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omments2.xml" ContentType="application/vnd.openxmlformats-officedocument.spreadsheetml.comment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omments3.xml" ContentType="application/vnd.openxmlformats-officedocument.spreadsheetml.comment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omments4.xml" ContentType="application/vnd.openxmlformats-officedocument.spreadsheetml.comments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28800" windowHeight="12435" activeTab="1"/>
  </bookViews>
  <sheets>
    <sheet name="CLOSED" sheetId="1" r:id="rId1"/>
    <sheet name="Balance" sheetId="38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SWHC" sheetId="70" state="hidden" r:id="rId12"/>
    <sheet name="CF" sheetId="61" state="hidden" r:id="rId13"/>
    <sheet name="LUV" sheetId="62" state="hidden" r:id="rId14"/>
    <sheet name="BMY" sheetId="71" state="hidden" r:id="rId15"/>
    <sheet name="AKAM" sheetId="63" state="hidden" r:id="rId16"/>
    <sheet name="CVS" sheetId="69" state="hidden" r:id="rId17"/>
    <sheet name="MRO" sheetId="25" state="hidden" r:id="rId18"/>
    <sheet name="KR" sheetId="51" state="hidden" r:id="rId19"/>
    <sheet name="F" sheetId="54" state="hidden" r:id="rId20"/>
    <sheet name="JNJ" sheetId="68" state="hidden" r:id="rId21"/>
    <sheet name="CPN" sheetId="7" state="hidden" r:id="rId22"/>
    <sheet name="NKE" sheetId="50" state="hidden" r:id="rId23"/>
    <sheet name="MOS" sheetId="58" state="hidden" r:id="rId24"/>
    <sheet name="VGK" sheetId="59" state="hidden" r:id="rId25"/>
    <sheet name="MU" sheetId="17" r:id="rId26"/>
    <sheet name="IP" sheetId="44" state="hidden" r:id="rId27"/>
    <sheet name="INTC" sheetId="13" state="hidden" r:id="rId28"/>
    <sheet name="HES" sheetId="10" state="hidden" r:id="rId29"/>
    <sheet name="UNP" sheetId="20" state="hidden" r:id="rId30"/>
    <sheet name="NCLH" sheetId="67" state="hidden" r:id="rId31"/>
    <sheet name="SPY" sheetId="47" r:id="rId32"/>
    <sheet name="SWKS" sheetId="41" state="hidden" r:id="rId33"/>
    <sheet name="CNI" sheetId="42" state="hidden" r:id="rId34"/>
    <sheet name="WFC" sheetId="45" state="hidden" r:id="rId35"/>
    <sheet name="AA" sheetId="3" state="hidden" r:id="rId36"/>
    <sheet name="KATE" sheetId="5" state="hidden" r:id="rId37"/>
    <sheet name="NWL" sheetId="46" state="hidden" r:id="rId38"/>
    <sheet name="KORS" sheetId="16" state="hidden" r:id="rId39"/>
    <sheet name="ALL" sheetId="22" state="hidden" r:id="rId40"/>
    <sheet name="NSC" sheetId="24" state="hidden" r:id="rId41"/>
    <sheet name="AVGO" sheetId="15" state="hidden" r:id="rId42"/>
    <sheet name="UAL" sheetId="52" state="hidden" r:id="rId43"/>
    <sheet name="CAH" sheetId="53" state="hidden" r:id="rId44"/>
    <sheet name="DAL" sheetId="49" state="hidden" r:id="rId45"/>
    <sheet name="DIS" sheetId="34" state="hidden" r:id="rId46"/>
    <sheet name="FTR" sheetId="40" state="hidden" r:id="rId47"/>
    <sheet name="GILD" sheetId="31" state="hidden" r:id="rId48"/>
    <sheet name="WWD" sheetId="28" state="hidden" r:id="rId49"/>
    <sheet name="GIS" sheetId="43" state="hidden" r:id="rId50"/>
    <sheet name="GM" sheetId="29" state="hidden" r:id="rId51"/>
    <sheet name="TMO" sheetId="48" state="hidden" r:id="rId52"/>
    <sheet name="TKR" sheetId="32" state="hidden" r:id="rId53"/>
    <sheet name="UTX" sheetId="30" state="hidden" r:id="rId54"/>
    <sheet name="UNH" sheetId="26" state="hidden" r:id="rId55"/>
  </sheets>
  <functionGroups builtInGroupCount="18"/>
  <definedNames>
    <definedName name="_xlnm._FilterDatabase" localSheetId="2" hidden="1">ACTIVE!$E$1:$M$26</definedName>
    <definedName name="hp?s_AA_Historical_Prices_1" localSheetId="35">AA!$W$1:$AC$4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BMY!$W$1:$AC$69</definedName>
    <definedName name="hp?s_ALL_Historical_Prices" localSheetId="39">ALL!$X$1:$AD$69</definedName>
    <definedName name="hp?s_AVGO" localSheetId="41">AVGO!$W$1:$AC$69</definedName>
    <definedName name="hp?s_AXP_Historical_Prices" localSheetId="7">AXP!$W$1:$AC$69</definedName>
    <definedName name="hp?s_BIIB" localSheetId="3">BIIB!$W$1:$AC$68</definedName>
    <definedName name="hp?s_CAH" localSheetId="43">CAH!$W$1:$AC$69</definedName>
    <definedName name="hp?s_CF_a_00_b_1_c_2016_d_06_e_1_f_2016_g_d" localSheetId="12">CF!$W$1:$AC$69</definedName>
    <definedName name="hp?s_CNI" localSheetId="33">CNI!$W$1:$AC$69</definedName>
    <definedName name="hp?s_CPN_Historical_Prices" localSheetId="21">CPN!$W$1:$AC$68</definedName>
    <definedName name="hp?s_cvs" localSheetId="16">CVS!$W$1:$AC$69</definedName>
    <definedName name="hp?s_DAL" localSheetId="44">DAL!$W$1:$AC$69</definedName>
    <definedName name="hp?s_dg" localSheetId="8">DG!$W$1:$AC$69</definedName>
    <definedName name="hp?s_DIS" localSheetId="45">DIS!$W$1:$AC$68</definedName>
    <definedName name="hp?s_DIS" localSheetId="46">FTR!#REF!</definedName>
    <definedName name="hp?s_F" localSheetId="19">F!$W$1:$AC$69</definedName>
    <definedName name="hp?s_foxa" localSheetId="10">FOXA!$W$1:$AC$69</definedName>
    <definedName name="hp?s_FTR" localSheetId="46">FTR!$W$1:$AC$69</definedName>
    <definedName name="hp?s_GILD" localSheetId="47">GILD!$W$1:$AC$69</definedName>
    <definedName name="hp?s_GIS" localSheetId="49">GIS!$X$1:$AD$69</definedName>
    <definedName name="hp?s_GM" localSheetId="50">GM!$W$1:$AC$69</definedName>
    <definedName name="hp?s_HES" localSheetId="28">HES!$W$1:$AC$69</definedName>
    <definedName name="hp?s_INTC_Historical_Prices" localSheetId="27">INTC!$W$1:$AC$69</definedName>
    <definedName name="hp?s_IP" localSheetId="26">IP!$W$1:$AC$69</definedName>
    <definedName name="hp?s_jnj" localSheetId="20">JNJ!$W$1:$AC$69</definedName>
    <definedName name="hp?s_KATE" localSheetId="36">KATE!$W$1:$AC$68</definedName>
    <definedName name="hp?s_KORS" localSheetId="38">KORS!$W$1:$AC$68</definedName>
    <definedName name="hp?s_KR" localSheetId="18">KR!$W$1:$AC$69</definedName>
    <definedName name="hp?s_LUV" localSheetId="13">LUV!$W$1:$AC$69</definedName>
    <definedName name="hp?s_MOS_Historical_Prices" localSheetId="23">MOS!$W$1:$AC$69</definedName>
    <definedName name="hp?s_MRO" localSheetId="17">MRO!$W$1:$AC$69</definedName>
    <definedName name="hp?s_MU" localSheetId="25">MU!$W$1:$AC$68</definedName>
    <definedName name="hp?s_MYL" localSheetId="4">MYL!$W$1:$AC$68</definedName>
    <definedName name="hp?s_nclh" localSheetId="30">NCLH!$W$1:$AC$68</definedName>
    <definedName name="hp?s_nke" localSheetId="22">NKE!$W$1:$AC$69</definedName>
    <definedName name="hp?s_NSC" localSheetId="40">NSC!$W$1:$AC$69</definedName>
    <definedName name="hp?s_NWL" localSheetId="37">NWL!$W$1:$AC$69</definedName>
    <definedName name="hp?s_pinc" localSheetId="9">PINC!$W$1:$AC$68</definedName>
    <definedName name="hp?s_SIG" localSheetId="5">SIG!$W$1:$AC$69</definedName>
    <definedName name="hp?s_SPY_Historical_Prices" localSheetId="31">SPY!$W$1:$AC$69</definedName>
    <definedName name="hp?s_swhc" localSheetId="11">SWHC!$W$1:$AC$68</definedName>
    <definedName name="hp?s_SWKS" localSheetId="32">SWKS!$W$1:$AC$69</definedName>
    <definedName name="hp?s_TKR" localSheetId="52">TKR!$W$1:$AC$69</definedName>
    <definedName name="hp?s_tmo" localSheetId="51">TMO!$W$1:$AC$69</definedName>
    <definedName name="hp?s_ual" localSheetId="42">UAL!$W$1:$AC$68</definedName>
    <definedName name="hp?s_UNH" localSheetId="54">UNH!$W$1:$AC$69</definedName>
    <definedName name="hp?s_UNP" localSheetId="29">UNP!$W$1:$AC$69</definedName>
    <definedName name="hp?s_UTX" localSheetId="53">UTX!$W$1:$AC$69</definedName>
    <definedName name="hp?s_vgk" localSheetId="24">VGK!$W$1:$AC$69</definedName>
    <definedName name="hp?s_WFC" localSheetId="34">WFC!$W$1:$AC$69</definedName>
    <definedName name="hp?s_WWD" localSheetId="48">WWD!$W$1:$AC$69</definedName>
    <definedName name="PL" localSheetId="35">AA!$Q$7</definedName>
    <definedName name="PL" localSheetId="15">#REF!</definedName>
    <definedName name="PL" localSheetId="7">#REF!</definedName>
    <definedName name="PL" localSheetId="14">#REF!</definedName>
    <definedName name="PL" localSheetId="43">#REF!</definedName>
    <definedName name="PL" localSheetId="12">#REF!</definedName>
    <definedName name="PL" localSheetId="16">#REF!</definedName>
    <definedName name="PL" localSheetId="8">#REF!</definedName>
    <definedName name="PL" localSheetId="19">#REF!</definedName>
    <definedName name="PL" localSheetId="10">#REF!</definedName>
    <definedName name="PL" localSheetId="20">#REF!</definedName>
    <definedName name="PL" localSheetId="18">#REF!</definedName>
    <definedName name="PL" localSheetId="13">#REF!</definedName>
    <definedName name="PL" localSheetId="23">#REF!</definedName>
    <definedName name="PL" localSheetId="4">#REF!</definedName>
    <definedName name="PL" localSheetId="30">NCLH!$Q$7</definedName>
    <definedName name="PL" localSheetId="22">#REF!</definedName>
    <definedName name="PL" localSheetId="9">PINC!$Q$7</definedName>
    <definedName name="PL" localSheetId="31">SPY!$Q$7</definedName>
    <definedName name="PL" localSheetId="11">#REF!</definedName>
    <definedName name="PL" localSheetId="32">SWKS!$Q$7</definedName>
    <definedName name="PL" localSheetId="42">#REF!</definedName>
    <definedName name="PL" localSheetId="24">#REF!</definedName>
    <definedName name="PL" localSheetId="34">WFC!$Q$7</definedName>
    <definedName name="q?s_aa_ql_1" localSheetId="35">AA!$T$40:$U$55</definedName>
    <definedName name="q?s_AAPL" localSheetId="6">AAPL!$T$40:$U$55</definedName>
    <definedName name="q?s_AKAM" localSheetId="15">AKAM!$T$43:$U$58</definedName>
    <definedName name="q?s_ALL" localSheetId="39">ALL!$T$40:$U$55</definedName>
    <definedName name="q?s_AVGO" localSheetId="41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3">CAH!$T$43:$U$58</definedName>
    <definedName name="q?s_CF" localSheetId="12">CF!$T$43:$U$58</definedName>
    <definedName name="q?s_CNI" localSheetId="33">CNI!$T$43:$U$58</definedName>
    <definedName name="q?s_CPN" localSheetId="21">CPN!$T$43:$U$58</definedName>
    <definedName name="q?s_cvs" localSheetId="16">CVS!$T$43:$U$58</definedName>
    <definedName name="q?s_DAL" localSheetId="44">DAL!$T$43:$U$58</definedName>
    <definedName name="q?s_dg" localSheetId="8">DG!$T$43:$U$58</definedName>
    <definedName name="q?s_DIS" localSheetId="45">DIS!$T$43:$U$58</definedName>
    <definedName name="q?s_F" localSheetId="19">F!$T$43:$U$58</definedName>
    <definedName name="q?s_foxa" localSheetId="10">FOXA!$T$43:$U$58</definedName>
    <definedName name="q?s_FTR" localSheetId="46">FTR!$T$43:$U$58</definedName>
    <definedName name="q?s_GILD" localSheetId="47">GILD!$T$43:$U$58</definedName>
    <definedName name="q?s_GIS_1" localSheetId="49">GIS!$T$43:$U$58</definedName>
    <definedName name="q?s_GM" localSheetId="50">GM!$T$43:$U$58</definedName>
    <definedName name="q?s_HES" localSheetId="28">HES!$T$43:$U$58</definedName>
    <definedName name="q?s_INTC" localSheetId="27">INTC!$T$43:$U$58</definedName>
    <definedName name="q?s_IP" localSheetId="26">IP!$T$43:$U$58</definedName>
    <definedName name="q?s_JNJ" localSheetId="20">JNJ!$T$43:$U$58</definedName>
    <definedName name="q?s_KATE" localSheetId="36">KATE!$T$43:$U$58</definedName>
    <definedName name="q?s_KORS" localSheetId="38">KORS!$T$43:$U$58</definedName>
    <definedName name="q?s_KR" localSheetId="18">KR!$T$43:$U$58</definedName>
    <definedName name="q?s_luv_ql_1" localSheetId="13">LUV!$T$43:$U$58</definedName>
    <definedName name="q?s_MOS" localSheetId="23">MOS!$T$43:$U$58</definedName>
    <definedName name="q?s_mro" localSheetId="17">MRO!$T$43:$U$58</definedName>
    <definedName name="q?s_MU" localSheetId="25">MU!$T$43:$U$58</definedName>
    <definedName name="q?s_MYL" localSheetId="4">MYL!$T$43:$U$58</definedName>
    <definedName name="q?s_nclh" localSheetId="30">NCLH!$T$40:$U$55</definedName>
    <definedName name="q?s_NKE" localSheetId="22">NKE!$T$43:$U$58</definedName>
    <definedName name="q?s_nsc" localSheetId="40">NSC!$T$43:$U$58</definedName>
    <definedName name="q?s_NSC" localSheetId="29">UNP!$T$43:$U$58</definedName>
    <definedName name="q?s_NWL" localSheetId="37">NWL!$T$43:$U$58</definedName>
    <definedName name="q?s_pinc" localSheetId="9">PINC!$T$40:$U$55</definedName>
    <definedName name="q?s_SIG" localSheetId="5">SIG!$T$40:$U$55</definedName>
    <definedName name="q?s_SPY" localSheetId="31">SPY!$T$40:$U$53</definedName>
    <definedName name="q?s_swhc" localSheetId="11">SWHC!$T$43:$U$58</definedName>
    <definedName name="q?s_SWKS" localSheetId="32">SWKS!$T$40:$U$55</definedName>
    <definedName name="q?s_TKR" localSheetId="52">TKR!$T$43:$U$58</definedName>
    <definedName name="q?s_tmo" localSheetId="51">TMO!$T$43:$U$58</definedName>
    <definedName name="q?s_UAL" localSheetId="42">UAL!$T$43:$U$58</definedName>
    <definedName name="q?s_UNH" localSheetId="54">UNH!$T$43:$U$58</definedName>
    <definedName name="q?s_UTX" localSheetId="53">UTX!$T$43:$U$58</definedName>
    <definedName name="q?s_vgk" localSheetId="24">VGK!$T$43:$U$56</definedName>
    <definedName name="q?s_WFC" localSheetId="34">WFC!$T$43:$U$58</definedName>
    <definedName name="q?s_WWD" localSheetId="48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8" i="35" l="1"/>
  <c r="N50" i="35"/>
  <c r="N45" i="35"/>
  <c r="N46" i="35"/>
  <c r="N23" i="35"/>
  <c r="N22" i="35"/>
  <c r="N53" i="35"/>
  <c r="N21" i="35"/>
  <c r="N20" i="35"/>
  <c r="N17" i="35"/>
  <c r="N15" i="35"/>
  <c r="N10" i="35"/>
  <c r="N47" i="35"/>
  <c r="N6" i="35"/>
  <c r="N38" i="35"/>
  <c r="N5" i="35"/>
  <c r="N29" i="35"/>
  <c r="N39" i="35"/>
  <c r="N28" i="35"/>
  <c r="N2" i="35"/>
  <c r="N52" i="35"/>
  <c r="N12" i="35"/>
  <c r="N44" i="35"/>
  <c r="N42" i="35"/>
  <c r="N36" i="35"/>
  <c r="N49" i="35"/>
  <c r="N24" i="35"/>
  <c r="N25" i="35"/>
  <c r="N26" i="35"/>
  <c r="N34" i="35"/>
  <c r="N51" i="35"/>
  <c r="N32" i="35"/>
  <c r="N37" i="35"/>
  <c r="N13" i="35"/>
  <c r="N27" i="35"/>
  <c r="N18" i="35"/>
  <c r="N30" i="35"/>
  <c r="N33" i="35"/>
  <c r="N14" i="35"/>
  <c r="N4" i="35"/>
  <c r="N9" i="35"/>
  <c r="N31" i="35"/>
  <c r="N11" i="35"/>
  <c r="N43" i="35"/>
  <c r="N19" i="35"/>
  <c r="N40" i="35"/>
  <c r="N16" i="35"/>
  <c r="N7" i="35"/>
  <c r="N3" i="35"/>
  <c r="N41" i="35"/>
  <c r="N35" i="35"/>
  <c r="N8" i="35"/>
  <c r="F103" i="31"/>
  <c r="G103" i="31"/>
  <c r="H103" i="31"/>
  <c r="F295" i="17"/>
  <c r="G295" i="17"/>
  <c r="H295" i="17"/>
  <c r="F61" i="54"/>
  <c r="G61" i="54"/>
  <c r="H61" i="54"/>
  <c r="F50" i="50"/>
  <c r="G50" i="50"/>
  <c r="H50" i="50"/>
  <c r="F58" i="58"/>
  <c r="G58" i="58"/>
  <c r="H58" i="58"/>
  <c r="F26" i="71"/>
  <c r="G26" i="71"/>
  <c r="H26" i="71"/>
  <c r="F36" i="64"/>
  <c r="G36" i="64"/>
  <c r="H36" i="64"/>
  <c r="F95" i="51"/>
  <c r="H95" i="51"/>
  <c r="G95" i="51"/>
  <c r="K11" i="51"/>
  <c r="T263" i="1"/>
  <c r="D302" i="38"/>
  <c r="E302" i="38"/>
  <c r="G302" i="38"/>
  <c r="H302" i="38"/>
  <c r="K302" i="38"/>
  <c r="L302" i="38" s="1"/>
  <c r="M302" i="38"/>
  <c r="T302" i="38" s="1"/>
  <c r="R302" i="38"/>
  <c r="U302" i="38"/>
  <c r="F450" i="25"/>
  <c r="H450" i="25"/>
  <c r="G450" i="25"/>
  <c r="F218" i="25"/>
  <c r="K197" i="25"/>
  <c r="F212" i="7"/>
  <c r="H212" i="7"/>
  <c r="G212" i="7"/>
  <c r="F95" i="7"/>
  <c r="F94" i="7"/>
  <c r="K10" i="51"/>
  <c r="K9" i="51"/>
  <c r="K8" i="51"/>
  <c r="F48" i="40"/>
  <c r="H48" i="40"/>
  <c r="G48" i="40"/>
  <c r="F18" i="40"/>
  <c r="C18" i="40"/>
  <c r="F6" i="40"/>
  <c r="O302" i="38" l="1"/>
  <c r="P302" i="38" s="1"/>
  <c r="V302" i="38"/>
  <c r="N302" i="38"/>
  <c r="D301" i="38"/>
  <c r="E301" i="38"/>
  <c r="G301" i="38"/>
  <c r="H301" i="38"/>
  <c r="K301" i="38"/>
  <c r="L301" i="38" s="1"/>
  <c r="M301" i="38"/>
  <c r="T301" i="38" s="1"/>
  <c r="R301" i="38"/>
  <c r="U301" i="38"/>
  <c r="F57" i="58"/>
  <c r="H57" i="58"/>
  <c r="G57" i="58"/>
  <c r="F6" i="58"/>
  <c r="K3" i="58"/>
  <c r="F83" i="61"/>
  <c r="H83" i="61"/>
  <c r="G83" i="61"/>
  <c r="F12" i="61"/>
  <c r="F18" i="61"/>
  <c r="C18" i="61"/>
  <c r="K9" i="61"/>
  <c r="K18" i="61"/>
  <c r="H18" i="61"/>
  <c r="F294" i="17"/>
  <c r="H294" i="17"/>
  <c r="G294" i="17"/>
  <c r="F138" i="17"/>
  <c r="K139" i="17"/>
  <c r="W302" i="38" l="1"/>
  <c r="O301" i="38"/>
  <c r="P301" i="38" s="1"/>
  <c r="V301" i="38"/>
  <c r="N301" i="38"/>
  <c r="F49" i="50"/>
  <c r="G49" i="50"/>
  <c r="H49" i="50"/>
  <c r="F293" i="17"/>
  <c r="G293" i="17"/>
  <c r="H293" i="17"/>
  <c r="F65" i="34"/>
  <c r="G65" i="34"/>
  <c r="H65" i="34"/>
  <c r="F56" i="58"/>
  <c r="G56" i="58"/>
  <c r="H56" i="58"/>
  <c r="F30" i="68"/>
  <c r="G30" i="68"/>
  <c r="H30" i="68"/>
  <c r="F30" i="69"/>
  <c r="G30" i="69"/>
  <c r="H30" i="69"/>
  <c r="F35" i="64"/>
  <c r="G35" i="64"/>
  <c r="H35" i="64"/>
  <c r="F30" i="67"/>
  <c r="G30" i="67"/>
  <c r="H30" i="67"/>
  <c r="F32" i="70"/>
  <c r="G32" i="70"/>
  <c r="H32" i="70"/>
  <c r="L299" i="38"/>
  <c r="L300" i="38"/>
  <c r="D298" i="38"/>
  <c r="D299" i="38"/>
  <c r="D300" i="38"/>
  <c r="G300" i="38"/>
  <c r="G299" i="38"/>
  <c r="E300" i="38"/>
  <c r="H300" i="38"/>
  <c r="K300" i="38"/>
  <c r="M300" i="38"/>
  <c r="T300" i="38" s="1"/>
  <c r="R300" i="38"/>
  <c r="U300" i="38"/>
  <c r="F82" i="61"/>
  <c r="H82" i="61"/>
  <c r="G82" i="61"/>
  <c r="F11" i="61"/>
  <c r="F94" i="51"/>
  <c r="H94" i="51"/>
  <c r="G94" i="51"/>
  <c r="F19" i="51"/>
  <c r="F28" i="51"/>
  <c r="C28" i="51"/>
  <c r="F68" i="53"/>
  <c r="H68" i="53"/>
  <c r="G68" i="53"/>
  <c r="F6" i="53"/>
  <c r="K2" i="53"/>
  <c r="F47" i="40"/>
  <c r="H47" i="40"/>
  <c r="G47" i="40"/>
  <c r="F5" i="40"/>
  <c r="F449" i="25"/>
  <c r="H449" i="25"/>
  <c r="G449" i="25"/>
  <c r="K196" i="25"/>
  <c r="F217" i="25"/>
  <c r="K195" i="25"/>
  <c r="F216" i="25"/>
  <c r="W301" i="38" l="1"/>
  <c r="O300" i="38"/>
  <c r="V300" i="38"/>
  <c r="N300" i="38"/>
  <c r="E299" i="38"/>
  <c r="H299" i="38"/>
  <c r="K299" i="38"/>
  <c r="M299" i="38"/>
  <c r="T299" i="38" s="1"/>
  <c r="R299" i="38"/>
  <c r="F93" i="51"/>
  <c r="H93" i="51"/>
  <c r="G93" i="51"/>
  <c r="K7" i="51"/>
  <c r="F292" i="17"/>
  <c r="H292" i="17"/>
  <c r="G292" i="17"/>
  <c r="F137" i="17"/>
  <c r="K138" i="17"/>
  <c r="F448" i="25"/>
  <c r="H448" i="25"/>
  <c r="G448" i="25"/>
  <c r="F215" i="25"/>
  <c r="K194" i="25"/>
  <c r="F211" i="7"/>
  <c r="H211" i="7"/>
  <c r="G211" i="7"/>
  <c r="F82" i="7"/>
  <c r="K79" i="7"/>
  <c r="F93" i="7"/>
  <c r="F67" i="53"/>
  <c r="H67" i="53"/>
  <c r="G67" i="53"/>
  <c r="F5" i="53"/>
  <c r="W300" i="38" l="1"/>
  <c r="O299" i="38"/>
  <c r="N299" i="38"/>
  <c r="E298" i="38"/>
  <c r="G298" i="38"/>
  <c r="H298" i="38"/>
  <c r="K298" i="38"/>
  <c r="L298" i="38" s="1"/>
  <c r="M298" i="38"/>
  <c r="T298" i="38" s="1"/>
  <c r="R298" i="38"/>
  <c r="F78" i="45"/>
  <c r="H78" i="45"/>
  <c r="G78" i="45"/>
  <c r="M18" i="45"/>
  <c r="K2" i="45"/>
  <c r="K18" i="45" s="1"/>
  <c r="H18" i="45"/>
  <c r="F60" i="54"/>
  <c r="H60" i="54"/>
  <c r="G60" i="54"/>
  <c r="F8" i="54"/>
  <c r="C18" i="54"/>
  <c r="H29" i="67"/>
  <c r="G29" i="67"/>
  <c r="F29" i="67"/>
  <c r="F2" i="67"/>
  <c r="F55" i="58"/>
  <c r="H55" i="58"/>
  <c r="G55" i="58"/>
  <c r="F5" i="58"/>
  <c r="K2" i="58"/>
  <c r="F291" i="17"/>
  <c r="H291" i="17"/>
  <c r="G291" i="17"/>
  <c r="F290" i="17"/>
  <c r="H290" i="17"/>
  <c r="G290" i="17"/>
  <c r="F136" i="17"/>
  <c r="F135" i="17"/>
  <c r="F214" i="25"/>
  <c r="F213" i="25"/>
  <c r="F212" i="25"/>
  <c r="F446" i="25"/>
  <c r="G446" i="25"/>
  <c r="H446" i="25"/>
  <c r="F447" i="25"/>
  <c r="G447" i="25"/>
  <c r="H447" i="25"/>
  <c r="F445" i="25"/>
  <c r="H445" i="25"/>
  <c r="G445" i="25"/>
  <c r="F46" i="40"/>
  <c r="H46" i="40"/>
  <c r="G46" i="40"/>
  <c r="K3" i="40"/>
  <c r="K4" i="40"/>
  <c r="O298" i="38" l="1"/>
  <c r="P300" i="38" s="1"/>
  <c r="N298" i="38"/>
  <c r="F210" i="7"/>
  <c r="H210" i="7"/>
  <c r="G210" i="7"/>
  <c r="F289" i="17"/>
  <c r="H289" i="17"/>
  <c r="G289" i="17"/>
  <c r="K137" i="17"/>
  <c r="F2" i="71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AE48" i="71"/>
  <c r="AD48" i="71"/>
  <c r="P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H25" i="71"/>
  <c r="G25" i="71"/>
  <c r="F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F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AE5" i="71"/>
  <c r="AD5" i="71"/>
  <c r="AE4" i="71"/>
  <c r="AD4" i="71"/>
  <c r="AE3" i="71"/>
  <c r="AD3" i="71"/>
  <c r="AE2" i="71"/>
  <c r="AD2" i="71"/>
  <c r="D297" i="38"/>
  <c r="E297" i="38"/>
  <c r="G297" i="38"/>
  <c r="H297" i="38"/>
  <c r="K297" i="38"/>
  <c r="L297" i="38" s="1"/>
  <c r="M297" i="38"/>
  <c r="T297" i="38" s="1"/>
  <c r="R297" i="38"/>
  <c r="C19" i="71"/>
  <c r="M19" i="71"/>
  <c r="K19" i="71"/>
  <c r="H19" i="71"/>
  <c r="F19" i="71"/>
  <c r="N297" i="38" l="1"/>
  <c r="Q2" i="71"/>
  <c r="Q3" i="71" s="1"/>
  <c r="Q6" i="71" s="1"/>
  <c r="Q8" i="71"/>
  <c r="Q7" i="71" s="1"/>
  <c r="O297" i="38"/>
  <c r="F59" i="54"/>
  <c r="G59" i="54"/>
  <c r="H59" i="54"/>
  <c r="F48" i="50"/>
  <c r="G48" i="50"/>
  <c r="H48" i="50"/>
  <c r="F288" i="17"/>
  <c r="H288" i="17"/>
  <c r="G288" i="17"/>
  <c r="K136" i="17"/>
  <c r="D296" i="38"/>
  <c r="E296" i="38"/>
  <c r="G296" i="38"/>
  <c r="H296" i="38"/>
  <c r="K296" i="38"/>
  <c r="L296" i="38" s="1"/>
  <c r="M296" i="38"/>
  <c r="T296" i="38" s="1"/>
  <c r="R296" i="38"/>
  <c r="F66" i="53"/>
  <c r="H66" i="53"/>
  <c r="G66" i="53"/>
  <c r="F4" i="53"/>
  <c r="F209" i="7"/>
  <c r="H209" i="7"/>
  <c r="G209" i="7"/>
  <c r="F92" i="7"/>
  <c r="F444" i="25"/>
  <c r="H444" i="25"/>
  <c r="G444" i="25"/>
  <c r="F211" i="25"/>
  <c r="F210" i="25"/>
  <c r="Q5" i="71" l="1"/>
  <c r="Q9" i="71"/>
  <c r="N296" i="38"/>
  <c r="O296" i="38"/>
  <c r="F208" i="7"/>
  <c r="H208" i="7"/>
  <c r="F81" i="61"/>
  <c r="G81" i="61"/>
  <c r="H81" i="61"/>
  <c r="D293" i="38"/>
  <c r="D294" i="38"/>
  <c r="D295" i="38"/>
  <c r="G294" i="38"/>
  <c r="G295" i="38"/>
  <c r="E295" i="38"/>
  <c r="H295" i="38"/>
  <c r="K295" i="38"/>
  <c r="L295" i="38" s="1"/>
  <c r="M295" i="38"/>
  <c r="T295" i="38" s="1"/>
  <c r="R295" i="38"/>
  <c r="G208" i="7"/>
  <c r="F91" i="7"/>
  <c r="O295" i="38" l="1"/>
  <c r="N295" i="38"/>
  <c r="F54" i="58"/>
  <c r="G54" i="58"/>
  <c r="H54" i="58"/>
  <c r="F29" i="68"/>
  <c r="G29" i="68"/>
  <c r="H29" i="68"/>
  <c r="F64" i="34"/>
  <c r="G64" i="34"/>
  <c r="H64" i="34"/>
  <c r="F80" i="61"/>
  <c r="G80" i="61"/>
  <c r="H80" i="61"/>
  <c r="F207" i="7"/>
  <c r="H207" i="7"/>
  <c r="G207" i="7"/>
  <c r="F287" i="17"/>
  <c r="G287" i="17"/>
  <c r="H287" i="17"/>
  <c r="F90" i="7"/>
  <c r="E294" i="38"/>
  <c r="H294" i="38"/>
  <c r="K294" i="38"/>
  <c r="L294" i="38" s="1"/>
  <c r="O294" i="38" s="1"/>
  <c r="M294" i="38"/>
  <c r="T294" i="38" s="1"/>
  <c r="R294" i="38"/>
  <c r="N294" i="38" l="1"/>
  <c r="F443" i="25"/>
  <c r="G443" i="25"/>
  <c r="H443" i="25"/>
  <c r="M55" i="67"/>
  <c r="H55" i="67"/>
  <c r="C55" i="67"/>
  <c r="K39" i="67"/>
  <c r="K55" i="67" s="1"/>
  <c r="F39" i="67"/>
  <c r="F55" i="67" s="1"/>
  <c r="M62" i="66"/>
  <c r="H62" i="66"/>
  <c r="C62" i="66"/>
  <c r="K46" i="66"/>
  <c r="K62" i="66" s="1"/>
  <c r="F46" i="66"/>
  <c r="F62" i="66" s="1"/>
  <c r="E293" i="38"/>
  <c r="G293" i="38"/>
  <c r="H293" i="38"/>
  <c r="K293" i="38"/>
  <c r="L293" i="38" s="1"/>
  <c r="M293" i="38"/>
  <c r="T293" i="38" s="1"/>
  <c r="R293" i="38"/>
  <c r="F29" i="43"/>
  <c r="H29" i="43"/>
  <c r="G29" i="43"/>
  <c r="F3" i="43"/>
  <c r="F79" i="61"/>
  <c r="H79" i="61"/>
  <c r="G79" i="61"/>
  <c r="K8" i="61"/>
  <c r="H63" i="66"/>
  <c r="C63" i="66"/>
  <c r="M63" i="66"/>
  <c r="F63" i="66"/>
  <c r="K63" i="66"/>
  <c r="M44" i="66" l="1"/>
  <c r="Q10" i="66" s="1"/>
  <c r="N293" i="38"/>
  <c r="O293" i="38"/>
  <c r="F53" i="58"/>
  <c r="G53" i="58"/>
  <c r="H53" i="58"/>
  <c r="H78" i="61"/>
  <c r="G78" i="61"/>
  <c r="F78" i="61"/>
  <c r="H65" i="53"/>
  <c r="G65" i="53"/>
  <c r="F65" i="53"/>
  <c r="D287" i="38"/>
  <c r="D288" i="38"/>
  <c r="D289" i="38"/>
  <c r="D290" i="38"/>
  <c r="D291" i="38"/>
  <c r="D292" i="38"/>
  <c r="G288" i="38"/>
  <c r="G289" i="38"/>
  <c r="G290" i="38"/>
  <c r="G291" i="38"/>
  <c r="G292" i="38"/>
  <c r="E292" i="38"/>
  <c r="H292" i="38"/>
  <c r="K292" i="38"/>
  <c r="L292" i="38" s="1"/>
  <c r="M292" i="38"/>
  <c r="T292" i="38" s="1"/>
  <c r="R292" i="38"/>
  <c r="F286" i="17"/>
  <c r="H286" i="17"/>
  <c r="G286" i="17"/>
  <c r="F128" i="17"/>
  <c r="K135" i="17"/>
  <c r="F206" i="7"/>
  <c r="H206" i="7"/>
  <c r="G206" i="7"/>
  <c r="K78" i="7"/>
  <c r="N292" i="38" l="1"/>
  <c r="O292" i="38"/>
  <c r="F102" i="31"/>
  <c r="G102" i="31"/>
  <c r="H102" i="31"/>
  <c r="F92" i="51"/>
  <c r="G92" i="51"/>
  <c r="H92" i="51"/>
  <c r="F31" i="70" l="1"/>
  <c r="G31" i="70"/>
  <c r="H31" i="70"/>
  <c r="F52" i="58"/>
  <c r="G52" i="58"/>
  <c r="H52" i="58"/>
  <c r="F45" i="40"/>
  <c r="G45" i="40"/>
  <c r="H45" i="40"/>
  <c r="F64" i="53"/>
  <c r="G64" i="53"/>
  <c r="H64" i="53"/>
  <c r="E291" i="38"/>
  <c r="H291" i="38"/>
  <c r="K291" i="38"/>
  <c r="L291" i="38" s="1"/>
  <c r="M291" i="38"/>
  <c r="T291" i="38" s="1"/>
  <c r="R291" i="38"/>
  <c r="F77" i="61"/>
  <c r="H77" i="61"/>
  <c r="G77" i="61"/>
  <c r="F10" i="61"/>
  <c r="F442" i="25"/>
  <c r="H442" i="25"/>
  <c r="G442" i="25"/>
  <c r="F209" i="25"/>
  <c r="F285" i="17"/>
  <c r="H285" i="17"/>
  <c r="G285" i="17"/>
  <c r="F134" i="17"/>
  <c r="N291" i="38" l="1"/>
  <c r="O291" i="38"/>
  <c r="G287" i="38"/>
  <c r="E290" i="38"/>
  <c r="H290" i="38"/>
  <c r="K290" i="38"/>
  <c r="L290" i="38" s="1"/>
  <c r="M290" i="38"/>
  <c r="T290" i="38" s="1"/>
  <c r="R290" i="38"/>
  <c r="G441" i="25"/>
  <c r="F441" i="25"/>
  <c r="H441" i="25"/>
  <c r="F208" i="25"/>
  <c r="F205" i="7"/>
  <c r="H205" i="7"/>
  <c r="F204" i="7"/>
  <c r="H204" i="7"/>
  <c r="G205" i="7"/>
  <c r="G204" i="7"/>
  <c r="K77" i="7"/>
  <c r="K76" i="7"/>
  <c r="N290" i="38" l="1"/>
  <c r="O290" i="38"/>
  <c r="F76" i="61"/>
  <c r="G76" i="61"/>
  <c r="H76" i="61"/>
  <c r="F66" i="57"/>
  <c r="G66" i="57"/>
  <c r="H66" i="57"/>
  <c r="F101" i="31"/>
  <c r="G101" i="31"/>
  <c r="H101" i="31"/>
  <c r="F91" i="51"/>
  <c r="G91" i="51"/>
  <c r="H91" i="51"/>
  <c r="F51" i="58"/>
  <c r="G51" i="58"/>
  <c r="H51" i="58"/>
  <c r="F28" i="43"/>
  <c r="H28" i="43"/>
  <c r="G28" i="43"/>
  <c r="F27" i="43"/>
  <c r="G27" i="43"/>
  <c r="H27" i="43"/>
  <c r="F63" i="34"/>
  <c r="G63" i="34"/>
  <c r="H63" i="34"/>
  <c r="F29" i="69"/>
  <c r="G29" i="69"/>
  <c r="H29" i="69"/>
  <c r="F77" i="45"/>
  <c r="G77" i="45"/>
  <c r="H77" i="45"/>
  <c r="F28" i="68"/>
  <c r="G28" i="68"/>
  <c r="H28" i="68"/>
  <c r="F30" i="70"/>
  <c r="G30" i="70"/>
  <c r="H30" i="70"/>
  <c r="F34" i="64"/>
  <c r="G34" i="64"/>
  <c r="H34" i="64"/>
  <c r="F203" i="7"/>
  <c r="G203" i="7"/>
  <c r="H203" i="7"/>
  <c r="F44" i="40"/>
  <c r="G44" i="40"/>
  <c r="H44" i="40"/>
  <c r="F440" i="25"/>
  <c r="H440" i="25"/>
  <c r="G440" i="25"/>
  <c r="E289" i="38" l="1"/>
  <c r="H289" i="38"/>
  <c r="K289" i="38"/>
  <c r="L289" i="38" s="1"/>
  <c r="M289" i="38"/>
  <c r="T289" i="38" s="1"/>
  <c r="R289" i="38"/>
  <c r="F439" i="25"/>
  <c r="H439" i="25"/>
  <c r="F207" i="25"/>
  <c r="G439" i="25"/>
  <c r="F206" i="25"/>
  <c r="F29" i="70"/>
  <c r="H29" i="70"/>
  <c r="G29" i="70"/>
  <c r="F43" i="40"/>
  <c r="G43" i="40"/>
  <c r="H43" i="40"/>
  <c r="F50" i="58"/>
  <c r="G50" i="58"/>
  <c r="H50" i="58"/>
  <c r="F27" i="65"/>
  <c r="G27" i="65"/>
  <c r="H27" i="65"/>
  <c r="F75" i="61"/>
  <c r="G75" i="61"/>
  <c r="H75" i="61"/>
  <c r="F58" i="54"/>
  <c r="G58" i="54"/>
  <c r="H58" i="54"/>
  <c r="F76" i="45"/>
  <c r="G76" i="45"/>
  <c r="H76" i="45"/>
  <c r="F27" i="67"/>
  <c r="G27" i="67"/>
  <c r="H27" i="67"/>
  <c r="F63" i="53"/>
  <c r="G63" i="53"/>
  <c r="H63" i="53"/>
  <c r="F90" i="51"/>
  <c r="G90" i="51"/>
  <c r="H90" i="51"/>
  <c r="F33" i="64"/>
  <c r="G33" i="64"/>
  <c r="H33" i="64"/>
  <c r="E288" i="38"/>
  <c r="H288" i="38"/>
  <c r="K288" i="38"/>
  <c r="L288" i="38" s="1"/>
  <c r="M288" i="38"/>
  <c r="T288" i="38" s="1"/>
  <c r="R288" i="38"/>
  <c r="F100" i="31"/>
  <c r="H100" i="31"/>
  <c r="G100" i="31"/>
  <c r="F18" i="31"/>
  <c r="F438" i="25"/>
  <c r="H438" i="25"/>
  <c r="G438" i="25"/>
  <c r="K193" i="25"/>
  <c r="F205" i="25"/>
  <c r="F204" i="25"/>
  <c r="F203" i="25"/>
  <c r="F4" i="70"/>
  <c r="N289" i="38" l="1"/>
  <c r="O289" i="38"/>
  <c r="N288" i="38"/>
  <c r="O288" i="38"/>
  <c r="F89" i="51"/>
  <c r="G89" i="51"/>
  <c r="H89" i="51"/>
  <c r="F26" i="65"/>
  <c r="G26" i="65"/>
  <c r="H26" i="65"/>
  <c r="F49" i="58"/>
  <c r="G49" i="58"/>
  <c r="H49" i="58"/>
  <c r="F74" i="61"/>
  <c r="G74" i="61"/>
  <c r="H74" i="61"/>
  <c r="F57" i="54"/>
  <c r="G57" i="54"/>
  <c r="H57" i="54"/>
  <c r="F75" i="45"/>
  <c r="G75" i="45"/>
  <c r="H75" i="45"/>
  <c r="F202" i="7"/>
  <c r="H202" i="7"/>
  <c r="G202" i="7"/>
  <c r="K75" i="7"/>
  <c r="F42" i="40"/>
  <c r="H42" i="40"/>
  <c r="G42" i="40"/>
  <c r="F4" i="40"/>
  <c r="F65" i="57"/>
  <c r="H65" i="57"/>
  <c r="G65" i="57"/>
  <c r="F32" i="64"/>
  <c r="H32" i="64"/>
  <c r="G32" i="64"/>
  <c r="F4" i="64"/>
  <c r="F284" i="17"/>
  <c r="G284" i="17"/>
  <c r="H284" i="17"/>
  <c r="F437" i="25"/>
  <c r="H437" i="25"/>
  <c r="F436" i="25"/>
  <c r="H436" i="25"/>
  <c r="G437" i="25"/>
  <c r="G436" i="25"/>
  <c r="K192" i="25"/>
  <c r="K191" i="25"/>
  <c r="E287" i="38"/>
  <c r="H287" i="38"/>
  <c r="K287" i="38"/>
  <c r="M287" i="38"/>
  <c r="T287" i="38" s="1"/>
  <c r="R287" i="38"/>
  <c r="L287" i="38" l="1"/>
  <c r="O287" i="38" s="1"/>
  <c r="N287" i="38"/>
  <c r="Q11" i="40"/>
  <c r="F26" i="43"/>
  <c r="G26" i="43"/>
  <c r="H26" i="43"/>
  <c r="F31" i="64"/>
  <c r="G31" i="64"/>
  <c r="H31" i="64"/>
  <c r="F64" i="57"/>
  <c r="G64" i="57"/>
  <c r="H64" i="57"/>
  <c r="D286" i="38"/>
  <c r="E286" i="38"/>
  <c r="G286" i="38"/>
  <c r="H286" i="38"/>
  <c r="K286" i="38"/>
  <c r="L286" i="38" s="1"/>
  <c r="M286" i="38"/>
  <c r="T286" i="38" s="1"/>
  <c r="R286" i="38"/>
  <c r="G201" i="7"/>
  <c r="F201" i="7"/>
  <c r="H201" i="7"/>
  <c r="F89" i="7"/>
  <c r="F283" i="17"/>
  <c r="H283" i="17"/>
  <c r="G283" i="17"/>
  <c r="F133" i="17"/>
  <c r="F435" i="25"/>
  <c r="H435" i="25"/>
  <c r="G435" i="25"/>
  <c r="F434" i="25"/>
  <c r="H434" i="25"/>
  <c r="G434" i="25"/>
  <c r="F202" i="25"/>
  <c r="F201" i="25"/>
  <c r="N286" i="38" l="1"/>
  <c r="O286" i="38"/>
  <c r="F62" i="53"/>
  <c r="G62" i="53"/>
  <c r="H62" i="53"/>
  <c r="F74" i="45"/>
  <c r="G74" i="45"/>
  <c r="H74" i="45"/>
  <c r="F63" i="57"/>
  <c r="G63" i="57"/>
  <c r="H63" i="57"/>
  <c r="F48" i="58"/>
  <c r="G48" i="58"/>
  <c r="H48" i="58"/>
  <c r="F31" i="66"/>
  <c r="G31" i="66"/>
  <c r="H31" i="66"/>
  <c r="G283" i="38"/>
  <c r="G284" i="38"/>
  <c r="G285" i="38"/>
  <c r="D284" i="38"/>
  <c r="D285" i="38"/>
  <c r="E285" i="38"/>
  <c r="H285" i="38"/>
  <c r="K285" i="38"/>
  <c r="L285" i="38" s="1"/>
  <c r="M285" i="38"/>
  <c r="T285" i="38" s="1"/>
  <c r="R285" i="38"/>
  <c r="F433" i="25"/>
  <c r="G433" i="25"/>
  <c r="H433" i="25"/>
  <c r="F200" i="7"/>
  <c r="H200" i="7"/>
  <c r="F199" i="7"/>
  <c r="H199" i="7"/>
  <c r="F198" i="7"/>
  <c r="H198" i="7"/>
  <c r="G200" i="7"/>
  <c r="K74" i="7"/>
  <c r="F99" i="31"/>
  <c r="H99" i="31"/>
  <c r="G99" i="31"/>
  <c r="K12" i="31"/>
  <c r="F88" i="51"/>
  <c r="H88" i="51"/>
  <c r="G88" i="51"/>
  <c r="F18" i="51"/>
  <c r="G199" i="7"/>
  <c r="F28" i="69"/>
  <c r="G28" i="69"/>
  <c r="H28" i="69"/>
  <c r="F3" i="69"/>
  <c r="F88" i="7"/>
  <c r="O285" i="38" l="1"/>
  <c r="N285" i="38"/>
  <c r="F87" i="7"/>
  <c r="F17" i="31"/>
  <c r="G198" i="7"/>
  <c r="F86" i="7"/>
  <c r="F26" i="67" l="1"/>
  <c r="G26" i="67"/>
  <c r="H26" i="67"/>
  <c r="F28" i="70" l="1"/>
  <c r="G28" i="70"/>
  <c r="H28" i="70"/>
  <c r="F41" i="40"/>
  <c r="G41" i="40"/>
  <c r="H41" i="40"/>
  <c r="F62" i="57"/>
  <c r="G62" i="57"/>
  <c r="H62" i="57"/>
  <c r="F62" i="34"/>
  <c r="G62" i="34"/>
  <c r="H62" i="34"/>
  <c r="F98" i="31"/>
  <c r="G98" i="31"/>
  <c r="H98" i="31"/>
  <c r="F87" i="51"/>
  <c r="G87" i="51"/>
  <c r="H87" i="51"/>
  <c r="F282" i="17"/>
  <c r="G282" i="17"/>
  <c r="H282" i="17"/>
  <c r="F432" i="25"/>
  <c r="G432" i="25"/>
  <c r="H432" i="25"/>
  <c r="F73" i="61"/>
  <c r="H73" i="61"/>
  <c r="G73" i="61"/>
  <c r="F9" i="61"/>
  <c r="E284" i="38" l="1"/>
  <c r="H284" i="38"/>
  <c r="K284" i="38"/>
  <c r="M284" i="38"/>
  <c r="T284" i="38" s="1"/>
  <c r="R284" i="38"/>
  <c r="F197" i="7"/>
  <c r="H197" i="7"/>
  <c r="G197" i="7"/>
  <c r="F72" i="61"/>
  <c r="H72" i="61"/>
  <c r="G72" i="61"/>
  <c r="K7" i="61"/>
  <c r="F85" i="7"/>
  <c r="L284" i="38" l="1"/>
  <c r="N284" i="38"/>
  <c r="F196" i="7"/>
  <c r="H196" i="7"/>
  <c r="G196" i="7"/>
  <c r="F84" i="7"/>
  <c r="D283" i="38"/>
  <c r="E283" i="38"/>
  <c r="H283" i="38"/>
  <c r="K283" i="38"/>
  <c r="L283" i="38" s="1"/>
  <c r="M283" i="38"/>
  <c r="R283" i="38"/>
  <c r="F431" i="25"/>
  <c r="H431" i="25"/>
  <c r="G431" i="25"/>
  <c r="F200" i="25"/>
  <c r="F430" i="25"/>
  <c r="H430" i="25"/>
  <c r="G430" i="25"/>
  <c r="F429" i="25"/>
  <c r="H429" i="25"/>
  <c r="F428" i="25"/>
  <c r="H428" i="25"/>
  <c r="G429" i="25"/>
  <c r="G428" i="25"/>
  <c r="K190" i="25"/>
  <c r="K189" i="25"/>
  <c r="K188" i="25"/>
  <c r="T283" i="38" l="1"/>
  <c r="N283" i="38"/>
  <c r="O284" i="38"/>
  <c r="O283" i="38"/>
  <c r="F86" i="51"/>
  <c r="G86" i="51"/>
  <c r="H86" i="51"/>
  <c r="F47" i="50"/>
  <c r="G47" i="50"/>
  <c r="H47" i="50"/>
  <c r="F30" i="64"/>
  <c r="G30" i="64"/>
  <c r="H30" i="64"/>
  <c r="F61" i="34"/>
  <c r="G61" i="34"/>
  <c r="H61" i="34"/>
  <c r="F27" i="70"/>
  <c r="G27" i="70"/>
  <c r="H27" i="70"/>
  <c r="F47" i="58"/>
  <c r="G47" i="58"/>
  <c r="H47" i="58"/>
  <c r="F71" i="61"/>
  <c r="G71" i="61"/>
  <c r="H71" i="61"/>
  <c r="K282" i="38"/>
  <c r="L282" i="38" s="1"/>
  <c r="M282" i="38"/>
  <c r="N282" i="38" s="1"/>
  <c r="R282" i="38"/>
  <c r="G282" i="38"/>
  <c r="H282" i="38"/>
  <c r="D282" i="38"/>
  <c r="E282" i="38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F281" i="17"/>
  <c r="H281" i="17"/>
  <c r="G281" i="17"/>
  <c r="F132" i="17"/>
  <c r="F171" i="25"/>
  <c r="F195" i="7"/>
  <c r="H195" i="7"/>
  <c r="G195" i="7"/>
  <c r="F83" i="7"/>
  <c r="F427" i="25"/>
  <c r="H427" i="25"/>
  <c r="F426" i="25"/>
  <c r="H426" i="25"/>
  <c r="G427" i="25"/>
  <c r="G426" i="25"/>
  <c r="F199" i="25"/>
  <c r="F198" i="25"/>
  <c r="K187" i="25"/>
  <c r="K186" i="25"/>
  <c r="K185" i="25"/>
  <c r="K184" i="25"/>
  <c r="C156" i="49"/>
  <c r="M156" i="49"/>
  <c r="K156" i="49"/>
  <c r="H156" i="49"/>
  <c r="F156" i="49"/>
  <c r="F155" i="49" l="1"/>
  <c r="K155" i="49"/>
  <c r="T282" i="38"/>
  <c r="O282" i="38"/>
  <c r="F280" i="17"/>
  <c r="G280" i="17"/>
  <c r="H280" i="17"/>
  <c r="F46" i="58"/>
  <c r="G46" i="58"/>
  <c r="H46" i="58"/>
  <c r="F85" i="51"/>
  <c r="G85" i="51"/>
  <c r="H85" i="51"/>
  <c r="F97" i="31"/>
  <c r="G97" i="31"/>
  <c r="H97" i="31"/>
  <c r="F30" i="66"/>
  <c r="G30" i="66"/>
  <c r="H30" i="66"/>
  <c r="F60" i="34"/>
  <c r="G60" i="34"/>
  <c r="H60" i="34"/>
  <c r="F27" i="69"/>
  <c r="G27" i="69"/>
  <c r="H27" i="69"/>
  <c r="F88" i="49"/>
  <c r="G88" i="49"/>
  <c r="H88" i="49"/>
  <c r="F194" i="7"/>
  <c r="G194" i="7"/>
  <c r="H194" i="7"/>
  <c r="F61" i="53"/>
  <c r="G61" i="53"/>
  <c r="H61" i="53"/>
  <c r="D281" i="38"/>
  <c r="E281" i="38"/>
  <c r="G281" i="38"/>
  <c r="H281" i="38"/>
  <c r="K281" i="38"/>
  <c r="L281" i="38" s="1"/>
  <c r="M281" i="38"/>
  <c r="T281" i="38" s="1"/>
  <c r="R281" i="38"/>
  <c r="M73" i="62"/>
  <c r="H73" i="62"/>
  <c r="C73" i="62"/>
  <c r="F61" i="62"/>
  <c r="F60" i="62"/>
  <c r="F59" i="62"/>
  <c r="K58" i="62"/>
  <c r="F58" i="62"/>
  <c r="K57" i="62"/>
  <c r="F57" i="62"/>
  <c r="F425" i="25"/>
  <c r="H425" i="25"/>
  <c r="G425" i="25"/>
  <c r="F197" i="25"/>
  <c r="H46" i="50"/>
  <c r="G46" i="50"/>
  <c r="F46" i="50"/>
  <c r="F2" i="50"/>
  <c r="M126" i="49" l="1"/>
  <c r="K73" i="62"/>
  <c r="O281" i="38"/>
  <c r="N281" i="38"/>
  <c r="F73" i="62"/>
  <c r="F193" i="7"/>
  <c r="G193" i="7"/>
  <c r="H193" i="7"/>
  <c r="F61" i="57"/>
  <c r="G61" i="57"/>
  <c r="H61" i="57"/>
  <c r="F87" i="49"/>
  <c r="G87" i="49"/>
  <c r="H87" i="49"/>
  <c r="F59" i="34"/>
  <c r="G59" i="34"/>
  <c r="H59" i="34"/>
  <c r="F25" i="43"/>
  <c r="G25" i="43"/>
  <c r="H25" i="43"/>
  <c r="R263" i="1"/>
  <c r="G277" i="38"/>
  <c r="G278" i="38"/>
  <c r="G279" i="38"/>
  <c r="G280" i="38"/>
  <c r="D279" i="38"/>
  <c r="D280" i="38"/>
  <c r="E280" i="38"/>
  <c r="H280" i="38"/>
  <c r="K280" i="38"/>
  <c r="L280" i="38" s="1"/>
  <c r="M280" i="38"/>
  <c r="T280" i="38" s="1"/>
  <c r="R280" i="38"/>
  <c r="F84" i="51"/>
  <c r="G84" i="51"/>
  <c r="H84" i="51"/>
  <c r="F17" i="51"/>
  <c r="F45" i="58"/>
  <c r="H45" i="58"/>
  <c r="G45" i="58"/>
  <c r="F4" i="58"/>
  <c r="F44" i="58"/>
  <c r="G44" i="58"/>
  <c r="H44" i="58"/>
  <c r="F3" i="58"/>
  <c r="F73" i="45"/>
  <c r="H73" i="45"/>
  <c r="G73" i="45"/>
  <c r="F3" i="45"/>
  <c r="F424" i="25"/>
  <c r="H424" i="25"/>
  <c r="F423" i="25"/>
  <c r="H423" i="25"/>
  <c r="F422" i="25"/>
  <c r="H422" i="25"/>
  <c r="G424" i="25"/>
  <c r="G423" i="25"/>
  <c r="G422" i="25"/>
  <c r="F196" i="25"/>
  <c r="F195" i="25"/>
  <c r="F170" i="25"/>
  <c r="K183" i="25"/>
  <c r="H70" i="61"/>
  <c r="G70" i="61"/>
  <c r="F70" i="61"/>
  <c r="F69" i="61"/>
  <c r="H69" i="61"/>
  <c r="G69" i="61"/>
  <c r="K6" i="61"/>
  <c r="F8" i="61"/>
  <c r="F26" i="70"/>
  <c r="G26" i="70"/>
  <c r="H26" i="70"/>
  <c r="F3" i="70"/>
  <c r="F2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AE57" i="70"/>
  <c r="AD57" i="70"/>
  <c r="P57" i="70"/>
  <c r="AE56" i="70"/>
  <c r="AD56" i="70"/>
  <c r="P56" i="70"/>
  <c r="AE55" i="70"/>
  <c r="AD55" i="70"/>
  <c r="P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P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AE38" i="70"/>
  <c r="AD38" i="70"/>
  <c r="AE37" i="70"/>
  <c r="AD37" i="70"/>
  <c r="AE36" i="70"/>
  <c r="AD36" i="70"/>
  <c r="AE35" i="70"/>
  <c r="AD35" i="70"/>
  <c r="AE34" i="70"/>
  <c r="AD34" i="70"/>
  <c r="AE33" i="70"/>
  <c r="AD33" i="70"/>
  <c r="AE32" i="70"/>
  <c r="AD32" i="70"/>
  <c r="AE31" i="70"/>
  <c r="AD31" i="70"/>
  <c r="AE30" i="70"/>
  <c r="AD30" i="70"/>
  <c r="AE29" i="70"/>
  <c r="AD29" i="70"/>
  <c r="AE28" i="70"/>
  <c r="AD28" i="70"/>
  <c r="AE27" i="70"/>
  <c r="AD27" i="70"/>
  <c r="AE26" i="70"/>
  <c r="AD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C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AE9" i="70"/>
  <c r="AD9" i="70"/>
  <c r="AE8" i="70"/>
  <c r="AD8" i="70"/>
  <c r="AE7" i="70"/>
  <c r="AD7" i="70"/>
  <c r="AE6" i="70"/>
  <c r="AD6" i="70"/>
  <c r="AE5" i="70"/>
  <c r="AD5" i="70"/>
  <c r="AE4" i="70"/>
  <c r="AD4" i="70"/>
  <c r="AE3" i="70"/>
  <c r="AD3" i="70"/>
  <c r="AE2" i="70"/>
  <c r="AD2" i="70"/>
  <c r="K18" i="70"/>
  <c r="F18" i="70"/>
  <c r="M19" i="70"/>
  <c r="H19" i="70"/>
  <c r="C19" i="70"/>
  <c r="K19" i="70"/>
  <c r="F19" i="70"/>
  <c r="M55" i="62" l="1"/>
  <c r="Q10" i="62" s="1"/>
  <c r="Q2" i="70"/>
  <c r="N280" i="38"/>
  <c r="O280" i="38"/>
  <c r="Q8" i="70"/>
  <c r="Q7" i="70" s="1"/>
  <c r="Q5" i="70"/>
  <c r="Q3" i="70"/>
  <c r="Q6" i="70" s="1"/>
  <c r="F24" i="43"/>
  <c r="G24" i="43"/>
  <c r="H24" i="43"/>
  <c r="Q9" i="70" l="1"/>
  <c r="F43" i="58"/>
  <c r="G43" i="58"/>
  <c r="H43" i="58"/>
  <c r="F68" i="61"/>
  <c r="G68" i="61"/>
  <c r="H68" i="61"/>
  <c r="F83" i="51"/>
  <c r="G83" i="51"/>
  <c r="H83" i="51"/>
  <c r="F60" i="57"/>
  <c r="G60" i="57"/>
  <c r="H60" i="57"/>
  <c r="F86" i="49"/>
  <c r="G86" i="49"/>
  <c r="H86" i="49"/>
  <c r="E279" i="38"/>
  <c r="H279" i="38"/>
  <c r="K279" i="38"/>
  <c r="L279" i="38" s="1"/>
  <c r="M279" i="38"/>
  <c r="T279" i="38" s="1"/>
  <c r="R279" i="38"/>
  <c r="F421" i="25"/>
  <c r="H421" i="25"/>
  <c r="G421" i="25"/>
  <c r="F194" i="25"/>
  <c r="N279" i="38" l="1"/>
  <c r="O279" i="38"/>
  <c r="F192" i="7"/>
  <c r="G192" i="7"/>
  <c r="H192" i="7"/>
  <c r="F60" i="53"/>
  <c r="G60" i="53"/>
  <c r="H60" i="53"/>
  <c r="F96" i="31"/>
  <c r="G96" i="31"/>
  <c r="H96" i="31"/>
  <c r="F279" i="17"/>
  <c r="G279" i="17"/>
  <c r="H279" i="17"/>
  <c r="F58" i="34"/>
  <c r="G58" i="34"/>
  <c r="H58" i="34"/>
  <c r="F43" i="62"/>
  <c r="G43" i="62"/>
  <c r="H43" i="62"/>
  <c r="F85" i="49"/>
  <c r="G85" i="49"/>
  <c r="H85" i="49"/>
  <c r="F29" i="66"/>
  <c r="G29" i="66"/>
  <c r="H29" i="66"/>
  <c r="F59" i="57"/>
  <c r="G59" i="57"/>
  <c r="H59" i="57"/>
  <c r="F25" i="67"/>
  <c r="G25" i="67"/>
  <c r="H25" i="67"/>
  <c r="F420" i="25"/>
  <c r="G420" i="25"/>
  <c r="H420" i="25"/>
  <c r="R278" i="38"/>
  <c r="M278" i="38"/>
  <c r="N278" i="38" s="1"/>
  <c r="K278" i="38"/>
  <c r="L278" i="38" s="1"/>
  <c r="H278" i="38"/>
  <c r="D278" i="38"/>
  <c r="E278" i="38"/>
  <c r="F40" i="40"/>
  <c r="H40" i="40"/>
  <c r="G40" i="40"/>
  <c r="K2" i="40"/>
  <c r="O278" i="38" l="1"/>
  <c r="T278" i="38"/>
  <c r="F72" i="45"/>
  <c r="G72" i="45"/>
  <c r="H72" i="45"/>
  <c r="F67" i="61"/>
  <c r="G67" i="61"/>
  <c r="H67" i="61"/>
  <c r="F25" i="65"/>
  <c r="G25" i="65"/>
  <c r="H25" i="65"/>
  <c r="F27" i="68"/>
  <c r="G27" i="68"/>
  <c r="H27" i="68"/>
  <c r="F23" i="43"/>
  <c r="G23" i="43"/>
  <c r="H23" i="43"/>
  <c r="H22" i="43"/>
  <c r="G22" i="43"/>
  <c r="F84" i="49"/>
  <c r="G84" i="49"/>
  <c r="H84" i="49"/>
  <c r="F419" i="25"/>
  <c r="H419" i="25"/>
  <c r="G419" i="25"/>
  <c r="H231" i="25"/>
  <c r="F168" i="25"/>
  <c r="D277" i="38"/>
  <c r="E277" i="38"/>
  <c r="H277" i="38"/>
  <c r="K277" i="38"/>
  <c r="L277" i="38" s="1"/>
  <c r="M277" i="38"/>
  <c r="N277" i="38" s="1"/>
  <c r="R277" i="38"/>
  <c r="K182" i="25"/>
  <c r="F39" i="40"/>
  <c r="G39" i="40"/>
  <c r="H39" i="40"/>
  <c r="F3" i="40"/>
  <c r="F418" i="25"/>
  <c r="G418" i="25"/>
  <c r="H418" i="25"/>
  <c r="F165" i="25"/>
  <c r="K181" i="25"/>
  <c r="F191" i="7"/>
  <c r="H191" i="7"/>
  <c r="G191" i="7"/>
  <c r="F278" i="17"/>
  <c r="G278" i="17"/>
  <c r="H278" i="17"/>
  <c r="K134" i="17"/>
  <c r="F72" i="7"/>
  <c r="K73" i="7"/>
  <c r="F81" i="7"/>
  <c r="K72" i="7"/>
  <c r="O277" i="38" l="1"/>
  <c r="T277" i="38"/>
  <c r="F38" i="40"/>
  <c r="G38" i="40"/>
  <c r="H38" i="40"/>
  <c r="F58" i="57"/>
  <c r="G58" i="57"/>
  <c r="H58" i="57"/>
  <c r="F66" i="61"/>
  <c r="G66" i="61"/>
  <c r="H66" i="61"/>
  <c r="F82" i="51"/>
  <c r="G82" i="51"/>
  <c r="H82" i="51"/>
  <c r="F71" i="45"/>
  <c r="G71" i="45"/>
  <c r="H71" i="45"/>
  <c r="F190" i="7"/>
  <c r="G190" i="7"/>
  <c r="H190" i="7"/>
  <c r="F24" i="67"/>
  <c r="G24" i="67"/>
  <c r="H24" i="67"/>
  <c r="F95" i="31"/>
  <c r="G95" i="31"/>
  <c r="H95" i="31"/>
  <c r="D276" i="38"/>
  <c r="E276" i="38"/>
  <c r="G276" i="38"/>
  <c r="H276" i="38"/>
  <c r="K276" i="38"/>
  <c r="L276" i="38" s="1"/>
  <c r="M276" i="38"/>
  <c r="T276" i="38" s="1"/>
  <c r="R276" i="38"/>
  <c r="F417" i="25"/>
  <c r="H417" i="25"/>
  <c r="F416" i="25"/>
  <c r="H416" i="25"/>
  <c r="G417" i="25"/>
  <c r="G416" i="25"/>
  <c r="F193" i="25"/>
  <c r="F192" i="25"/>
  <c r="O276" i="38" l="1"/>
  <c r="N276" i="38"/>
  <c r="F277" i="17"/>
  <c r="G277" i="17"/>
  <c r="H277" i="17"/>
  <c r="F65" i="61"/>
  <c r="G65" i="61"/>
  <c r="H65" i="61"/>
  <c r="F23" i="67"/>
  <c r="G23" i="67"/>
  <c r="H23" i="67"/>
  <c r="F81" i="51"/>
  <c r="G81" i="51"/>
  <c r="H81" i="51"/>
  <c r="F37" i="40"/>
  <c r="G37" i="40"/>
  <c r="H37" i="40"/>
  <c r="F70" i="45"/>
  <c r="G70" i="45"/>
  <c r="H70" i="45"/>
  <c r="F83" i="49"/>
  <c r="G83" i="49"/>
  <c r="H83" i="49"/>
  <c r="G275" i="38"/>
  <c r="D275" i="38"/>
  <c r="E275" i="38"/>
  <c r="H275" i="38"/>
  <c r="K275" i="38"/>
  <c r="L275" i="38" s="1"/>
  <c r="M275" i="38"/>
  <c r="T275" i="38" s="1"/>
  <c r="R275" i="38"/>
  <c r="F415" i="25"/>
  <c r="G415" i="25"/>
  <c r="H415" i="25"/>
  <c r="F191" i="25"/>
  <c r="O275" i="38" l="1"/>
  <c r="N275" i="38"/>
  <c r="C29" i="49"/>
  <c r="F276" i="17"/>
  <c r="G276" i="17"/>
  <c r="H276" i="17"/>
  <c r="F414" i="25"/>
  <c r="G414" i="25"/>
  <c r="H414" i="25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45" i="48"/>
  <c r="H45" i="48"/>
  <c r="C45" i="48"/>
  <c r="K36" i="48"/>
  <c r="K45" i="48" s="1"/>
  <c r="F36" i="48"/>
  <c r="F45" i="48" s="1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K18" i="48"/>
  <c r="H18" i="48"/>
  <c r="F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M49" i="43"/>
  <c r="H49" i="43"/>
  <c r="C49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K42" i="43"/>
  <c r="K49" i="43" s="1"/>
  <c r="F42" i="43"/>
  <c r="F49" i="43" s="1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F2" i="43"/>
  <c r="F18" i="43" s="1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F16" i="31"/>
  <c r="AE15" i="31"/>
  <c r="AD15" i="31"/>
  <c r="F15" i="31"/>
  <c r="AE14" i="31"/>
  <c r="AD14" i="31"/>
  <c r="F14" i="31"/>
  <c r="AE13" i="31"/>
  <c r="AD13" i="31"/>
  <c r="F13" i="31"/>
  <c r="AE12" i="31"/>
  <c r="AD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M75" i="40"/>
  <c r="H75" i="40"/>
  <c r="C75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AE53" i="40"/>
  <c r="AD53" i="40"/>
  <c r="P53" i="40"/>
  <c r="AE52" i="40"/>
  <c r="AD52" i="40"/>
  <c r="P52" i="40"/>
  <c r="AE51" i="40"/>
  <c r="AD51" i="40"/>
  <c r="P51" i="40"/>
  <c r="AE50" i="40"/>
  <c r="AD50" i="40"/>
  <c r="P50" i="40"/>
  <c r="AE49" i="40"/>
  <c r="AD49" i="40"/>
  <c r="P49" i="40"/>
  <c r="AE48" i="40"/>
  <c r="AD48" i="40"/>
  <c r="P48" i="40"/>
  <c r="AE47" i="40"/>
  <c r="AD47" i="40"/>
  <c r="P47" i="40"/>
  <c r="K61" i="40"/>
  <c r="F61" i="40"/>
  <c r="AE46" i="40"/>
  <c r="AD46" i="40"/>
  <c r="P46" i="40"/>
  <c r="K60" i="40"/>
  <c r="F60" i="40"/>
  <c r="AE45" i="40"/>
  <c r="AD45" i="40"/>
  <c r="P45" i="40"/>
  <c r="K59" i="40"/>
  <c r="F59" i="40"/>
  <c r="AE44" i="40"/>
  <c r="AD44" i="40"/>
  <c r="P44" i="40"/>
  <c r="AE43" i="40"/>
  <c r="AD43" i="40"/>
  <c r="P43" i="40"/>
  <c r="AE42" i="40"/>
  <c r="AD42" i="40"/>
  <c r="P42" i="40"/>
  <c r="AE41" i="40"/>
  <c r="AD41" i="40"/>
  <c r="P41" i="40"/>
  <c r="AE40" i="40"/>
  <c r="AD40" i="40"/>
  <c r="AE39" i="40"/>
  <c r="AD39" i="40"/>
  <c r="AE38" i="40"/>
  <c r="AD38" i="40"/>
  <c r="AE37" i="40"/>
  <c r="AD37" i="40"/>
  <c r="AE36" i="40"/>
  <c r="AD36" i="40"/>
  <c r="H36" i="40"/>
  <c r="G36" i="40"/>
  <c r="F36" i="40"/>
  <c r="AE35" i="40"/>
  <c r="AD35" i="40"/>
  <c r="AE34" i="40"/>
  <c r="AD34" i="40"/>
  <c r="AE33" i="40"/>
  <c r="AD33" i="40"/>
  <c r="AE32" i="40"/>
  <c r="AD32" i="40"/>
  <c r="H32" i="40"/>
  <c r="G32" i="40"/>
  <c r="F32" i="40"/>
  <c r="AE31" i="40"/>
  <c r="AD31" i="40"/>
  <c r="H31" i="40"/>
  <c r="G31" i="40"/>
  <c r="F31" i="40"/>
  <c r="AE30" i="40"/>
  <c r="AD30" i="40"/>
  <c r="H30" i="40"/>
  <c r="G30" i="40"/>
  <c r="F30" i="40"/>
  <c r="AE29" i="40"/>
  <c r="AD29" i="40"/>
  <c r="H29" i="40"/>
  <c r="G29" i="40"/>
  <c r="F29" i="40"/>
  <c r="AE28" i="40"/>
  <c r="AD28" i="40"/>
  <c r="H28" i="40"/>
  <c r="G28" i="40"/>
  <c r="F28" i="40"/>
  <c r="AE27" i="40"/>
  <c r="AD27" i="40"/>
  <c r="H27" i="40"/>
  <c r="G27" i="40"/>
  <c r="F27" i="40"/>
  <c r="AE26" i="40"/>
  <c r="AD26" i="40"/>
  <c r="H26" i="40"/>
  <c r="G26" i="40"/>
  <c r="F26" i="40"/>
  <c r="AE25" i="40"/>
  <c r="AD25" i="40"/>
  <c r="H25" i="40"/>
  <c r="G25" i="40"/>
  <c r="F25" i="40"/>
  <c r="AE24" i="40"/>
  <c r="AD24" i="40"/>
  <c r="H24" i="40"/>
  <c r="G24" i="40"/>
  <c r="F24" i="40"/>
  <c r="AE23" i="40"/>
  <c r="AD23" i="40"/>
  <c r="H23" i="40"/>
  <c r="G23" i="40"/>
  <c r="F23" i="40"/>
  <c r="AE22" i="40"/>
  <c r="AD22" i="40"/>
  <c r="H22" i="40"/>
  <c r="G22" i="40"/>
  <c r="F22" i="40"/>
  <c r="AE21" i="40"/>
  <c r="AD21" i="40"/>
  <c r="AE20" i="40"/>
  <c r="AD20" i="40"/>
  <c r="AE19" i="40"/>
  <c r="AD19" i="40"/>
  <c r="AE18" i="40"/>
  <c r="AD18" i="40"/>
  <c r="M18" i="40"/>
  <c r="K18" i="40"/>
  <c r="H18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AE11" i="40"/>
  <c r="AD11" i="40"/>
  <c r="AE10" i="40"/>
  <c r="AD10" i="40"/>
  <c r="AE9" i="40"/>
  <c r="AD9" i="40"/>
  <c r="AE8" i="40"/>
  <c r="AD8" i="40"/>
  <c r="AE7" i="40"/>
  <c r="AD7" i="40"/>
  <c r="AE6" i="40"/>
  <c r="AD6" i="40"/>
  <c r="AE5" i="40"/>
  <c r="AD5" i="40"/>
  <c r="AE4" i="40"/>
  <c r="AD4" i="40"/>
  <c r="AE3" i="40"/>
  <c r="AD3" i="40"/>
  <c r="AE2" i="40"/>
  <c r="AD2" i="40"/>
  <c r="F2" i="40"/>
  <c r="AE69" i="34"/>
  <c r="AD69" i="34"/>
  <c r="AE68" i="34"/>
  <c r="AD68" i="34"/>
  <c r="AE67" i="34"/>
  <c r="AD67" i="34"/>
  <c r="AE66" i="34"/>
  <c r="AD66" i="34"/>
  <c r="AE65" i="34"/>
  <c r="AD65" i="34"/>
  <c r="AE64" i="34"/>
  <c r="AD64" i="34"/>
  <c r="AE63" i="34"/>
  <c r="AD63" i="34"/>
  <c r="AE62" i="34"/>
  <c r="AD62" i="34"/>
  <c r="AE61" i="34"/>
  <c r="AD61" i="34"/>
  <c r="P61" i="34"/>
  <c r="AE60" i="34"/>
  <c r="AD60" i="34"/>
  <c r="P60" i="34"/>
  <c r="AE59" i="34"/>
  <c r="AD59" i="34"/>
  <c r="P59" i="34"/>
  <c r="AE58" i="34"/>
  <c r="AD58" i="34"/>
  <c r="P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H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F11" i="34"/>
  <c r="AE10" i="34"/>
  <c r="AD10" i="34"/>
  <c r="Q10" i="34"/>
  <c r="F10" i="34"/>
  <c r="AE9" i="34"/>
  <c r="AD9" i="34"/>
  <c r="F9" i="34"/>
  <c r="AE8" i="34"/>
  <c r="AD8" i="34"/>
  <c r="F8" i="34"/>
  <c r="AE7" i="34"/>
  <c r="AD7" i="34"/>
  <c r="F7" i="34"/>
  <c r="AE6" i="34"/>
  <c r="AD6" i="34"/>
  <c r="F6" i="34"/>
  <c r="AE5" i="34"/>
  <c r="AD5" i="34"/>
  <c r="K5" i="34"/>
  <c r="F5" i="34"/>
  <c r="AE4" i="34"/>
  <c r="AD4" i="34"/>
  <c r="K4" i="34"/>
  <c r="F4" i="34"/>
  <c r="AE3" i="34"/>
  <c r="AD3" i="34"/>
  <c r="K3" i="34"/>
  <c r="F3" i="34"/>
  <c r="AE2" i="34"/>
  <c r="AD2" i="34"/>
  <c r="K2" i="34"/>
  <c r="F2" i="34"/>
  <c r="M122" i="49"/>
  <c r="H122" i="49"/>
  <c r="C122" i="49"/>
  <c r="K106" i="49"/>
  <c r="K122" i="49" s="1"/>
  <c r="F106" i="49"/>
  <c r="F122" i="49" s="1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H29" i="49"/>
  <c r="Q2" i="49" s="1"/>
  <c r="Q5" i="49" s="1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M102" i="53"/>
  <c r="H102" i="53"/>
  <c r="C102" i="53"/>
  <c r="AE69" i="53"/>
  <c r="AD69" i="53"/>
  <c r="AE68" i="53"/>
  <c r="AD68" i="53"/>
  <c r="K89" i="53"/>
  <c r="F89" i="53"/>
  <c r="AE67" i="53"/>
  <c r="AD67" i="53"/>
  <c r="K88" i="53"/>
  <c r="F88" i="53"/>
  <c r="AE66" i="53"/>
  <c r="AD66" i="53"/>
  <c r="K87" i="53"/>
  <c r="F87" i="53"/>
  <c r="AE65" i="53"/>
  <c r="AD65" i="53"/>
  <c r="K86" i="53"/>
  <c r="F86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H59" i="53"/>
  <c r="G59" i="53"/>
  <c r="F59" i="53"/>
  <c r="AE58" i="53"/>
  <c r="AD58" i="53"/>
  <c r="P58" i="53"/>
  <c r="H58" i="53"/>
  <c r="G58" i="53"/>
  <c r="F58" i="53"/>
  <c r="AE57" i="53"/>
  <c r="AD57" i="53"/>
  <c r="P57" i="53"/>
  <c r="H57" i="53"/>
  <c r="G57" i="53"/>
  <c r="F57" i="53"/>
  <c r="AE56" i="53"/>
  <c r="AD56" i="53"/>
  <c r="P56" i="53"/>
  <c r="H56" i="53"/>
  <c r="G56" i="53"/>
  <c r="F56" i="53"/>
  <c r="AE55" i="53"/>
  <c r="AD55" i="53"/>
  <c r="P55" i="53"/>
  <c r="H55" i="53"/>
  <c r="G55" i="53"/>
  <c r="F55" i="53"/>
  <c r="AE54" i="53"/>
  <c r="AD54" i="53"/>
  <c r="P54" i="53"/>
  <c r="H54" i="53"/>
  <c r="G54" i="53"/>
  <c r="F54" i="53"/>
  <c r="AE53" i="53"/>
  <c r="AD53" i="53"/>
  <c r="P53" i="53"/>
  <c r="H53" i="53"/>
  <c r="G53" i="53"/>
  <c r="F53" i="53"/>
  <c r="AE52" i="53"/>
  <c r="AD52" i="53"/>
  <c r="P52" i="53"/>
  <c r="H52" i="53"/>
  <c r="G52" i="53"/>
  <c r="F52" i="53"/>
  <c r="AE51" i="53"/>
  <c r="AD51" i="53"/>
  <c r="P51" i="53"/>
  <c r="H51" i="53"/>
  <c r="G51" i="53"/>
  <c r="F51" i="53"/>
  <c r="AE50" i="53"/>
  <c r="AD50" i="53"/>
  <c r="P50" i="53"/>
  <c r="H50" i="53"/>
  <c r="G50" i="53"/>
  <c r="F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H45" i="53"/>
  <c r="G45" i="53"/>
  <c r="F45" i="53"/>
  <c r="AE44" i="53"/>
  <c r="AD44" i="53"/>
  <c r="P44" i="53"/>
  <c r="H44" i="53"/>
  <c r="G44" i="53"/>
  <c r="F44" i="53"/>
  <c r="AE43" i="53"/>
  <c r="AD43" i="53"/>
  <c r="P43" i="53"/>
  <c r="H43" i="53"/>
  <c r="G43" i="53"/>
  <c r="F43" i="53"/>
  <c r="AE42" i="53"/>
  <c r="AD42" i="53"/>
  <c r="P42" i="53"/>
  <c r="H42" i="53"/>
  <c r="G42" i="53"/>
  <c r="F42" i="53"/>
  <c r="AE41" i="53"/>
  <c r="AD41" i="53"/>
  <c r="P41" i="53"/>
  <c r="H41" i="53"/>
  <c r="G41" i="53"/>
  <c r="F41" i="53"/>
  <c r="AE40" i="53"/>
  <c r="AD40" i="53"/>
  <c r="H40" i="53"/>
  <c r="G40" i="53"/>
  <c r="F40" i="53"/>
  <c r="AE39" i="53"/>
  <c r="AD39" i="53"/>
  <c r="H39" i="53"/>
  <c r="G39" i="53"/>
  <c r="F39" i="53"/>
  <c r="AE38" i="53"/>
  <c r="AD38" i="53"/>
  <c r="H38" i="53"/>
  <c r="G38" i="53"/>
  <c r="F38" i="53"/>
  <c r="AE37" i="53"/>
  <c r="AD37" i="53"/>
  <c r="H37" i="53"/>
  <c r="G37" i="53"/>
  <c r="F37" i="53"/>
  <c r="AE36" i="53"/>
  <c r="AD36" i="53"/>
  <c r="H36" i="53"/>
  <c r="G36" i="53"/>
  <c r="F36" i="53"/>
  <c r="AE35" i="53"/>
  <c r="AD35" i="53"/>
  <c r="H35" i="53"/>
  <c r="G35" i="53"/>
  <c r="F35" i="53"/>
  <c r="AE34" i="53"/>
  <c r="AD34" i="53"/>
  <c r="H34" i="53"/>
  <c r="G34" i="53"/>
  <c r="F34" i="53"/>
  <c r="AE33" i="53"/>
  <c r="AD33" i="53"/>
  <c r="H33" i="53"/>
  <c r="G33" i="53"/>
  <c r="F33" i="53"/>
  <c r="AE32" i="53"/>
  <c r="AD32" i="53"/>
  <c r="H32" i="53"/>
  <c r="G32" i="53"/>
  <c r="F32" i="53"/>
  <c r="AE31" i="53"/>
  <c r="AD31" i="53"/>
  <c r="H31" i="53"/>
  <c r="G31" i="53"/>
  <c r="F31" i="53"/>
  <c r="AE30" i="53"/>
  <c r="AD30" i="53"/>
  <c r="H30" i="53"/>
  <c r="G30" i="53"/>
  <c r="F30" i="53"/>
  <c r="AE29" i="53"/>
  <c r="AD29" i="53"/>
  <c r="H29" i="53"/>
  <c r="G29" i="53"/>
  <c r="F29" i="53"/>
  <c r="AE28" i="53"/>
  <c r="AD28" i="53"/>
  <c r="H28" i="53"/>
  <c r="G28" i="53"/>
  <c r="F28" i="53"/>
  <c r="AE27" i="53"/>
  <c r="AD27" i="53"/>
  <c r="H27" i="53"/>
  <c r="G27" i="53"/>
  <c r="F27" i="53"/>
  <c r="AE26" i="53"/>
  <c r="AD26" i="53"/>
  <c r="H26" i="53"/>
  <c r="G26" i="53"/>
  <c r="F26" i="53"/>
  <c r="AE25" i="53"/>
  <c r="AD25" i="53"/>
  <c r="H25" i="53"/>
  <c r="G25" i="53"/>
  <c r="F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F3" i="53"/>
  <c r="AE2" i="53"/>
  <c r="AD2" i="53"/>
  <c r="F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AE64" i="16"/>
  <c r="AD64" i="16"/>
  <c r="AE63" i="16"/>
  <c r="AD63" i="16"/>
  <c r="P63" i="16"/>
  <c r="AE62" i="16"/>
  <c r="AD62" i="16"/>
  <c r="P62" i="16"/>
  <c r="AE61" i="16"/>
  <c r="AD61" i="16"/>
  <c r="P61" i="16"/>
  <c r="AE60" i="16"/>
  <c r="AD60" i="16"/>
  <c r="P60" i="16"/>
  <c r="AE59" i="16"/>
  <c r="AD59" i="16"/>
  <c r="P59" i="16"/>
  <c r="AE58" i="16"/>
  <c r="AD58" i="16"/>
  <c r="P58" i="16"/>
  <c r="AE57" i="16"/>
  <c r="AD57" i="16"/>
  <c r="P57" i="16"/>
  <c r="AE56" i="16"/>
  <c r="AD56" i="16"/>
  <c r="P56" i="16"/>
  <c r="AE55" i="16"/>
  <c r="AD55" i="16"/>
  <c r="P55" i="16"/>
  <c r="AE54" i="16"/>
  <c r="AD54" i="16"/>
  <c r="P54" i="16"/>
  <c r="AE53" i="16"/>
  <c r="AD53" i="16"/>
  <c r="P53" i="16"/>
  <c r="AE52" i="16"/>
  <c r="AD52" i="16"/>
  <c r="P52" i="16"/>
  <c r="AE51" i="16"/>
  <c r="AD51" i="16"/>
  <c r="P51" i="16"/>
  <c r="H51" i="16"/>
  <c r="C51" i="16"/>
  <c r="AE50" i="16"/>
  <c r="AD50" i="16"/>
  <c r="P50" i="16"/>
  <c r="AE49" i="16"/>
  <c r="AD49" i="16"/>
  <c r="P49" i="16"/>
  <c r="F49" i="16"/>
  <c r="AE48" i="16"/>
  <c r="AD48" i="16"/>
  <c r="P48" i="16"/>
  <c r="F48" i="16"/>
  <c r="AE47" i="16"/>
  <c r="AD47" i="16"/>
  <c r="P47" i="16"/>
  <c r="K47" i="16"/>
  <c r="F47" i="16"/>
  <c r="AE46" i="16"/>
  <c r="AD46" i="16"/>
  <c r="P46" i="16"/>
  <c r="K46" i="16"/>
  <c r="F46" i="16"/>
  <c r="AE45" i="16"/>
  <c r="AD45" i="16"/>
  <c r="P45" i="16"/>
  <c r="K45" i="16"/>
  <c r="F45" i="16"/>
  <c r="AE44" i="16"/>
  <c r="AD44" i="16"/>
  <c r="P44" i="16"/>
  <c r="K44" i="16"/>
  <c r="F44" i="16"/>
  <c r="AE43" i="16"/>
  <c r="AD43" i="16"/>
  <c r="P43" i="16"/>
  <c r="K43" i="16"/>
  <c r="F43" i="16"/>
  <c r="AE42" i="16"/>
  <c r="AD42" i="16"/>
  <c r="K42" i="16"/>
  <c r="F42" i="16"/>
  <c r="AE41" i="16"/>
  <c r="AD41" i="16"/>
  <c r="K41" i="16"/>
  <c r="F41" i="16"/>
  <c r="AE40" i="16"/>
  <c r="AD40" i="16"/>
  <c r="K40" i="16"/>
  <c r="F40" i="16"/>
  <c r="AE39" i="16"/>
  <c r="AD39" i="16"/>
  <c r="K39" i="16"/>
  <c r="F39" i="16"/>
  <c r="AE38" i="16"/>
  <c r="AD38" i="16"/>
  <c r="K38" i="16"/>
  <c r="F38" i="16"/>
  <c r="AE37" i="16"/>
  <c r="AD37" i="16"/>
  <c r="K37" i="16"/>
  <c r="F37" i="16"/>
  <c r="AE36" i="16"/>
  <c r="AD36" i="16"/>
  <c r="AE35" i="16"/>
  <c r="AD35" i="16"/>
  <c r="AE34" i="16"/>
  <c r="AD34" i="16"/>
  <c r="AE33" i="16"/>
  <c r="AD33" i="16"/>
  <c r="AE32" i="16"/>
  <c r="AD32" i="16"/>
  <c r="G32" i="16"/>
  <c r="AE31" i="16"/>
  <c r="AD31" i="16"/>
  <c r="H31" i="16"/>
  <c r="G31" i="16"/>
  <c r="F31" i="16"/>
  <c r="AE30" i="16"/>
  <c r="AD30" i="16"/>
  <c r="H30" i="16"/>
  <c r="G30" i="16"/>
  <c r="F30" i="16"/>
  <c r="AE29" i="16"/>
  <c r="AD29" i="16"/>
  <c r="H29" i="16"/>
  <c r="G29" i="16"/>
  <c r="F29" i="16"/>
  <c r="AE28" i="16"/>
  <c r="AD28" i="16"/>
  <c r="H28" i="16"/>
  <c r="G28" i="16"/>
  <c r="F28" i="16"/>
  <c r="AE27" i="16"/>
  <c r="AD27" i="16"/>
  <c r="H27" i="16"/>
  <c r="G27" i="16"/>
  <c r="F27" i="16"/>
  <c r="AE26" i="16"/>
  <c r="AD26" i="16"/>
  <c r="H26" i="16"/>
  <c r="G26" i="16"/>
  <c r="F26" i="16"/>
  <c r="AE25" i="16"/>
  <c r="AD25" i="16"/>
  <c r="H25" i="16"/>
  <c r="G25" i="16"/>
  <c r="F25" i="16"/>
  <c r="AE24" i="16"/>
  <c r="AD24" i="16"/>
  <c r="H24" i="16"/>
  <c r="G24" i="16"/>
  <c r="F24" i="16"/>
  <c r="AE23" i="16"/>
  <c r="AD23" i="16"/>
  <c r="H23" i="16"/>
  <c r="G23" i="16"/>
  <c r="F23" i="16"/>
  <c r="AE22" i="16"/>
  <c r="AD22" i="16"/>
  <c r="H22" i="16"/>
  <c r="G22" i="16"/>
  <c r="F22" i="16"/>
  <c r="AE21" i="16"/>
  <c r="AD21" i="16"/>
  <c r="H21" i="16"/>
  <c r="G21" i="16"/>
  <c r="F21" i="16"/>
  <c r="AE20" i="16"/>
  <c r="AD20" i="16"/>
  <c r="AE19" i="16"/>
  <c r="AD19" i="16"/>
  <c r="AE18" i="16"/>
  <c r="AD18" i="16"/>
  <c r="K18" i="16"/>
  <c r="H18" i="16"/>
  <c r="F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AE69" i="3"/>
  <c r="AD69" i="3"/>
  <c r="F69" i="3"/>
  <c r="AE68" i="3"/>
  <c r="AD68" i="3"/>
  <c r="F68" i="3"/>
  <c r="AE67" i="3"/>
  <c r="AD67" i="3"/>
  <c r="K67" i="3"/>
  <c r="F67" i="3"/>
  <c r="AE66" i="3"/>
  <c r="AD66" i="3"/>
  <c r="K66" i="3"/>
  <c r="F66" i="3"/>
  <c r="AE65" i="3"/>
  <c r="AD65" i="3"/>
  <c r="K65" i="3"/>
  <c r="F65" i="3"/>
  <c r="AE64" i="3"/>
  <c r="AD64" i="3"/>
  <c r="K64" i="3"/>
  <c r="F64" i="3"/>
  <c r="AE63" i="3"/>
  <c r="AD63" i="3"/>
  <c r="K63" i="3"/>
  <c r="F63" i="3"/>
  <c r="AE62" i="3"/>
  <c r="AD62" i="3"/>
  <c r="K62" i="3"/>
  <c r="F62" i="3"/>
  <c r="AE61" i="3"/>
  <c r="AD61" i="3"/>
  <c r="K61" i="3"/>
  <c r="F61" i="3"/>
  <c r="AE60" i="3"/>
  <c r="AD60" i="3"/>
  <c r="Q60" i="3"/>
  <c r="K60" i="3"/>
  <c r="F60" i="3"/>
  <c r="AE59" i="3"/>
  <c r="AD59" i="3"/>
  <c r="Q59" i="3"/>
  <c r="K59" i="3"/>
  <c r="F59" i="3"/>
  <c r="AE58" i="3"/>
  <c r="AD58" i="3"/>
  <c r="Q58" i="3"/>
  <c r="K58" i="3"/>
  <c r="F58" i="3"/>
  <c r="AE57" i="3"/>
  <c r="AD57" i="3"/>
  <c r="Q57" i="3"/>
  <c r="K57" i="3"/>
  <c r="F57" i="3"/>
  <c r="AE56" i="3"/>
  <c r="AD56" i="3"/>
  <c r="Q56" i="3"/>
  <c r="K56" i="3"/>
  <c r="F56" i="3"/>
  <c r="AE55" i="3"/>
  <c r="AD55" i="3"/>
  <c r="Q55" i="3"/>
  <c r="K55" i="3"/>
  <c r="F55" i="3"/>
  <c r="AE54" i="3"/>
  <c r="AD54" i="3"/>
  <c r="Q54" i="3"/>
  <c r="K54" i="3"/>
  <c r="F54" i="3"/>
  <c r="AE53" i="3"/>
  <c r="AD53" i="3"/>
  <c r="Q53" i="3"/>
  <c r="K53" i="3"/>
  <c r="F53" i="3"/>
  <c r="AE52" i="3"/>
  <c r="AD52" i="3"/>
  <c r="Q52" i="3"/>
  <c r="K52" i="3"/>
  <c r="F52" i="3"/>
  <c r="AE51" i="3"/>
  <c r="AD51" i="3"/>
  <c r="Q51" i="3"/>
  <c r="K51" i="3"/>
  <c r="F51" i="3"/>
  <c r="AE50" i="3"/>
  <c r="AD50" i="3"/>
  <c r="Q50" i="3"/>
  <c r="K50" i="3"/>
  <c r="F50" i="3"/>
  <c r="AE49" i="3"/>
  <c r="AD49" i="3"/>
  <c r="Q49" i="3"/>
  <c r="K49" i="3"/>
  <c r="F49" i="3"/>
  <c r="AE48" i="3"/>
  <c r="AD48" i="3"/>
  <c r="Q48" i="3"/>
  <c r="K48" i="3"/>
  <c r="F48" i="3"/>
  <c r="AE47" i="3"/>
  <c r="AD47" i="3"/>
  <c r="Q47" i="3"/>
  <c r="K47" i="3"/>
  <c r="F47" i="3"/>
  <c r="AE46" i="3"/>
  <c r="AD46" i="3"/>
  <c r="Q46" i="3"/>
  <c r="K46" i="3"/>
  <c r="F46" i="3"/>
  <c r="AE45" i="3"/>
  <c r="AD45" i="3"/>
  <c r="Q45" i="3"/>
  <c r="K45" i="3"/>
  <c r="F45" i="3"/>
  <c r="AE44" i="3"/>
  <c r="AD44" i="3"/>
  <c r="Q44" i="3"/>
  <c r="K44" i="3"/>
  <c r="F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5" i="45"/>
  <c r="H105" i="45"/>
  <c r="C105" i="45"/>
  <c r="F97" i="45"/>
  <c r="K96" i="45"/>
  <c r="F96" i="45"/>
  <c r="K95" i="45"/>
  <c r="F95" i="45"/>
  <c r="K94" i="45"/>
  <c r="F94" i="45"/>
  <c r="K93" i="45"/>
  <c r="F93" i="45"/>
  <c r="K92" i="45"/>
  <c r="F92" i="45"/>
  <c r="K91" i="45"/>
  <c r="F91" i="45"/>
  <c r="K90" i="45"/>
  <c r="F90" i="45"/>
  <c r="F89" i="45"/>
  <c r="AE69" i="45"/>
  <c r="AD69" i="45"/>
  <c r="H69" i="45"/>
  <c r="G69" i="45"/>
  <c r="F69" i="45"/>
  <c r="AE68" i="45"/>
  <c r="AD68" i="45"/>
  <c r="H68" i="45"/>
  <c r="G68" i="45"/>
  <c r="F68" i="45"/>
  <c r="AE67" i="45"/>
  <c r="AD67" i="45"/>
  <c r="AE66" i="45"/>
  <c r="AD66" i="45"/>
  <c r="AE65" i="45"/>
  <c r="AD65" i="45"/>
  <c r="AE64" i="45"/>
  <c r="AD64" i="45"/>
  <c r="AE63" i="45"/>
  <c r="AD63" i="45"/>
  <c r="H63" i="45"/>
  <c r="G63" i="45"/>
  <c r="F63" i="45"/>
  <c r="AE62" i="45"/>
  <c r="AD62" i="45"/>
  <c r="H62" i="45"/>
  <c r="G62" i="45"/>
  <c r="F62" i="45"/>
  <c r="AE61" i="45"/>
  <c r="AD61" i="45"/>
  <c r="H61" i="45"/>
  <c r="G61" i="45"/>
  <c r="F61" i="45"/>
  <c r="AE60" i="45"/>
  <c r="AD60" i="45"/>
  <c r="Q60" i="45"/>
  <c r="H60" i="45"/>
  <c r="G60" i="45"/>
  <c r="F60" i="45"/>
  <c r="AE59" i="45"/>
  <c r="AD59" i="45"/>
  <c r="Q59" i="45"/>
  <c r="H59" i="45"/>
  <c r="G59" i="45"/>
  <c r="F59" i="45"/>
  <c r="AE58" i="45"/>
  <c r="AD58" i="45"/>
  <c r="Q58" i="45"/>
  <c r="H58" i="45"/>
  <c r="G58" i="45"/>
  <c r="F58" i="45"/>
  <c r="AE57" i="45"/>
  <c r="AD57" i="45"/>
  <c r="Q57" i="45"/>
  <c r="H57" i="45"/>
  <c r="G57" i="45"/>
  <c r="F57" i="45"/>
  <c r="AE56" i="45"/>
  <c r="AD56" i="45"/>
  <c r="Q56" i="45"/>
  <c r="H56" i="45"/>
  <c r="G56" i="45"/>
  <c r="F56" i="45"/>
  <c r="AE55" i="45"/>
  <c r="AD55" i="45"/>
  <c r="Q55" i="45"/>
  <c r="H55" i="45"/>
  <c r="G55" i="45"/>
  <c r="F55" i="45"/>
  <c r="AE54" i="45"/>
  <c r="AD54" i="45"/>
  <c r="Q54" i="45"/>
  <c r="H54" i="45"/>
  <c r="G54" i="45"/>
  <c r="F54" i="45"/>
  <c r="AE53" i="45"/>
  <c r="AD53" i="45"/>
  <c r="Q53" i="45"/>
  <c r="H53" i="45"/>
  <c r="G53" i="45"/>
  <c r="F53" i="45"/>
  <c r="AE52" i="45"/>
  <c r="AD52" i="45"/>
  <c r="Q52" i="45"/>
  <c r="H52" i="45"/>
  <c r="G52" i="45"/>
  <c r="F52" i="45"/>
  <c r="AE51" i="45"/>
  <c r="AD51" i="45"/>
  <c r="Q51" i="45"/>
  <c r="H51" i="45"/>
  <c r="G51" i="45"/>
  <c r="F51" i="45"/>
  <c r="AE50" i="45"/>
  <c r="AD50" i="45"/>
  <c r="Q50" i="45"/>
  <c r="H50" i="45"/>
  <c r="G50" i="45"/>
  <c r="F50" i="45"/>
  <c r="AE49" i="45"/>
  <c r="AD49" i="45"/>
  <c r="Q49" i="45"/>
  <c r="H49" i="45"/>
  <c r="G49" i="45"/>
  <c r="F49" i="45"/>
  <c r="AE48" i="45"/>
  <c r="AD48" i="45"/>
  <c r="Q48" i="45"/>
  <c r="H48" i="45"/>
  <c r="G48" i="45"/>
  <c r="F48" i="45"/>
  <c r="AE47" i="45"/>
  <c r="AD47" i="45"/>
  <c r="Q47" i="45"/>
  <c r="H47" i="45"/>
  <c r="G47" i="45"/>
  <c r="F47" i="45"/>
  <c r="AE46" i="45"/>
  <c r="AD46" i="45"/>
  <c r="Q46" i="45"/>
  <c r="H46" i="45"/>
  <c r="G46" i="45"/>
  <c r="F46" i="45"/>
  <c r="AE45" i="45"/>
  <c r="AD45" i="45"/>
  <c r="Q45" i="45"/>
  <c r="H45" i="45"/>
  <c r="G45" i="45"/>
  <c r="F45" i="45"/>
  <c r="AE44" i="45"/>
  <c r="AD44" i="45"/>
  <c r="Q44" i="45"/>
  <c r="H44" i="45"/>
  <c r="G44" i="45"/>
  <c r="F44" i="45"/>
  <c r="AE43" i="45"/>
  <c r="AD43" i="45"/>
  <c r="Q43" i="45"/>
  <c r="H43" i="45"/>
  <c r="G43" i="45"/>
  <c r="F43" i="45"/>
  <c r="AE42" i="45"/>
  <c r="AD42" i="45"/>
  <c r="Q42" i="45"/>
  <c r="H42" i="45"/>
  <c r="G42" i="45"/>
  <c r="F42" i="45"/>
  <c r="AE41" i="45"/>
  <c r="AD41" i="45"/>
  <c r="Q41" i="45"/>
  <c r="H41" i="45"/>
  <c r="G41" i="45"/>
  <c r="F41" i="45"/>
  <c r="AE40" i="45"/>
  <c r="AD40" i="45"/>
  <c r="Q40" i="45"/>
  <c r="H40" i="45"/>
  <c r="G40" i="45"/>
  <c r="F40" i="45"/>
  <c r="AE39" i="45"/>
  <c r="AD39" i="45"/>
  <c r="H39" i="45"/>
  <c r="G39" i="45"/>
  <c r="F39" i="45"/>
  <c r="AE38" i="45"/>
  <c r="AD38" i="45"/>
  <c r="H38" i="45"/>
  <c r="G38" i="45"/>
  <c r="F38" i="45"/>
  <c r="AE37" i="45"/>
  <c r="AD37" i="45"/>
  <c r="H37" i="45"/>
  <c r="G37" i="45"/>
  <c r="F37" i="45"/>
  <c r="AE36" i="45"/>
  <c r="AD36" i="45"/>
  <c r="H36" i="45"/>
  <c r="G36" i="45"/>
  <c r="F36" i="45"/>
  <c r="AE35" i="45"/>
  <c r="AD35" i="45"/>
  <c r="H35" i="45"/>
  <c r="G35" i="45"/>
  <c r="F35" i="45"/>
  <c r="AE34" i="45"/>
  <c r="AD34" i="45"/>
  <c r="H34" i="45"/>
  <c r="G34" i="45"/>
  <c r="F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H23" i="45"/>
  <c r="G23" i="45"/>
  <c r="F23" i="45"/>
  <c r="AE22" i="45"/>
  <c r="AD22" i="45"/>
  <c r="H22" i="45"/>
  <c r="G22" i="45"/>
  <c r="F22" i="45"/>
  <c r="AE21" i="45"/>
  <c r="AD21" i="45"/>
  <c r="AE20" i="45"/>
  <c r="AD20" i="45"/>
  <c r="AE19" i="45"/>
  <c r="AD19" i="45"/>
  <c r="AE18" i="45"/>
  <c r="AD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8" i="45" s="1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AE39" i="67"/>
  <c r="AD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AE31" i="67"/>
  <c r="AD31" i="67"/>
  <c r="AE30" i="67"/>
  <c r="AD30" i="67"/>
  <c r="AE29" i="67"/>
  <c r="AD29" i="67"/>
  <c r="AE28" i="67"/>
  <c r="AD28" i="67"/>
  <c r="AE27" i="67"/>
  <c r="AD27" i="67"/>
  <c r="AE26" i="67"/>
  <c r="AD26" i="67"/>
  <c r="AE25" i="67"/>
  <c r="AD25" i="67"/>
  <c r="AE24" i="67"/>
  <c r="AD24" i="67"/>
  <c r="AE23" i="67"/>
  <c r="AD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F18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H275" i="17"/>
  <c r="G275" i="17"/>
  <c r="F275" i="17"/>
  <c r="H274" i="17"/>
  <c r="G274" i="17"/>
  <c r="F274" i="17"/>
  <c r="H273" i="17"/>
  <c r="G273" i="17"/>
  <c r="F273" i="17"/>
  <c r="H272" i="17"/>
  <c r="G272" i="17"/>
  <c r="F272" i="17"/>
  <c r="H271" i="17"/>
  <c r="G271" i="17"/>
  <c r="F271" i="17"/>
  <c r="H270" i="17"/>
  <c r="G270" i="17"/>
  <c r="F270" i="17"/>
  <c r="H269" i="17"/>
  <c r="G269" i="17"/>
  <c r="F269" i="17"/>
  <c r="H268" i="17"/>
  <c r="G268" i="17"/>
  <c r="F268" i="17"/>
  <c r="H267" i="17"/>
  <c r="G267" i="17"/>
  <c r="F267" i="17"/>
  <c r="H266" i="17"/>
  <c r="G266" i="17"/>
  <c r="F266" i="17"/>
  <c r="H265" i="17"/>
  <c r="G265" i="17"/>
  <c r="F265" i="17"/>
  <c r="H264" i="17"/>
  <c r="G264" i="17"/>
  <c r="F264" i="17"/>
  <c r="H263" i="17"/>
  <c r="G263" i="17"/>
  <c r="F263" i="17"/>
  <c r="H262" i="17"/>
  <c r="G262" i="17"/>
  <c r="F262" i="17"/>
  <c r="H261" i="17"/>
  <c r="G261" i="17"/>
  <c r="F261" i="17"/>
  <c r="H260" i="17"/>
  <c r="G260" i="17"/>
  <c r="F260" i="17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M157" i="17"/>
  <c r="H157" i="17"/>
  <c r="C157" i="17"/>
  <c r="K133" i="17"/>
  <c r="K132" i="17"/>
  <c r="K131" i="17"/>
  <c r="K130" i="17"/>
  <c r="F131" i="17"/>
  <c r="K129" i="17"/>
  <c r="F130" i="17"/>
  <c r="K128" i="17"/>
  <c r="F129" i="17"/>
  <c r="K127" i="17"/>
  <c r="F127" i="17"/>
  <c r="K126" i="17"/>
  <c r="F126" i="17"/>
  <c r="K125" i="17"/>
  <c r="F125" i="17"/>
  <c r="K124" i="17"/>
  <c r="F124" i="17"/>
  <c r="K123" i="17"/>
  <c r="F123" i="17"/>
  <c r="K122" i="17"/>
  <c r="F122" i="17"/>
  <c r="K121" i="17"/>
  <c r="F121" i="17"/>
  <c r="K120" i="17"/>
  <c r="F120" i="17"/>
  <c r="F119" i="17"/>
  <c r="F118" i="17"/>
  <c r="K117" i="17"/>
  <c r="F117" i="17"/>
  <c r="K116" i="17"/>
  <c r="F116" i="17"/>
  <c r="K115" i="17"/>
  <c r="F115" i="17"/>
  <c r="K114" i="17"/>
  <c r="F114" i="17"/>
  <c r="K113" i="17"/>
  <c r="F113" i="17"/>
  <c r="K112" i="17"/>
  <c r="F112" i="17"/>
  <c r="K111" i="17"/>
  <c r="F111" i="17"/>
  <c r="K110" i="17"/>
  <c r="F110" i="17"/>
  <c r="F109" i="17"/>
  <c r="K108" i="17"/>
  <c r="F108" i="17"/>
  <c r="K107" i="17"/>
  <c r="F107" i="17"/>
  <c r="K106" i="17"/>
  <c r="F106" i="17"/>
  <c r="K105" i="17"/>
  <c r="F105" i="17"/>
  <c r="K104" i="17"/>
  <c r="F104" i="17"/>
  <c r="F103" i="17"/>
  <c r="F102" i="17"/>
  <c r="F101" i="17"/>
  <c r="F100" i="17"/>
  <c r="F99" i="17"/>
  <c r="F98" i="17"/>
  <c r="F97" i="17"/>
  <c r="F96" i="17"/>
  <c r="F95" i="17"/>
  <c r="F94" i="17"/>
  <c r="F93" i="17"/>
  <c r="F92" i="17"/>
  <c r="F91" i="17"/>
  <c r="F90" i="17"/>
  <c r="F89" i="17"/>
  <c r="F88" i="17"/>
  <c r="F87" i="17"/>
  <c r="F86" i="17"/>
  <c r="F85" i="17"/>
  <c r="F84" i="17"/>
  <c r="F83" i="17"/>
  <c r="F82" i="17"/>
  <c r="F81" i="17"/>
  <c r="F80" i="17"/>
  <c r="F79" i="17"/>
  <c r="F78" i="17"/>
  <c r="F77" i="17"/>
  <c r="F76" i="17"/>
  <c r="F75" i="17"/>
  <c r="F74" i="17"/>
  <c r="F73" i="17"/>
  <c r="F72" i="17"/>
  <c r="F71" i="17"/>
  <c r="F70" i="17"/>
  <c r="F69" i="17"/>
  <c r="AE68" i="17"/>
  <c r="AD68" i="17"/>
  <c r="F68" i="17"/>
  <c r="AE67" i="17"/>
  <c r="AD67" i="17"/>
  <c r="F67" i="17"/>
  <c r="AE66" i="17"/>
  <c r="AD66" i="17"/>
  <c r="F66" i="17"/>
  <c r="AE65" i="17"/>
  <c r="AD65" i="17"/>
  <c r="P65" i="17"/>
  <c r="F65" i="17"/>
  <c r="AE64" i="17"/>
  <c r="AD64" i="17"/>
  <c r="P64" i="17"/>
  <c r="F64" i="17"/>
  <c r="AE63" i="17"/>
  <c r="AD63" i="17"/>
  <c r="P63" i="17"/>
  <c r="F63" i="17"/>
  <c r="AE62" i="17"/>
  <c r="AD62" i="17"/>
  <c r="P62" i="17"/>
  <c r="F62" i="17"/>
  <c r="AE61" i="17"/>
  <c r="AD61" i="17"/>
  <c r="P61" i="17"/>
  <c r="F61" i="17"/>
  <c r="AE60" i="17"/>
  <c r="AD60" i="17"/>
  <c r="P60" i="17"/>
  <c r="K60" i="17"/>
  <c r="F60" i="17"/>
  <c r="AE59" i="17"/>
  <c r="AD59" i="17"/>
  <c r="P59" i="17"/>
  <c r="K59" i="17"/>
  <c r="F59" i="17"/>
  <c r="AE58" i="17"/>
  <c r="AD58" i="17"/>
  <c r="P58" i="17"/>
  <c r="K58" i="17"/>
  <c r="F58" i="17"/>
  <c r="AE57" i="17"/>
  <c r="AD57" i="17"/>
  <c r="P57" i="17"/>
  <c r="K57" i="17"/>
  <c r="F57" i="17"/>
  <c r="AE56" i="17"/>
  <c r="AD56" i="17"/>
  <c r="P56" i="17"/>
  <c r="K56" i="17"/>
  <c r="F56" i="17"/>
  <c r="AE55" i="17"/>
  <c r="AD55" i="17"/>
  <c r="P55" i="17"/>
  <c r="K55" i="17"/>
  <c r="F55" i="17"/>
  <c r="AE54" i="17"/>
  <c r="AD54" i="17"/>
  <c r="P54" i="17"/>
  <c r="K54" i="17"/>
  <c r="F54" i="17"/>
  <c r="AE53" i="17"/>
  <c r="AD53" i="17"/>
  <c r="P53" i="17"/>
  <c r="K53" i="17"/>
  <c r="F53" i="17"/>
  <c r="AE52" i="17"/>
  <c r="AD52" i="17"/>
  <c r="P52" i="17"/>
  <c r="K52" i="17"/>
  <c r="F52" i="17"/>
  <c r="AE51" i="17"/>
  <c r="AD51" i="17"/>
  <c r="P51" i="17"/>
  <c r="K51" i="17"/>
  <c r="F51" i="17"/>
  <c r="AE50" i="17"/>
  <c r="AD50" i="17"/>
  <c r="P50" i="17"/>
  <c r="K50" i="17"/>
  <c r="F50" i="17"/>
  <c r="AE49" i="17"/>
  <c r="AD49" i="17"/>
  <c r="P49" i="17"/>
  <c r="K49" i="17"/>
  <c r="F49" i="17"/>
  <c r="AE48" i="17"/>
  <c r="AD48" i="17"/>
  <c r="P48" i="17"/>
  <c r="K48" i="17"/>
  <c r="F48" i="17"/>
  <c r="AE47" i="17"/>
  <c r="AD47" i="17"/>
  <c r="P47" i="17"/>
  <c r="K47" i="17"/>
  <c r="F47" i="17"/>
  <c r="AE46" i="17"/>
  <c r="AD46" i="17"/>
  <c r="P46" i="17"/>
  <c r="K46" i="17"/>
  <c r="F46" i="17"/>
  <c r="AE45" i="17"/>
  <c r="AD45" i="17"/>
  <c r="P45" i="17"/>
  <c r="K45" i="17"/>
  <c r="F45" i="17"/>
  <c r="AE44" i="17"/>
  <c r="AD44" i="17"/>
  <c r="K44" i="17"/>
  <c r="F44" i="17"/>
  <c r="AE43" i="17"/>
  <c r="AD43" i="17"/>
  <c r="K43" i="17"/>
  <c r="F43" i="17"/>
  <c r="AE42" i="17"/>
  <c r="AD42" i="17"/>
  <c r="K42" i="17"/>
  <c r="F42" i="17"/>
  <c r="AE41" i="17"/>
  <c r="AD41" i="17"/>
  <c r="K41" i="17"/>
  <c r="F41" i="17"/>
  <c r="AE40" i="17"/>
  <c r="AD40" i="17"/>
  <c r="K40" i="17"/>
  <c r="F40" i="17"/>
  <c r="AE39" i="17"/>
  <c r="AD39" i="17"/>
  <c r="K39" i="17"/>
  <c r="F39" i="17"/>
  <c r="AE38" i="17"/>
  <c r="AD38" i="17"/>
  <c r="K38" i="17"/>
  <c r="F38" i="17"/>
  <c r="AE37" i="17"/>
  <c r="AD37" i="17"/>
  <c r="K37" i="17"/>
  <c r="F37" i="17"/>
  <c r="AE36" i="17"/>
  <c r="AD36" i="17"/>
  <c r="K36" i="17"/>
  <c r="F36" i="17"/>
  <c r="AE35" i="17"/>
  <c r="AD35" i="17"/>
  <c r="K35" i="17"/>
  <c r="F35" i="17"/>
  <c r="AE34" i="17"/>
  <c r="AD34" i="17"/>
  <c r="K34" i="17"/>
  <c r="F34" i="17"/>
  <c r="AE33" i="17"/>
  <c r="AD33" i="17"/>
  <c r="K33" i="17"/>
  <c r="F33" i="17"/>
  <c r="AE32" i="17"/>
  <c r="AD32" i="17"/>
  <c r="K32" i="17"/>
  <c r="F32" i="17"/>
  <c r="AE31" i="17"/>
  <c r="AD31" i="17"/>
  <c r="K31" i="17"/>
  <c r="F31" i="17"/>
  <c r="AE30" i="17"/>
  <c r="AD30" i="17"/>
  <c r="K30" i="17"/>
  <c r="F30" i="17"/>
  <c r="AE29" i="17"/>
  <c r="AD29" i="17"/>
  <c r="K29" i="17"/>
  <c r="F29" i="17"/>
  <c r="AE28" i="17"/>
  <c r="AD28" i="17"/>
  <c r="K28" i="17"/>
  <c r="F28" i="17"/>
  <c r="AE27" i="17"/>
  <c r="AD27" i="17"/>
  <c r="K27" i="17"/>
  <c r="F27" i="17"/>
  <c r="AE26" i="17"/>
  <c r="AD26" i="17"/>
  <c r="K26" i="17"/>
  <c r="F26" i="17"/>
  <c r="AE25" i="17"/>
  <c r="AD25" i="17"/>
  <c r="K25" i="17"/>
  <c r="F25" i="17"/>
  <c r="AE24" i="17"/>
  <c r="AD24" i="17"/>
  <c r="K24" i="17"/>
  <c r="F24" i="17"/>
  <c r="AE23" i="17"/>
  <c r="AD23" i="17"/>
  <c r="K23" i="17"/>
  <c r="F23" i="17"/>
  <c r="AE22" i="17"/>
  <c r="AD22" i="17"/>
  <c r="K22" i="17"/>
  <c r="F22" i="17"/>
  <c r="AE21" i="17"/>
  <c r="AD21" i="17"/>
  <c r="K21" i="17"/>
  <c r="F21" i="17"/>
  <c r="AE20" i="17"/>
  <c r="AD20" i="17"/>
  <c r="K20" i="17"/>
  <c r="F20" i="17"/>
  <c r="AE19" i="17"/>
  <c r="AD19" i="17"/>
  <c r="K19" i="17"/>
  <c r="F19" i="17"/>
  <c r="AE18" i="17"/>
  <c r="AD18" i="17"/>
  <c r="K18" i="17"/>
  <c r="F18" i="17"/>
  <c r="AE17" i="17"/>
  <c r="AD17" i="17"/>
  <c r="K17" i="17"/>
  <c r="F17" i="17"/>
  <c r="AE16" i="17"/>
  <c r="AD16" i="17"/>
  <c r="K16" i="17"/>
  <c r="F16" i="17"/>
  <c r="AE15" i="17"/>
  <c r="AD15" i="17"/>
  <c r="K15" i="17"/>
  <c r="F15" i="17"/>
  <c r="AE14" i="17"/>
  <c r="AD14" i="17"/>
  <c r="K14" i="17"/>
  <c r="F14" i="17"/>
  <c r="AE13" i="17"/>
  <c r="AD13" i="17"/>
  <c r="K13" i="17"/>
  <c r="F13" i="17"/>
  <c r="AE12" i="17"/>
  <c r="AD12" i="17"/>
  <c r="K12" i="17"/>
  <c r="F12" i="17"/>
  <c r="AE11" i="17"/>
  <c r="AD11" i="17"/>
  <c r="Q11" i="17"/>
  <c r="K11" i="17"/>
  <c r="F11" i="17"/>
  <c r="AE10" i="17"/>
  <c r="AD10" i="17"/>
  <c r="Q10" i="17"/>
  <c r="K10" i="17"/>
  <c r="F10" i="17"/>
  <c r="AE9" i="17"/>
  <c r="AD9" i="17"/>
  <c r="K9" i="17"/>
  <c r="F9" i="17"/>
  <c r="AE8" i="17"/>
  <c r="AD8" i="17"/>
  <c r="K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K2" i="17"/>
  <c r="F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85" i="58"/>
  <c r="H85" i="58"/>
  <c r="C85" i="58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K69" i="58"/>
  <c r="K85" i="58" s="1"/>
  <c r="F69" i="58"/>
  <c r="F85" i="58" s="1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H42" i="58"/>
  <c r="G42" i="58"/>
  <c r="F42" i="58"/>
  <c r="AE41" i="58"/>
  <c r="AD41" i="58"/>
  <c r="P41" i="58"/>
  <c r="H41" i="58"/>
  <c r="G41" i="58"/>
  <c r="F41" i="58"/>
  <c r="AE40" i="58"/>
  <c r="AD40" i="58"/>
  <c r="AE39" i="58"/>
  <c r="AD39" i="58"/>
  <c r="AE38" i="58"/>
  <c r="AD38" i="58"/>
  <c r="AE37" i="58"/>
  <c r="AD37" i="58"/>
  <c r="H37" i="58"/>
  <c r="G37" i="58"/>
  <c r="F37" i="58"/>
  <c r="AE36" i="58"/>
  <c r="AD36" i="58"/>
  <c r="H36" i="58"/>
  <c r="G36" i="58"/>
  <c r="F36" i="58"/>
  <c r="AE35" i="58"/>
  <c r="AD35" i="58"/>
  <c r="H35" i="58"/>
  <c r="G35" i="58"/>
  <c r="F35" i="58"/>
  <c r="AE34" i="58"/>
  <c r="AD34" i="58"/>
  <c r="H34" i="58"/>
  <c r="G34" i="58"/>
  <c r="F34" i="58"/>
  <c r="AE33" i="58"/>
  <c r="AD33" i="58"/>
  <c r="H33" i="58"/>
  <c r="G33" i="58"/>
  <c r="F33" i="58"/>
  <c r="AE32" i="58"/>
  <c r="AD32" i="58"/>
  <c r="H32" i="58"/>
  <c r="G32" i="58"/>
  <c r="F32" i="58"/>
  <c r="AE31" i="58"/>
  <c r="AD31" i="58"/>
  <c r="H31" i="58"/>
  <c r="G31" i="58"/>
  <c r="F31" i="58"/>
  <c r="AE30" i="58"/>
  <c r="AD30" i="58"/>
  <c r="H30" i="58"/>
  <c r="G30" i="58"/>
  <c r="F30" i="58"/>
  <c r="AE29" i="58"/>
  <c r="AD29" i="58"/>
  <c r="H29" i="58"/>
  <c r="G29" i="58"/>
  <c r="F29" i="58"/>
  <c r="AE28" i="58"/>
  <c r="AD28" i="58"/>
  <c r="H28" i="58"/>
  <c r="G28" i="58"/>
  <c r="F28" i="58"/>
  <c r="AE27" i="58"/>
  <c r="AD27" i="58"/>
  <c r="H27" i="58"/>
  <c r="G27" i="58"/>
  <c r="F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K18" i="50"/>
  <c r="H18" i="50"/>
  <c r="F18" i="50"/>
  <c r="C18" i="50"/>
  <c r="Q11" i="50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23" i="7"/>
  <c r="G123" i="7"/>
  <c r="F123" i="7"/>
  <c r="H122" i="7"/>
  <c r="G122" i="7"/>
  <c r="F122" i="7"/>
  <c r="H121" i="7"/>
  <c r="G121" i="7"/>
  <c r="F121" i="7"/>
  <c r="H120" i="7"/>
  <c r="G120" i="7"/>
  <c r="F120" i="7"/>
  <c r="H119" i="7"/>
  <c r="G119" i="7"/>
  <c r="F119" i="7"/>
  <c r="H118" i="7"/>
  <c r="G118" i="7"/>
  <c r="F118" i="7"/>
  <c r="H117" i="7"/>
  <c r="G117" i="7"/>
  <c r="F117" i="7"/>
  <c r="H116" i="7"/>
  <c r="G116" i="7"/>
  <c r="F116" i="7"/>
  <c r="H115" i="7"/>
  <c r="G115" i="7"/>
  <c r="F115" i="7"/>
  <c r="H114" i="7"/>
  <c r="G114" i="7"/>
  <c r="F114" i="7"/>
  <c r="H113" i="7"/>
  <c r="G113" i="7"/>
  <c r="F113" i="7"/>
  <c r="H107" i="7"/>
  <c r="C107" i="7"/>
  <c r="F80" i="7"/>
  <c r="F79" i="7"/>
  <c r="F78" i="7"/>
  <c r="F77" i="7"/>
  <c r="F76" i="7"/>
  <c r="F75" i="7"/>
  <c r="F74" i="7"/>
  <c r="F73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K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F2" i="68"/>
  <c r="F18" i="68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H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Q10" i="54"/>
  <c r="AE9" i="54"/>
  <c r="AD9" i="54"/>
  <c r="AE8" i="54"/>
  <c r="AD8" i="54"/>
  <c r="AE7" i="54"/>
  <c r="AD7" i="54"/>
  <c r="F7" i="54"/>
  <c r="AE6" i="54"/>
  <c r="AD6" i="54"/>
  <c r="F6" i="54"/>
  <c r="AE5" i="54"/>
  <c r="AD5" i="54"/>
  <c r="K5" i="54"/>
  <c r="F5" i="54"/>
  <c r="AE4" i="54"/>
  <c r="AD4" i="54"/>
  <c r="K4" i="54"/>
  <c r="F4" i="54"/>
  <c r="AE3" i="54"/>
  <c r="AD3" i="54"/>
  <c r="K3" i="54"/>
  <c r="F3" i="54"/>
  <c r="AE2" i="54"/>
  <c r="AD2" i="54"/>
  <c r="K2" i="54"/>
  <c r="F2" i="54"/>
  <c r="H80" i="51"/>
  <c r="G80" i="51"/>
  <c r="F80" i="51"/>
  <c r="H79" i="51"/>
  <c r="G79" i="51"/>
  <c r="F79" i="51"/>
  <c r="H78" i="51"/>
  <c r="G78" i="51"/>
  <c r="F78" i="51"/>
  <c r="H77" i="51"/>
  <c r="G77" i="51"/>
  <c r="F77" i="51"/>
  <c r="H76" i="51"/>
  <c r="G76" i="51"/>
  <c r="F76" i="51"/>
  <c r="H75" i="51"/>
  <c r="G75" i="51"/>
  <c r="F75" i="51"/>
  <c r="H74" i="51"/>
  <c r="G74" i="51"/>
  <c r="F74" i="51"/>
  <c r="H73" i="51"/>
  <c r="G73" i="51"/>
  <c r="F73" i="51"/>
  <c r="H72" i="51"/>
  <c r="G72" i="51"/>
  <c r="F72" i="51"/>
  <c r="H71" i="51"/>
  <c r="G71" i="51"/>
  <c r="F71" i="51"/>
  <c r="H70" i="51"/>
  <c r="G70" i="51"/>
  <c r="F70" i="51"/>
  <c r="AE69" i="51"/>
  <c r="AD69" i="51"/>
  <c r="H69" i="51"/>
  <c r="G69" i="51"/>
  <c r="F69" i="51"/>
  <c r="AE68" i="51"/>
  <c r="AD68" i="51"/>
  <c r="H68" i="51"/>
  <c r="G68" i="51"/>
  <c r="F68" i="51"/>
  <c r="AE67" i="51"/>
  <c r="AD67" i="51"/>
  <c r="H67" i="51"/>
  <c r="G67" i="51"/>
  <c r="F67" i="51"/>
  <c r="AE66" i="51"/>
  <c r="AD66" i="51"/>
  <c r="H66" i="51"/>
  <c r="G66" i="51"/>
  <c r="F66" i="51"/>
  <c r="AE65" i="51"/>
  <c r="AD65" i="51"/>
  <c r="H65" i="51"/>
  <c r="G65" i="51"/>
  <c r="F65" i="51"/>
  <c r="AE64" i="51"/>
  <c r="AD64" i="51"/>
  <c r="H64" i="51"/>
  <c r="G64" i="51"/>
  <c r="F64" i="51"/>
  <c r="AE63" i="51"/>
  <c r="AD63" i="51"/>
  <c r="H63" i="51"/>
  <c r="G63" i="51"/>
  <c r="F63" i="51"/>
  <c r="AE62" i="51"/>
  <c r="AD62" i="51"/>
  <c r="H62" i="51"/>
  <c r="G62" i="51"/>
  <c r="F62" i="51"/>
  <c r="AE61" i="51"/>
  <c r="AD61" i="51"/>
  <c r="P61" i="51"/>
  <c r="H61" i="51"/>
  <c r="G61" i="51"/>
  <c r="F61" i="51"/>
  <c r="AE60" i="51"/>
  <c r="AD60" i="51"/>
  <c r="P60" i="51"/>
  <c r="H60" i="51"/>
  <c r="G60" i="51"/>
  <c r="F60" i="51"/>
  <c r="AE59" i="51"/>
  <c r="AD59" i="51"/>
  <c r="P59" i="51"/>
  <c r="H59" i="51"/>
  <c r="G59" i="51"/>
  <c r="F59" i="51"/>
  <c r="AE58" i="51"/>
  <c r="AD58" i="51"/>
  <c r="P58" i="51"/>
  <c r="H58" i="51"/>
  <c r="G58" i="51"/>
  <c r="F58" i="51"/>
  <c r="AE57" i="51"/>
  <c r="AD57" i="51"/>
  <c r="P57" i="51"/>
  <c r="H57" i="51"/>
  <c r="G57" i="51"/>
  <c r="F57" i="51"/>
  <c r="AE56" i="51"/>
  <c r="AD56" i="51"/>
  <c r="P56" i="51"/>
  <c r="H56" i="51"/>
  <c r="G56" i="51"/>
  <c r="F56" i="51"/>
  <c r="AE55" i="51"/>
  <c r="AD55" i="51"/>
  <c r="P55" i="51"/>
  <c r="H55" i="51"/>
  <c r="G55" i="51"/>
  <c r="F55" i="51"/>
  <c r="AE54" i="51"/>
  <c r="AD54" i="51"/>
  <c r="P54" i="51"/>
  <c r="H54" i="51"/>
  <c r="G54" i="51"/>
  <c r="F54" i="51"/>
  <c r="AE53" i="51"/>
  <c r="AD53" i="51"/>
  <c r="P53" i="51"/>
  <c r="H53" i="51"/>
  <c r="G53" i="51"/>
  <c r="F53" i="51"/>
  <c r="AE52" i="51"/>
  <c r="AD52" i="51"/>
  <c r="P52" i="51"/>
  <c r="H52" i="51"/>
  <c r="G52" i="51"/>
  <c r="F52" i="51"/>
  <c r="AE51" i="51"/>
  <c r="AD51" i="51"/>
  <c r="P51" i="51"/>
  <c r="H51" i="51"/>
  <c r="G51" i="51"/>
  <c r="F51" i="51"/>
  <c r="AE50" i="51"/>
  <c r="AD50" i="51"/>
  <c r="P50" i="51"/>
  <c r="H50" i="51"/>
  <c r="G50" i="51"/>
  <c r="F50" i="51"/>
  <c r="AE49" i="51"/>
  <c r="AD49" i="51"/>
  <c r="P49" i="51"/>
  <c r="H49" i="51"/>
  <c r="G49" i="51"/>
  <c r="F49" i="51"/>
  <c r="AE48" i="51"/>
  <c r="AD48" i="51"/>
  <c r="P48" i="51"/>
  <c r="H48" i="51"/>
  <c r="G48" i="51"/>
  <c r="F48" i="51"/>
  <c r="AE47" i="51"/>
  <c r="AD47" i="51"/>
  <c r="P47" i="51"/>
  <c r="H47" i="51"/>
  <c r="G47" i="51"/>
  <c r="F47" i="51"/>
  <c r="AE46" i="51"/>
  <c r="AD46" i="51"/>
  <c r="P46" i="51"/>
  <c r="H46" i="51"/>
  <c r="G46" i="51"/>
  <c r="F46" i="51"/>
  <c r="AE45" i="51"/>
  <c r="AD45" i="51"/>
  <c r="P45" i="51"/>
  <c r="H45" i="51"/>
  <c r="G45" i="51"/>
  <c r="F45" i="51"/>
  <c r="AE44" i="51"/>
  <c r="AD44" i="51"/>
  <c r="P44" i="51"/>
  <c r="H44" i="51"/>
  <c r="G44" i="51"/>
  <c r="F44" i="51"/>
  <c r="AE43" i="51"/>
  <c r="AD43" i="51"/>
  <c r="P43" i="51"/>
  <c r="H43" i="51"/>
  <c r="G43" i="51"/>
  <c r="F43" i="51"/>
  <c r="AE42" i="51"/>
  <c r="AD42" i="51"/>
  <c r="P42" i="51"/>
  <c r="H42" i="51"/>
  <c r="G42" i="51"/>
  <c r="F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F16" i="51"/>
  <c r="AE15" i="51"/>
  <c r="AD15" i="51"/>
  <c r="F15" i="51"/>
  <c r="AE14" i="51"/>
  <c r="AD14" i="51"/>
  <c r="F14" i="51"/>
  <c r="AE13" i="51"/>
  <c r="AD13" i="51"/>
  <c r="F13" i="51"/>
  <c r="AE12" i="51"/>
  <c r="AD12" i="51"/>
  <c r="F12" i="51"/>
  <c r="AE11" i="51"/>
  <c r="AD11" i="51"/>
  <c r="Q11" i="51"/>
  <c r="F11" i="51"/>
  <c r="AE10" i="51"/>
  <c r="AD10" i="51"/>
  <c r="Q10" i="51"/>
  <c r="F10" i="51"/>
  <c r="AE9" i="51"/>
  <c r="AD9" i="51"/>
  <c r="F9" i="51"/>
  <c r="AE8" i="51"/>
  <c r="AD8" i="51"/>
  <c r="F8" i="51"/>
  <c r="AE7" i="51"/>
  <c r="AD7" i="51"/>
  <c r="F7" i="51"/>
  <c r="AE6" i="51"/>
  <c r="AD6" i="51"/>
  <c r="K6" i="51"/>
  <c r="F6" i="51"/>
  <c r="AE5" i="51"/>
  <c r="AD5" i="51"/>
  <c r="K5" i="51"/>
  <c r="F5" i="51"/>
  <c r="AE4" i="51"/>
  <c r="AD4" i="51"/>
  <c r="K4" i="51"/>
  <c r="F4" i="51"/>
  <c r="AE3" i="51"/>
  <c r="AD3" i="51"/>
  <c r="F3" i="51"/>
  <c r="AE2" i="51"/>
  <c r="AD2" i="51"/>
  <c r="K2" i="51"/>
  <c r="F2" i="51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H240" i="25"/>
  <c r="G240" i="25"/>
  <c r="H239" i="25"/>
  <c r="G239" i="25"/>
  <c r="H238" i="25"/>
  <c r="G238" i="25"/>
  <c r="H237" i="25"/>
  <c r="G237" i="25"/>
  <c r="H236" i="25"/>
  <c r="G236" i="25"/>
  <c r="H235" i="25"/>
  <c r="G235" i="25"/>
  <c r="M231" i="25"/>
  <c r="C231" i="25"/>
  <c r="F190" i="25"/>
  <c r="F189" i="25"/>
  <c r="F188" i="25"/>
  <c r="F187" i="25"/>
  <c r="F186" i="25"/>
  <c r="F185" i="25"/>
  <c r="K180" i="25"/>
  <c r="F184" i="25"/>
  <c r="K179" i="25"/>
  <c r="F183" i="25"/>
  <c r="K178" i="25"/>
  <c r="F182" i="25"/>
  <c r="K177" i="25"/>
  <c r="F181" i="25"/>
  <c r="K176" i="25"/>
  <c r="F180" i="25"/>
  <c r="K175" i="25"/>
  <c r="F179" i="25"/>
  <c r="K174" i="25"/>
  <c r="F178" i="25"/>
  <c r="K173" i="25"/>
  <c r="F177" i="25"/>
  <c r="K172" i="25"/>
  <c r="F176" i="25"/>
  <c r="K171" i="25"/>
  <c r="F175" i="25"/>
  <c r="K170" i="25"/>
  <c r="F174" i="25"/>
  <c r="K169" i="25"/>
  <c r="F173" i="25"/>
  <c r="K168" i="25"/>
  <c r="F172" i="25"/>
  <c r="K167" i="25"/>
  <c r="F169" i="25"/>
  <c r="K166" i="25"/>
  <c r="F167" i="25"/>
  <c r="K165" i="25"/>
  <c r="F166" i="25"/>
  <c r="K164" i="25"/>
  <c r="F164" i="25"/>
  <c r="K163" i="25"/>
  <c r="F163" i="25"/>
  <c r="K162" i="25"/>
  <c r="F162" i="25"/>
  <c r="K161" i="25"/>
  <c r="F161" i="25"/>
  <c r="K160" i="25"/>
  <c r="F160" i="25"/>
  <c r="K159" i="25"/>
  <c r="F159" i="25"/>
  <c r="K158" i="25"/>
  <c r="F158" i="25"/>
  <c r="K157" i="25"/>
  <c r="F157" i="25"/>
  <c r="K156" i="25"/>
  <c r="F156" i="25"/>
  <c r="K155" i="25"/>
  <c r="F155" i="25"/>
  <c r="K154" i="25"/>
  <c r="F154" i="25"/>
  <c r="K153" i="25"/>
  <c r="F153" i="25"/>
  <c r="K152" i="25"/>
  <c r="F152" i="25"/>
  <c r="K151" i="25"/>
  <c r="F151" i="25"/>
  <c r="K150" i="25"/>
  <c r="F150" i="25"/>
  <c r="K149" i="25"/>
  <c r="F149" i="25"/>
  <c r="K148" i="25"/>
  <c r="F148" i="25"/>
  <c r="K147" i="25"/>
  <c r="F147" i="25"/>
  <c r="K146" i="25"/>
  <c r="F146" i="25"/>
  <c r="F145" i="25"/>
  <c r="F144" i="25"/>
  <c r="F143" i="25"/>
  <c r="K142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K107" i="25"/>
  <c r="F107" i="25"/>
  <c r="K106" i="25"/>
  <c r="F106" i="25"/>
  <c r="K105" i="25"/>
  <c r="F105" i="25"/>
  <c r="K104" i="25"/>
  <c r="F104" i="25"/>
  <c r="K103" i="25"/>
  <c r="F103" i="25"/>
  <c r="K102" i="25"/>
  <c r="F102" i="25"/>
  <c r="K101" i="25"/>
  <c r="F101" i="25"/>
  <c r="K100" i="25"/>
  <c r="F100" i="25"/>
  <c r="K99" i="25"/>
  <c r="F99" i="25"/>
  <c r="K98" i="25"/>
  <c r="F98" i="25"/>
  <c r="K97" i="25"/>
  <c r="F97" i="25"/>
  <c r="K96" i="25"/>
  <c r="F96" i="25"/>
  <c r="K95" i="25"/>
  <c r="F95" i="25"/>
  <c r="K94" i="25"/>
  <c r="F94" i="25"/>
  <c r="K93" i="25"/>
  <c r="F93" i="25"/>
  <c r="K92" i="25"/>
  <c r="F92" i="25"/>
  <c r="K91" i="25"/>
  <c r="F91" i="25"/>
  <c r="K90" i="25"/>
  <c r="F90" i="25"/>
  <c r="K89" i="25"/>
  <c r="F89" i="25"/>
  <c r="K88" i="25"/>
  <c r="F88" i="25"/>
  <c r="K87" i="25"/>
  <c r="F87" i="25"/>
  <c r="K86" i="25"/>
  <c r="F86" i="25"/>
  <c r="K85" i="25"/>
  <c r="F85" i="25"/>
  <c r="K84" i="25"/>
  <c r="F84" i="25"/>
  <c r="K83" i="25"/>
  <c r="F83" i="25"/>
  <c r="K82" i="25"/>
  <c r="F82" i="25"/>
  <c r="K81" i="25"/>
  <c r="F81" i="25"/>
  <c r="K80" i="25"/>
  <c r="F80" i="25"/>
  <c r="P79" i="25"/>
  <c r="K79" i="25"/>
  <c r="F79" i="25"/>
  <c r="P78" i="25"/>
  <c r="K78" i="25"/>
  <c r="F78" i="25"/>
  <c r="P77" i="25"/>
  <c r="K77" i="25"/>
  <c r="F77" i="25"/>
  <c r="P76" i="25"/>
  <c r="K76" i="25"/>
  <c r="F76" i="25"/>
  <c r="P75" i="25"/>
  <c r="K75" i="25"/>
  <c r="F75" i="25"/>
  <c r="P74" i="25"/>
  <c r="K74" i="25"/>
  <c r="F74" i="25"/>
  <c r="P73" i="25"/>
  <c r="K73" i="25"/>
  <c r="F73" i="25"/>
  <c r="P72" i="25"/>
  <c r="K72" i="25"/>
  <c r="F72" i="25"/>
  <c r="P71" i="25"/>
  <c r="K71" i="25"/>
  <c r="F71" i="25"/>
  <c r="P70" i="25"/>
  <c r="K70" i="25"/>
  <c r="F70" i="25"/>
  <c r="AE69" i="25"/>
  <c r="P69" i="25"/>
  <c r="K69" i="25"/>
  <c r="F69" i="25"/>
  <c r="AE68" i="25"/>
  <c r="P68" i="25"/>
  <c r="K68" i="25"/>
  <c r="F68" i="25"/>
  <c r="AE67" i="25"/>
  <c r="P67" i="25"/>
  <c r="K67" i="25"/>
  <c r="F67" i="25"/>
  <c r="AE66" i="25"/>
  <c r="P66" i="25"/>
  <c r="K66" i="25"/>
  <c r="F66" i="25"/>
  <c r="AE65" i="25"/>
  <c r="P65" i="25"/>
  <c r="K65" i="25"/>
  <c r="F65" i="25"/>
  <c r="AE64" i="25"/>
  <c r="P64" i="25"/>
  <c r="K64" i="25"/>
  <c r="F64" i="25"/>
  <c r="AE63" i="25"/>
  <c r="P63" i="25"/>
  <c r="K63" i="25"/>
  <c r="F63" i="25"/>
  <c r="AE62" i="25"/>
  <c r="P62" i="25"/>
  <c r="K62" i="25"/>
  <c r="F62" i="25"/>
  <c r="AE61" i="25"/>
  <c r="P61" i="25"/>
  <c r="K61" i="25"/>
  <c r="F61" i="25"/>
  <c r="AE60" i="25"/>
  <c r="P60" i="25"/>
  <c r="K60" i="25"/>
  <c r="F60" i="25"/>
  <c r="AE59" i="25"/>
  <c r="P59" i="25"/>
  <c r="K59" i="25"/>
  <c r="F59" i="25"/>
  <c r="AE58" i="25"/>
  <c r="P58" i="25"/>
  <c r="K58" i="25"/>
  <c r="F58" i="25"/>
  <c r="AE57" i="25"/>
  <c r="P57" i="25"/>
  <c r="K57" i="25"/>
  <c r="F57" i="25"/>
  <c r="AE56" i="25"/>
  <c r="P56" i="25"/>
  <c r="K56" i="25"/>
  <c r="F56" i="25"/>
  <c r="AE55" i="25"/>
  <c r="P55" i="25"/>
  <c r="K55" i="25"/>
  <c r="F55" i="25"/>
  <c r="AE54" i="25"/>
  <c r="P54" i="25"/>
  <c r="K54" i="25"/>
  <c r="F54" i="25"/>
  <c r="AE53" i="25"/>
  <c r="P53" i="25"/>
  <c r="K53" i="25"/>
  <c r="F53" i="25"/>
  <c r="AE52" i="25"/>
  <c r="P52" i="25"/>
  <c r="K52" i="25"/>
  <c r="F52" i="25"/>
  <c r="AE51" i="25"/>
  <c r="P51" i="25"/>
  <c r="K51" i="25"/>
  <c r="F51" i="25"/>
  <c r="AE50" i="25"/>
  <c r="P50" i="25"/>
  <c r="K50" i="25"/>
  <c r="F50" i="25"/>
  <c r="AE49" i="25"/>
  <c r="P49" i="25"/>
  <c r="K49" i="25"/>
  <c r="F49" i="25"/>
  <c r="AE48" i="25"/>
  <c r="P48" i="25"/>
  <c r="K48" i="25"/>
  <c r="F48" i="25"/>
  <c r="AE47" i="25"/>
  <c r="P47" i="25"/>
  <c r="K47" i="25"/>
  <c r="F47" i="25"/>
  <c r="AE46" i="25"/>
  <c r="P46" i="25"/>
  <c r="K46" i="25"/>
  <c r="F46" i="25"/>
  <c r="AE45" i="25"/>
  <c r="P45" i="25"/>
  <c r="K45" i="25"/>
  <c r="F45" i="25"/>
  <c r="AE44" i="25"/>
  <c r="P44" i="25"/>
  <c r="K44" i="25"/>
  <c r="F44" i="25"/>
  <c r="AE43" i="25"/>
  <c r="P43" i="25"/>
  <c r="K43" i="25"/>
  <c r="F43" i="25"/>
  <c r="AE42" i="25"/>
  <c r="P42" i="25"/>
  <c r="K42" i="25"/>
  <c r="F42" i="25"/>
  <c r="AE41" i="25"/>
  <c r="K41" i="25"/>
  <c r="F41" i="25"/>
  <c r="AE40" i="25"/>
  <c r="K40" i="25"/>
  <c r="F40" i="25"/>
  <c r="AE39" i="25"/>
  <c r="K39" i="25"/>
  <c r="F39" i="25"/>
  <c r="AE38" i="25"/>
  <c r="K38" i="25"/>
  <c r="F38" i="25"/>
  <c r="AE37" i="25"/>
  <c r="K37" i="25"/>
  <c r="F37" i="25"/>
  <c r="AE36" i="25"/>
  <c r="K36" i="25"/>
  <c r="F36" i="25"/>
  <c r="AE35" i="25"/>
  <c r="K35" i="25"/>
  <c r="F35" i="25"/>
  <c r="AE34" i="25"/>
  <c r="K34" i="25"/>
  <c r="F34" i="25"/>
  <c r="AE33" i="25"/>
  <c r="K33" i="25"/>
  <c r="F33" i="25"/>
  <c r="AE32" i="25"/>
  <c r="K32" i="25"/>
  <c r="F32" i="25"/>
  <c r="AE31" i="25"/>
  <c r="K31" i="25"/>
  <c r="F31" i="25"/>
  <c r="AE30" i="25"/>
  <c r="K30" i="25"/>
  <c r="F30" i="25"/>
  <c r="AE29" i="25"/>
  <c r="K29" i="25"/>
  <c r="F29" i="25"/>
  <c r="AE28" i="25"/>
  <c r="K28" i="25"/>
  <c r="F28" i="25"/>
  <c r="AE27" i="25"/>
  <c r="K27" i="25"/>
  <c r="F27" i="25"/>
  <c r="AE26" i="25"/>
  <c r="K26" i="25"/>
  <c r="F26" i="25"/>
  <c r="AE25" i="25"/>
  <c r="K25" i="25"/>
  <c r="F25" i="25"/>
  <c r="AE24" i="25"/>
  <c r="K24" i="25"/>
  <c r="F24" i="25"/>
  <c r="AE23" i="25"/>
  <c r="K23" i="25"/>
  <c r="F23" i="25"/>
  <c r="AE22" i="25"/>
  <c r="K22" i="25"/>
  <c r="F22" i="25"/>
  <c r="AE21" i="25"/>
  <c r="K21" i="25"/>
  <c r="F21" i="25"/>
  <c r="AE20" i="25"/>
  <c r="K20" i="25"/>
  <c r="F20" i="25"/>
  <c r="AE19" i="25"/>
  <c r="K19" i="25"/>
  <c r="F19" i="25"/>
  <c r="AE18" i="25"/>
  <c r="K18" i="25"/>
  <c r="F18" i="25"/>
  <c r="AE17" i="25"/>
  <c r="K17" i="25"/>
  <c r="F17" i="25"/>
  <c r="AE16" i="25"/>
  <c r="K16" i="25"/>
  <c r="F16" i="25"/>
  <c r="AE15" i="25"/>
  <c r="K15" i="25"/>
  <c r="F15" i="25"/>
  <c r="AE14" i="25"/>
  <c r="K14" i="25"/>
  <c r="F14" i="25"/>
  <c r="AE13" i="25"/>
  <c r="K13" i="25"/>
  <c r="F13" i="25"/>
  <c r="AE12" i="25"/>
  <c r="K12" i="25"/>
  <c r="F12" i="25"/>
  <c r="AE11" i="25"/>
  <c r="Q11" i="25"/>
  <c r="K11" i="25"/>
  <c r="F11" i="25"/>
  <c r="AE10" i="25"/>
  <c r="Q10" i="25"/>
  <c r="K10" i="25"/>
  <c r="F10" i="25"/>
  <c r="AE9" i="25"/>
  <c r="K9" i="25"/>
  <c r="F9" i="25"/>
  <c r="AE8" i="25"/>
  <c r="K8" i="25"/>
  <c r="F8" i="25"/>
  <c r="AE7" i="25"/>
  <c r="K7" i="25"/>
  <c r="F7" i="25"/>
  <c r="AE6" i="25"/>
  <c r="K6" i="25"/>
  <c r="F6" i="25"/>
  <c r="AE5" i="25"/>
  <c r="K5" i="25"/>
  <c r="F5" i="25"/>
  <c r="AE4" i="25"/>
  <c r="K4" i="25"/>
  <c r="F4" i="25"/>
  <c r="AE3" i="25"/>
  <c r="K3" i="25"/>
  <c r="F3" i="25"/>
  <c r="AE2" i="25"/>
  <c r="K2" i="25"/>
  <c r="F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K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F2" i="69"/>
  <c r="F18" i="69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AE60" i="62"/>
  <c r="AD60" i="62"/>
  <c r="P60" i="62"/>
  <c r="AE59" i="62"/>
  <c r="AD59" i="62"/>
  <c r="P59" i="62"/>
  <c r="AE58" i="62"/>
  <c r="AD58" i="62"/>
  <c r="P58" i="62"/>
  <c r="AE57" i="62"/>
  <c r="AD57" i="62"/>
  <c r="P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H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K18" i="62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H64" i="61"/>
  <c r="G64" i="61"/>
  <c r="F64" i="61"/>
  <c r="AE63" i="61"/>
  <c r="AD63" i="61"/>
  <c r="H63" i="61"/>
  <c r="G63" i="61"/>
  <c r="F63" i="61"/>
  <c r="AE62" i="61"/>
  <c r="AD62" i="61"/>
  <c r="H62" i="61"/>
  <c r="G62" i="61"/>
  <c r="F62" i="61"/>
  <c r="AE61" i="61"/>
  <c r="AD61" i="61"/>
  <c r="P61" i="61"/>
  <c r="H61" i="61"/>
  <c r="G61" i="61"/>
  <c r="F61" i="61"/>
  <c r="AE60" i="61"/>
  <c r="AD60" i="61"/>
  <c r="P60" i="61"/>
  <c r="H60" i="61"/>
  <c r="G60" i="61"/>
  <c r="F60" i="61"/>
  <c r="AE59" i="61"/>
  <c r="AD59" i="61"/>
  <c r="P59" i="61"/>
  <c r="H59" i="61"/>
  <c r="G59" i="61"/>
  <c r="F59" i="61"/>
  <c r="AE58" i="61"/>
  <c r="AD58" i="61"/>
  <c r="P58" i="61"/>
  <c r="H58" i="61"/>
  <c r="G58" i="61"/>
  <c r="F58" i="61"/>
  <c r="AE57" i="61"/>
  <c r="AD57" i="61"/>
  <c r="P57" i="61"/>
  <c r="H57" i="61"/>
  <c r="G57" i="61"/>
  <c r="F57" i="61"/>
  <c r="AE56" i="61"/>
  <c r="AD56" i="61"/>
  <c r="P56" i="61"/>
  <c r="H56" i="61"/>
  <c r="G56" i="61"/>
  <c r="F56" i="61"/>
  <c r="AE55" i="61"/>
  <c r="AD55" i="61"/>
  <c r="P55" i="61"/>
  <c r="H55" i="61"/>
  <c r="G55" i="61"/>
  <c r="F55" i="61"/>
  <c r="AE54" i="61"/>
  <c r="AD54" i="61"/>
  <c r="P54" i="61"/>
  <c r="H54" i="61"/>
  <c r="G54" i="61"/>
  <c r="F54" i="61"/>
  <c r="AE53" i="61"/>
  <c r="AD53" i="61"/>
  <c r="P53" i="61"/>
  <c r="H53" i="61"/>
  <c r="G53" i="61"/>
  <c r="F53" i="61"/>
  <c r="AE52" i="61"/>
  <c r="AD52" i="61"/>
  <c r="P52" i="61"/>
  <c r="H52" i="61"/>
  <c r="G52" i="61"/>
  <c r="F52" i="61"/>
  <c r="AE51" i="61"/>
  <c r="AD51" i="61"/>
  <c r="P51" i="61"/>
  <c r="H51" i="61"/>
  <c r="G51" i="61"/>
  <c r="F51" i="61"/>
  <c r="AE50" i="61"/>
  <c r="AD50" i="61"/>
  <c r="P50" i="61"/>
  <c r="H50" i="61"/>
  <c r="G50" i="61"/>
  <c r="F50" i="61"/>
  <c r="AE49" i="61"/>
  <c r="AD49" i="61"/>
  <c r="P49" i="61"/>
  <c r="H49" i="61"/>
  <c r="G49" i="61"/>
  <c r="F49" i="61"/>
  <c r="AE48" i="61"/>
  <c r="AD48" i="61"/>
  <c r="P48" i="61"/>
  <c r="H48" i="61"/>
  <c r="G48" i="61"/>
  <c r="F48" i="61"/>
  <c r="AE47" i="61"/>
  <c r="AD47" i="61"/>
  <c r="P47" i="61"/>
  <c r="H47" i="61"/>
  <c r="G47" i="61"/>
  <c r="F47" i="61"/>
  <c r="AE46" i="61"/>
  <c r="AD46" i="61"/>
  <c r="P46" i="61"/>
  <c r="H46" i="61"/>
  <c r="G46" i="61"/>
  <c r="F46" i="61"/>
  <c r="AE45" i="61"/>
  <c r="AD45" i="61"/>
  <c r="P45" i="61"/>
  <c r="H45" i="61"/>
  <c r="G45" i="61"/>
  <c r="F45" i="61"/>
  <c r="AE44" i="61"/>
  <c r="AD44" i="61"/>
  <c r="P44" i="61"/>
  <c r="H44" i="61"/>
  <c r="G44" i="61"/>
  <c r="F44" i="61"/>
  <c r="AE43" i="61"/>
  <c r="AD43" i="61"/>
  <c r="P43" i="61"/>
  <c r="H43" i="61"/>
  <c r="G43" i="61"/>
  <c r="F43" i="61"/>
  <c r="AE42" i="61"/>
  <c r="AD42" i="61"/>
  <c r="P42" i="61"/>
  <c r="H42" i="61"/>
  <c r="G42" i="61"/>
  <c r="F42" i="61"/>
  <c r="AE41" i="61"/>
  <c r="AD41" i="61"/>
  <c r="P41" i="61"/>
  <c r="H41" i="61"/>
  <c r="G41" i="61"/>
  <c r="F41" i="61"/>
  <c r="AE40" i="61"/>
  <c r="AD40" i="61"/>
  <c r="H40" i="61"/>
  <c r="G40" i="61"/>
  <c r="F40" i="61"/>
  <c r="AE39" i="61"/>
  <c r="AD39" i="61"/>
  <c r="H39" i="61"/>
  <c r="G39" i="61"/>
  <c r="F39" i="61"/>
  <c r="AE38" i="61"/>
  <c r="AD38" i="61"/>
  <c r="H38" i="61"/>
  <c r="G38" i="61"/>
  <c r="F38" i="61"/>
  <c r="AE37" i="61"/>
  <c r="AD37" i="61"/>
  <c r="H37" i="61"/>
  <c r="G37" i="61"/>
  <c r="F37" i="61"/>
  <c r="AE36" i="61"/>
  <c r="AD36" i="61"/>
  <c r="H36" i="61"/>
  <c r="G36" i="61"/>
  <c r="F36" i="61"/>
  <c r="AE35" i="61"/>
  <c r="AD35" i="61"/>
  <c r="H35" i="61"/>
  <c r="G35" i="61"/>
  <c r="F35" i="61"/>
  <c r="AE34" i="61"/>
  <c r="AD34" i="61"/>
  <c r="H34" i="61"/>
  <c r="G34" i="61"/>
  <c r="F34" i="61"/>
  <c r="AE33" i="61"/>
  <c r="AD33" i="61"/>
  <c r="H33" i="61"/>
  <c r="G33" i="61"/>
  <c r="F33" i="61"/>
  <c r="AE32" i="61"/>
  <c r="AD32" i="61"/>
  <c r="H32" i="61"/>
  <c r="G32" i="61"/>
  <c r="F32" i="61"/>
  <c r="AE31" i="61"/>
  <c r="AD31" i="61"/>
  <c r="H31" i="61"/>
  <c r="G31" i="61"/>
  <c r="F31" i="61"/>
  <c r="AE30" i="61"/>
  <c r="AD30" i="61"/>
  <c r="H30" i="61"/>
  <c r="G30" i="61"/>
  <c r="F30" i="61"/>
  <c r="AE29" i="61"/>
  <c r="AD29" i="61"/>
  <c r="H29" i="61"/>
  <c r="G29" i="61"/>
  <c r="F29" i="61"/>
  <c r="AE28" i="61"/>
  <c r="AD28" i="61"/>
  <c r="H28" i="61"/>
  <c r="G28" i="61"/>
  <c r="F28" i="61"/>
  <c r="AE27" i="61"/>
  <c r="AD27" i="61"/>
  <c r="H27" i="61"/>
  <c r="G27" i="61"/>
  <c r="F27" i="61"/>
  <c r="AE26" i="61"/>
  <c r="AD26" i="61"/>
  <c r="H26" i="61"/>
  <c r="G26" i="61"/>
  <c r="F26" i="61"/>
  <c r="AE25" i="61"/>
  <c r="AD25" i="61"/>
  <c r="H25" i="61"/>
  <c r="G25" i="61"/>
  <c r="F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F7" i="61"/>
  <c r="AE6" i="61"/>
  <c r="AD6" i="61"/>
  <c r="F6" i="61"/>
  <c r="AE5" i="61"/>
  <c r="AD5" i="61"/>
  <c r="K5" i="61"/>
  <c r="F5" i="61"/>
  <c r="AE4" i="61"/>
  <c r="AD4" i="61"/>
  <c r="K4" i="61"/>
  <c r="F4" i="61"/>
  <c r="AE3" i="61"/>
  <c r="AD3" i="61"/>
  <c r="K3" i="61"/>
  <c r="F3" i="61"/>
  <c r="AE2" i="61"/>
  <c r="AD2" i="61"/>
  <c r="K2" i="61"/>
  <c r="F2" i="61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F18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K55" i="65"/>
  <c r="H55" i="65"/>
  <c r="F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2" i="65"/>
  <c r="F18" i="65" s="1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H29" i="64"/>
  <c r="G29" i="64"/>
  <c r="F29" i="64"/>
  <c r="AE28" i="64"/>
  <c r="AD28" i="64"/>
  <c r="H28" i="64"/>
  <c r="G28" i="64"/>
  <c r="F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F3" i="64"/>
  <c r="AE2" i="64"/>
  <c r="AD2" i="64"/>
  <c r="F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00" i="57"/>
  <c r="H100" i="57"/>
  <c r="C100" i="57"/>
  <c r="AE68" i="57"/>
  <c r="AD68" i="57"/>
  <c r="K89" i="57"/>
  <c r="F89" i="57"/>
  <c r="AE67" i="57"/>
  <c r="AD67" i="57"/>
  <c r="K88" i="57"/>
  <c r="F88" i="57"/>
  <c r="AE66" i="57"/>
  <c r="AD66" i="57"/>
  <c r="K87" i="57"/>
  <c r="F87" i="57"/>
  <c r="AE65" i="57"/>
  <c r="AD65" i="57"/>
  <c r="K86" i="57"/>
  <c r="F86" i="57"/>
  <c r="AE64" i="57"/>
  <c r="AD64" i="57"/>
  <c r="K85" i="57"/>
  <c r="F85" i="57"/>
  <c r="AE63" i="57"/>
  <c r="AD63" i="57"/>
  <c r="P63" i="57"/>
  <c r="K84" i="57"/>
  <c r="K100" i="57" s="1"/>
  <c r="F84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H57" i="57"/>
  <c r="G57" i="57"/>
  <c r="F57" i="57"/>
  <c r="AE55" i="57"/>
  <c r="AD55" i="57"/>
  <c r="P55" i="57"/>
  <c r="H56" i="57"/>
  <c r="G56" i="57"/>
  <c r="F56" i="57"/>
  <c r="AE54" i="57"/>
  <c r="AD54" i="57"/>
  <c r="P54" i="57"/>
  <c r="H55" i="57"/>
  <c r="G55" i="57"/>
  <c r="F55" i="57"/>
  <c r="AE53" i="57"/>
  <c r="AD53" i="57"/>
  <c r="P53" i="57"/>
  <c r="H54" i="57"/>
  <c r="G54" i="57"/>
  <c r="F54" i="57"/>
  <c r="AE52" i="57"/>
  <c r="AD52" i="57"/>
  <c r="P52" i="57"/>
  <c r="H53" i="57"/>
  <c r="G53" i="57"/>
  <c r="F53" i="57"/>
  <c r="AE51" i="57"/>
  <c r="AD51" i="57"/>
  <c r="P51" i="57"/>
  <c r="H52" i="57"/>
  <c r="G52" i="57"/>
  <c r="F52" i="57"/>
  <c r="AE50" i="57"/>
  <c r="AD50" i="57"/>
  <c r="P50" i="57"/>
  <c r="H51" i="57"/>
  <c r="G51" i="57"/>
  <c r="F51" i="57"/>
  <c r="AE49" i="57"/>
  <c r="AD49" i="57"/>
  <c r="P49" i="57"/>
  <c r="H50" i="57"/>
  <c r="G50" i="57"/>
  <c r="F50" i="57"/>
  <c r="AE48" i="57"/>
  <c r="AD48" i="57"/>
  <c r="P48" i="57"/>
  <c r="AE47" i="57"/>
  <c r="AD47" i="57"/>
  <c r="P47" i="57"/>
  <c r="AE46" i="57"/>
  <c r="AD46" i="57"/>
  <c r="P46" i="57"/>
  <c r="H46" i="57"/>
  <c r="G46" i="57"/>
  <c r="F46" i="57"/>
  <c r="AE45" i="57"/>
  <c r="AD45" i="57"/>
  <c r="P45" i="57"/>
  <c r="H45" i="57"/>
  <c r="G45" i="57"/>
  <c r="F45" i="57"/>
  <c r="AE44" i="57"/>
  <c r="AD44" i="57"/>
  <c r="P44" i="57"/>
  <c r="H44" i="57"/>
  <c r="G44" i="57"/>
  <c r="F44" i="57"/>
  <c r="AE43" i="57"/>
  <c r="AD43" i="57"/>
  <c r="P43" i="57"/>
  <c r="H43" i="57"/>
  <c r="G43" i="57"/>
  <c r="F43" i="57"/>
  <c r="AE42" i="57"/>
  <c r="AD42" i="57"/>
  <c r="H42" i="57"/>
  <c r="G42" i="57"/>
  <c r="F42" i="57"/>
  <c r="AE41" i="57"/>
  <c r="AD41" i="57"/>
  <c r="H41" i="57"/>
  <c r="G41" i="57"/>
  <c r="F41" i="57"/>
  <c r="AE40" i="57"/>
  <c r="AD40" i="57"/>
  <c r="H40" i="57"/>
  <c r="G40" i="57"/>
  <c r="F40" i="57"/>
  <c r="AE39" i="57"/>
  <c r="AD39" i="57"/>
  <c r="H39" i="57"/>
  <c r="G39" i="57"/>
  <c r="F39" i="57"/>
  <c r="AE38" i="57"/>
  <c r="AD38" i="57"/>
  <c r="H38" i="57"/>
  <c r="G38" i="57"/>
  <c r="F38" i="57"/>
  <c r="AE37" i="57"/>
  <c r="AD37" i="57"/>
  <c r="H37" i="57"/>
  <c r="G37" i="57"/>
  <c r="F37" i="57"/>
  <c r="AE36" i="57"/>
  <c r="AD36" i="57"/>
  <c r="H36" i="57"/>
  <c r="G36" i="57"/>
  <c r="F36" i="57"/>
  <c r="AE35" i="57"/>
  <c r="AD35" i="57"/>
  <c r="H35" i="57"/>
  <c r="G35" i="57"/>
  <c r="F35" i="57"/>
  <c r="AE34" i="57"/>
  <c r="AD34" i="57"/>
  <c r="H34" i="57"/>
  <c r="G34" i="57"/>
  <c r="F34" i="57"/>
  <c r="AE33" i="57"/>
  <c r="AD33" i="57"/>
  <c r="H33" i="57"/>
  <c r="G33" i="57"/>
  <c r="F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K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F18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274" i="38"/>
  <c r="M274" i="38"/>
  <c r="N274" i="38" s="1"/>
  <c r="K274" i="38"/>
  <c r="L274" i="38" s="1"/>
  <c r="H274" i="38"/>
  <c r="G274" i="38"/>
  <c r="E274" i="38"/>
  <c r="D274" i="38"/>
  <c r="R273" i="38"/>
  <c r="M273" i="38"/>
  <c r="T273" i="38" s="1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N271" i="38" s="1"/>
  <c r="K271" i="38"/>
  <c r="L271" i="38" s="1"/>
  <c r="H271" i="38"/>
  <c r="G271" i="38"/>
  <c r="E271" i="38"/>
  <c r="D271" i="38"/>
  <c r="R270" i="38"/>
  <c r="M270" i="38"/>
  <c r="T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K268" i="38"/>
  <c r="L268" i="38" s="1"/>
  <c r="H268" i="38"/>
  <c r="G268" i="38"/>
  <c r="E268" i="38"/>
  <c r="D268" i="38"/>
  <c r="R267" i="38"/>
  <c r="M267" i="38"/>
  <c r="N267" i="38" s="1"/>
  <c r="K267" i="38"/>
  <c r="L267" i="38" s="1"/>
  <c r="H267" i="38"/>
  <c r="G267" i="38"/>
  <c r="E267" i="38"/>
  <c r="D267" i="38"/>
  <c r="R266" i="38"/>
  <c r="M266" i="38"/>
  <c r="T266" i="38" s="1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T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N261" i="38" s="1"/>
  <c r="K261" i="38"/>
  <c r="L261" i="38" s="1"/>
  <c r="H261" i="38"/>
  <c r="G261" i="38"/>
  <c r="E261" i="38"/>
  <c r="D261" i="38"/>
  <c r="R260" i="38"/>
  <c r="M260" i="38"/>
  <c r="N260" i="38" s="1"/>
  <c r="K260" i="38"/>
  <c r="L260" i="38" s="1"/>
  <c r="H260" i="38"/>
  <c r="G260" i="38"/>
  <c r="E260" i="38"/>
  <c r="D260" i="38"/>
  <c r="R259" i="38"/>
  <c r="M259" i="38"/>
  <c r="N259" i="38" s="1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N257" i="38" s="1"/>
  <c r="K257" i="38"/>
  <c r="L257" i="38" s="1"/>
  <c r="H257" i="38"/>
  <c r="G257" i="38"/>
  <c r="E257" i="38"/>
  <c r="D257" i="38"/>
  <c r="R256" i="38"/>
  <c r="M256" i="38"/>
  <c r="T256" i="38" s="1"/>
  <c r="K256" i="38"/>
  <c r="L256" i="38" s="1"/>
  <c r="H256" i="38"/>
  <c r="G256" i="38"/>
  <c r="E256" i="38"/>
  <c r="D256" i="38"/>
  <c r="R255" i="38"/>
  <c r="M255" i="38"/>
  <c r="N255" i="38" s="1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N253" i="38" s="1"/>
  <c r="H253" i="38"/>
  <c r="G253" i="38"/>
  <c r="E253" i="38"/>
  <c r="D253" i="38"/>
  <c r="I252" i="38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N250" i="38" s="1"/>
  <c r="K250" i="38"/>
  <c r="L250" i="38" s="1"/>
  <c r="H250" i="38"/>
  <c r="G250" i="38"/>
  <c r="E250" i="38"/>
  <c r="D250" i="38"/>
  <c r="R249" i="38"/>
  <c r="M249" i="38"/>
  <c r="N249" i="38" s="1"/>
  <c r="K249" i="38"/>
  <c r="L249" i="38" s="1"/>
  <c r="H249" i="38"/>
  <c r="G249" i="38"/>
  <c r="E249" i="38"/>
  <c r="D249" i="38"/>
  <c r="R248" i="38"/>
  <c r="M248" i="38"/>
  <c r="T248" i="38" s="1"/>
  <c r="K248" i="38"/>
  <c r="L248" i="38" s="1"/>
  <c r="H248" i="38"/>
  <c r="G248" i="38"/>
  <c r="E248" i="38"/>
  <c r="D248" i="38"/>
  <c r="R247" i="38"/>
  <c r="M247" i="38"/>
  <c r="T247" i="38" s="1"/>
  <c r="K247" i="38"/>
  <c r="L247" i="38" s="1"/>
  <c r="H247" i="38"/>
  <c r="G247" i="38"/>
  <c r="E247" i="38"/>
  <c r="D247" i="38"/>
  <c r="R246" i="38"/>
  <c r="M246" i="38"/>
  <c r="T246" i="38" s="1"/>
  <c r="K246" i="38"/>
  <c r="L246" i="38" s="1"/>
  <c r="H246" i="38"/>
  <c r="G246" i="38"/>
  <c r="E246" i="38"/>
  <c r="D246" i="38"/>
  <c r="R245" i="38"/>
  <c r="M245" i="38"/>
  <c r="N245" i="38" s="1"/>
  <c r="K245" i="38"/>
  <c r="L245" i="38" s="1"/>
  <c r="H245" i="38"/>
  <c r="G245" i="38"/>
  <c r="E245" i="38"/>
  <c r="D245" i="38"/>
  <c r="R244" i="38"/>
  <c r="M244" i="38"/>
  <c r="T244" i="38" s="1"/>
  <c r="K244" i="38"/>
  <c r="L244" i="38" s="1"/>
  <c r="H244" i="38"/>
  <c r="G244" i="38"/>
  <c r="E244" i="38"/>
  <c r="D244" i="38"/>
  <c r="R243" i="38"/>
  <c r="M243" i="38"/>
  <c r="T243" i="38" s="1"/>
  <c r="K243" i="38"/>
  <c r="L243" i="38" s="1"/>
  <c r="H243" i="38"/>
  <c r="G243" i="38"/>
  <c r="E243" i="38"/>
  <c r="D243" i="38"/>
  <c r="R242" i="38"/>
  <c r="M242" i="38"/>
  <c r="T242" i="38" s="1"/>
  <c r="K242" i="38"/>
  <c r="L242" i="38" s="1"/>
  <c r="H242" i="38"/>
  <c r="G242" i="38"/>
  <c r="E242" i="38"/>
  <c r="D242" i="38"/>
  <c r="R241" i="38"/>
  <c r="M241" i="38"/>
  <c r="N241" i="38" s="1"/>
  <c r="H241" i="38"/>
  <c r="G241" i="38"/>
  <c r="E241" i="38"/>
  <c r="D241" i="38"/>
  <c r="I240" i="38"/>
  <c r="K241" i="38" s="1"/>
  <c r="L241" i="38" s="1"/>
  <c r="H240" i="38"/>
  <c r="G240" i="38"/>
  <c r="E240" i="38"/>
  <c r="D240" i="38"/>
  <c r="R239" i="38"/>
  <c r="M239" i="38"/>
  <c r="N239" i="38" s="1"/>
  <c r="K239" i="38"/>
  <c r="L239" i="38" s="1"/>
  <c r="H239" i="38"/>
  <c r="G239" i="38"/>
  <c r="E239" i="38"/>
  <c r="D239" i="38"/>
  <c r="R238" i="38"/>
  <c r="M238" i="38"/>
  <c r="K238" i="38"/>
  <c r="L238" i="38" s="1"/>
  <c r="H238" i="38"/>
  <c r="G238" i="38"/>
  <c r="E238" i="38"/>
  <c r="D238" i="38"/>
  <c r="R237" i="38"/>
  <c r="M237" i="38"/>
  <c r="N237" i="38" s="1"/>
  <c r="H237" i="38"/>
  <c r="G237" i="38"/>
  <c r="E237" i="38"/>
  <c r="D237" i="38"/>
  <c r="I236" i="38"/>
  <c r="M236" i="38" s="1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H233" i="38"/>
  <c r="G233" i="38"/>
  <c r="E233" i="38"/>
  <c r="D233" i="38"/>
  <c r="R232" i="38"/>
  <c r="M232" i="38"/>
  <c r="T232" i="38" s="1"/>
  <c r="K232" i="38"/>
  <c r="L232" i="38" s="1"/>
  <c r="H232" i="38"/>
  <c r="G232" i="38"/>
  <c r="E232" i="38"/>
  <c r="D232" i="38"/>
  <c r="R231" i="38"/>
  <c r="M231" i="38"/>
  <c r="T231" i="38" s="1"/>
  <c r="K231" i="38"/>
  <c r="L231" i="38" s="1"/>
  <c r="H231" i="38"/>
  <c r="G231" i="38"/>
  <c r="E231" i="38"/>
  <c r="D231" i="38"/>
  <c r="R230" i="38"/>
  <c r="M230" i="38"/>
  <c r="N230" i="38" s="1"/>
  <c r="K230" i="38"/>
  <c r="L230" i="38" s="1"/>
  <c r="H230" i="38"/>
  <c r="G230" i="38"/>
  <c r="E230" i="38"/>
  <c r="D230" i="38"/>
  <c r="R229" i="38"/>
  <c r="M229" i="38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H227" i="38"/>
  <c r="G227" i="38"/>
  <c r="E227" i="38"/>
  <c r="D227" i="38"/>
  <c r="R226" i="38"/>
  <c r="M226" i="38"/>
  <c r="T226" i="38" s="1"/>
  <c r="K226" i="38"/>
  <c r="L226" i="38" s="1"/>
  <c r="H226" i="38"/>
  <c r="G226" i="38"/>
  <c r="E226" i="38"/>
  <c r="D226" i="38"/>
  <c r="R225" i="38"/>
  <c r="M225" i="38"/>
  <c r="T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T221" i="38" s="1"/>
  <c r="K221" i="38"/>
  <c r="L221" i="38" s="1"/>
  <c r="H221" i="38"/>
  <c r="G221" i="38"/>
  <c r="E221" i="38"/>
  <c r="D221" i="38"/>
  <c r="R220" i="38"/>
  <c r="M220" i="38"/>
  <c r="T220" i="38" s="1"/>
  <c r="K220" i="38"/>
  <c r="L220" i="38" s="1"/>
  <c r="H220" i="38"/>
  <c r="G220" i="38"/>
  <c r="E220" i="38"/>
  <c r="D220" i="38"/>
  <c r="R219" i="38"/>
  <c r="M219" i="38"/>
  <c r="N219" i="38" s="1"/>
  <c r="K219" i="38"/>
  <c r="L219" i="38" s="1"/>
  <c r="H219" i="38"/>
  <c r="G219" i="38"/>
  <c r="E219" i="38"/>
  <c r="D219" i="38"/>
  <c r="R218" i="38"/>
  <c r="M218" i="38"/>
  <c r="K218" i="38"/>
  <c r="L218" i="38" s="1"/>
  <c r="H218" i="38"/>
  <c r="G218" i="38"/>
  <c r="E218" i="38"/>
  <c r="D218" i="38"/>
  <c r="R217" i="38"/>
  <c r="M217" i="38"/>
  <c r="T217" i="38" s="1"/>
  <c r="K217" i="38"/>
  <c r="L217" i="38" s="1"/>
  <c r="H217" i="38"/>
  <c r="G217" i="38"/>
  <c r="E217" i="38"/>
  <c r="D217" i="38"/>
  <c r="R216" i="38"/>
  <c r="M216" i="38"/>
  <c r="N216" i="38" s="1"/>
  <c r="K216" i="38"/>
  <c r="L216" i="38" s="1"/>
  <c r="H216" i="38"/>
  <c r="G216" i="38"/>
  <c r="E216" i="38"/>
  <c r="D216" i="38"/>
  <c r="R215" i="38"/>
  <c r="M215" i="38"/>
  <c r="N215" i="38" s="1"/>
  <c r="K215" i="38"/>
  <c r="L215" i="38" s="1"/>
  <c r="H215" i="38"/>
  <c r="G215" i="38"/>
  <c r="E215" i="38"/>
  <c r="D215" i="38"/>
  <c r="R214" i="38"/>
  <c r="M214" i="38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K212" i="38"/>
  <c r="L212" i="38" s="1"/>
  <c r="H212" i="38"/>
  <c r="G212" i="38"/>
  <c r="E212" i="38"/>
  <c r="D212" i="38"/>
  <c r="R211" i="38"/>
  <c r="M211" i="38"/>
  <c r="N211" i="38" s="1"/>
  <c r="K211" i="38"/>
  <c r="L211" i="38" s="1"/>
  <c r="H211" i="38"/>
  <c r="G211" i="38"/>
  <c r="E211" i="38"/>
  <c r="D211" i="38"/>
  <c r="R210" i="38"/>
  <c r="M210" i="38"/>
  <c r="T210" i="38" s="1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N208" i="38" s="1"/>
  <c r="K208" i="38"/>
  <c r="L208" i="38" s="1"/>
  <c r="H208" i="38"/>
  <c r="G208" i="38"/>
  <c r="E208" i="38"/>
  <c r="D208" i="38"/>
  <c r="R207" i="38"/>
  <c r="M207" i="38"/>
  <c r="N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N203" i="38" s="1"/>
  <c r="K203" i="38"/>
  <c r="L203" i="38" s="1"/>
  <c r="H203" i="38"/>
  <c r="G203" i="38"/>
  <c r="E203" i="38"/>
  <c r="D203" i="38"/>
  <c r="R202" i="38"/>
  <c r="M202" i="38"/>
  <c r="T202" i="38" s="1"/>
  <c r="K202" i="38"/>
  <c r="L202" i="38" s="1"/>
  <c r="H202" i="38"/>
  <c r="G202" i="38"/>
  <c r="E202" i="38"/>
  <c r="D202" i="38"/>
  <c r="R201" i="38"/>
  <c r="M201" i="38"/>
  <c r="K201" i="38"/>
  <c r="L201" i="38" s="1"/>
  <c r="H201" i="38"/>
  <c r="G201" i="38"/>
  <c r="E201" i="38"/>
  <c r="D201" i="38"/>
  <c r="R200" i="38"/>
  <c r="M200" i="38"/>
  <c r="N200" i="38" s="1"/>
  <c r="K200" i="38"/>
  <c r="L200" i="38" s="1"/>
  <c r="H200" i="38"/>
  <c r="G200" i="38"/>
  <c r="E200" i="38"/>
  <c r="D200" i="38"/>
  <c r="R199" i="38"/>
  <c r="M199" i="38"/>
  <c r="N199" i="38" s="1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K86" i="38" s="1"/>
  <c r="L86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44" i="1"/>
  <c r="N249" i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19" i="68"/>
  <c r="F80" i="41"/>
  <c r="C67" i="60"/>
  <c r="K82" i="50"/>
  <c r="M94" i="52"/>
  <c r="M80" i="41"/>
  <c r="M19" i="66"/>
  <c r="H19" i="54"/>
  <c r="H19" i="34"/>
  <c r="H19" i="50"/>
  <c r="M72" i="59"/>
  <c r="F19" i="45"/>
  <c r="M19" i="53"/>
  <c r="C19" i="50"/>
  <c r="F19" i="59"/>
  <c r="K19" i="66"/>
  <c r="C86" i="58"/>
  <c r="M19" i="69"/>
  <c r="F101" i="57"/>
  <c r="K19" i="55"/>
  <c r="C101" i="57"/>
  <c r="M19" i="45"/>
  <c r="K106" i="45"/>
  <c r="H19" i="45"/>
  <c r="F86" i="58"/>
  <c r="C103" i="53"/>
  <c r="M19" i="61"/>
  <c r="H72" i="59"/>
  <c r="H106" i="45"/>
  <c r="C65" i="63"/>
  <c r="C19" i="45"/>
  <c r="H19" i="66"/>
  <c r="M106" i="45"/>
  <c r="K19" i="69"/>
  <c r="H65" i="63"/>
  <c r="M82" i="50"/>
  <c r="F67" i="60"/>
  <c r="M19" i="59"/>
  <c r="H19" i="63"/>
  <c r="M67" i="60"/>
  <c r="K103" i="53"/>
  <c r="H19" i="53"/>
  <c r="F19" i="41"/>
  <c r="F19" i="68"/>
  <c r="K19" i="60"/>
  <c r="H80" i="41"/>
  <c r="H86" i="58"/>
  <c r="M29" i="51"/>
  <c r="C19" i="62"/>
  <c r="C19" i="64"/>
  <c r="H19" i="62"/>
  <c r="F19" i="69"/>
  <c r="M19" i="57"/>
  <c r="K86" i="58"/>
  <c r="C19" i="59"/>
  <c r="F19" i="34"/>
  <c r="K19" i="57"/>
  <c r="H32" i="31"/>
  <c r="F94" i="52"/>
  <c r="C19" i="63"/>
  <c r="K19" i="63"/>
  <c r="C72" i="59"/>
  <c r="K19" i="34"/>
  <c r="M19" i="68"/>
  <c r="F19" i="55"/>
  <c r="K19" i="64"/>
  <c r="K19" i="54"/>
  <c r="M19" i="58"/>
  <c r="C19" i="34"/>
  <c r="K72" i="59"/>
  <c r="H19" i="68"/>
  <c r="K19" i="50"/>
  <c r="K30" i="49"/>
  <c r="F72" i="59"/>
  <c r="H30" i="49"/>
  <c r="C19" i="55"/>
  <c r="M19" i="54"/>
  <c r="F19" i="50"/>
  <c r="H103" i="53"/>
  <c r="M30" i="49"/>
  <c r="M19" i="60"/>
  <c r="H19" i="55"/>
  <c r="C80" i="41"/>
  <c r="C94" i="52"/>
  <c r="H94" i="52"/>
  <c r="C29" i="51"/>
  <c r="C32" i="31"/>
  <c r="F19" i="63"/>
  <c r="F19" i="53"/>
  <c r="H19" i="57"/>
  <c r="M101" i="57"/>
  <c r="C19" i="53"/>
  <c r="K108" i="7"/>
  <c r="K19" i="53"/>
  <c r="K19" i="62"/>
  <c r="K19" i="45"/>
  <c r="M19" i="50"/>
  <c r="F19" i="62"/>
  <c r="C19" i="54"/>
  <c r="K80" i="41"/>
  <c r="K32" i="31"/>
  <c r="C19" i="52"/>
  <c r="C19" i="41"/>
  <c r="K19" i="59"/>
  <c r="F19" i="60"/>
  <c r="M19" i="55"/>
  <c r="H19" i="64"/>
  <c r="M19" i="62"/>
  <c r="K19" i="41"/>
  <c r="F65" i="63"/>
  <c r="M19" i="52"/>
  <c r="H101" i="57"/>
  <c r="M19" i="64"/>
  <c r="K94" i="52"/>
  <c r="M19" i="41"/>
  <c r="F82" i="50"/>
  <c r="F19" i="54"/>
  <c r="H19" i="52"/>
  <c r="F106" i="45"/>
  <c r="F32" i="31"/>
  <c r="F30" i="49"/>
  <c r="H19" i="41"/>
  <c r="C82" i="50"/>
  <c r="M19" i="63"/>
  <c r="F29" i="51"/>
  <c r="H19" i="59"/>
  <c r="H82" i="50"/>
  <c r="H19" i="69"/>
  <c r="F19" i="57"/>
  <c r="H108" i="7"/>
  <c r="C19" i="69"/>
  <c r="K65" i="63"/>
  <c r="K101" i="57"/>
  <c r="M32" i="31"/>
  <c r="H19" i="60"/>
  <c r="M65" i="63"/>
  <c r="F19" i="52"/>
  <c r="K67" i="60"/>
  <c r="K19" i="68"/>
  <c r="K19" i="52"/>
  <c r="M103" i="53"/>
  <c r="F103" i="53"/>
  <c r="C19" i="66"/>
  <c r="C106" i="45"/>
  <c r="M86" i="58"/>
  <c r="C30" i="49"/>
  <c r="H67" i="60"/>
  <c r="F19" i="66"/>
  <c r="M19" i="34"/>
  <c r="C19" i="60"/>
  <c r="C19" i="57"/>
  <c r="F19" i="64"/>
  <c r="M108" i="7"/>
  <c r="M232" i="25"/>
  <c r="F19" i="58"/>
  <c r="C19" i="58"/>
  <c r="K19" i="58"/>
  <c r="H19" i="58"/>
  <c r="F19" i="61"/>
  <c r="C19" i="61"/>
  <c r="K19" i="61"/>
  <c r="H19" i="61"/>
  <c r="M158" i="17"/>
  <c r="F158" i="17"/>
  <c r="C158" i="17"/>
  <c r="K158" i="17"/>
  <c r="H158" i="17"/>
  <c r="H19" i="3"/>
  <c r="M19" i="3"/>
  <c r="C19" i="3"/>
  <c r="F19" i="3"/>
  <c r="K19" i="3"/>
  <c r="F232" i="25"/>
  <c r="C232" i="25"/>
  <c r="K232" i="25"/>
  <c r="H232" i="25"/>
  <c r="F108" i="7"/>
  <c r="C108" i="7"/>
  <c r="K29" i="51"/>
  <c r="H29" i="51"/>
  <c r="U299" i="38" l="1"/>
  <c r="F100" i="57"/>
  <c r="M82" i="57" s="1"/>
  <c r="U296" i="38"/>
  <c r="U298" i="38"/>
  <c r="U297" i="38"/>
  <c r="F18" i="54"/>
  <c r="U295" i="38"/>
  <c r="U294" i="38"/>
  <c r="U293" i="38"/>
  <c r="U291" i="38"/>
  <c r="U292" i="38"/>
  <c r="U290" i="38"/>
  <c r="U289" i="38"/>
  <c r="U288" i="38"/>
  <c r="U287" i="38"/>
  <c r="U286" i="38"/>
  <c r="U285" i="38"/>
  <c r="F35" i="30"/>
  <c r="U284" i="38"/>
  <c r="U282" i="38"/>
  <c r="U283" i="38"/>
  <c r="O243" i="38"/>
  <c r="O251" i="38"/>
  <c r="Q2" i="68"/>
  <c r="U281" i="38"/>
  <c r="Q2" i="3"/>
  <c r="Q9" i="3" s="1"/>
  <c r="U280" i="38"/>
  <c r="U279" i="38"/>
  <c r="U278" i="38"/>
  <c r="Q2" i="30"/>
  <c r="Q9" i="30" s="1"/>
  <c r="F102" i="53"/>
  <c r="K35" i="30"/>
  <c r="Q2" i="26"/>
  <c r="U277" i="38"/>
  <c r="F98" i="1"/>
  <c r="N98" i="1" s="1"/>
  <c r="O98" i="1" s="1"/>
  <c r="O155" i="38"/>
  <c r="Q2" i="33"/>
  <c r="Q5" i="33" s="1"/>
  <c r="K50" i="46"/>
  <c r="Q2" i="54"/>
  <c r="Q5" i="54" s="1"/>
  <c r="O7" i="38"/>
  <c r="O11" i="38"/>
  <c r="O15" i="38"/>
  <c r="O19" i="38"/>
  <c r="O91" i="38"/>
  <c r="O147" i="38"/>
  <c r="X2" i="38"/>
  <c r="N248" i="1" s="1"/>
  <c r="O146" i="38"/>
  <c r="O141" i="38"/>
  <c r="T267" i="38"/>
  <c r="O47" i="38"/>
  <c r="O176" i="38"/>
  <c r="O225" i="38"/>
  <c r="O263" i="38"/>
  <c r="O272" i="38"/>
  <c r="Q2" i="58"/>
  <c r="Q5" i="58" s="1"/>
  <c r="Q2" i="67"/>
  <c r="Q2" i="46"/>
  <c r="Q3" i="46" s="1"/>
  <c r="Q6" i="46" s="1"/>
  <c r="O22" i="38"/>
  <c r="O107" i="38"/>
  <c r="O239" i="38"/>
  <c r="O244" i="38"/>
  <c r="O271" i="38"/>
  <c r="Q2" i="60"/>
  <c r="Q8" i="60" s="1"/>
  <c r="K79" i="41"/>
  <c r="O40" i="38"/>
  <c r="O81" i="38"/>
  <c r="O121" i="38"/>
  <c r="O125" i="38"/>
  <c r="O129" i="38"/>
  <c r="O142" i="38"/>
  <c r="Q2" i="28"/>
  <c r="Q3" i="28" s="1"/>
  <c r="Q6" i="28" s="1"/>
  <c r="Q2" i="48"/>
  <c r="Q8" i="48" s="1"/>
  <c r="T200" i="38"/>
  <c r="Q2" i="61"/>
  <c r="Q5" i="61" s="1"/>
  <c r="O25" i="38"/>
  <c r="O160" i="38"/>
  <c r="O213" i="38"/>
  <c r="O250" i="38"/>
  <c r="F79" i="41"/>
  <c r="F88" i="1"/>
  <c r="O219" i="38"/>
  <c r="T261" i="38"/>
  <c r="Q2" i="42"/>
  <c r="M34" i="48"/>
  <c r="Q10" i="48" s="1"/>
  <c r="K83" i="1"/>
  <c r="K88" i="1"/>
  <c r="N88" i="1" s="1"/>
  <c r="O88" i="1" s="1"/>
  <c r="O33" i="38"/>
  <c r="O37" i="38"/>
  <c r="O65" i="38"/>
  <c r="O126" i="38"/>
  <c r="O130" i="38"/>
  <c r="O161" i="38"/>
  <c r="O192" i="38"/>
  <c r="Q2" i="55"/>
  <c r="Q5" i="55" s="1"/>
  <c r="Q2" i="47"/>
  <c r="Q8" i="47" s="1"/>
  <c r="O51" i="38"/>
  <c r="O55" i="38"/>
  <c r="O63" i="38"/>
  <c r="O99" i="38"/>
  <c r="O115" i="38"/>
  <c r="O137" i="38"/>
  <c r="O205" i="38"/>
  <c r="O235" i="38"/>
  <c r="O248" i="38"/>
  <c r="O268" i="38"/>
  <c r="Q2" i="57"/>
  <c r="Q8" i="57" s="1"/>
  <c r="Q2" i="51"/>
  <c r="Q5" i="51" s="1"/>
  <c r="Q8" i="68"/>
  <c r="Q7" i="68" s="1"/>
  <c r="F81" i="50"/>
  <c r="K81" i="50"/>
  <c r="M63" i="50" s="1"/>
  <c r="Q10" i="50" s="1"/>
  <c r="Q2" i="20"/>
  <c r="Q9" i="20" s="1"/>
  <c r="F18" i="53"/>
  <c r="O71" i="38"/>
  <c r="N206" i="38"/>
  <c r="T208" i="38"/>
  <c r="O247" i="38"/>
  <c r="Q2" i="22"/>
  <c r="Q8" i="22" s="1"/>
  <c r="Q2" i="52"/>
  <c r="Q9" i="52" s="1"/>
  <c r="K237" i="1"/>
  <c r="O75" i="38"/>
  <c r="T230" i="38"/>
  <c r="O246" i="38"/>
  <c r="M30" i="44"/>
  <c r="Q10" i="44" s="1"/>
  <c r="O6" i="38"/>
  <c r="O10" i="38"/>
  <c r="O18" i="38"/>
  <c r="O36" i="38"/>
  <c r="O38" i="38"/>
  <c r="O41" i="38"/>
  <c r="O83" i="38"/>
  <c r="O131" i="38"/>
  <c r="O145" i="38"/>
  <c r="O202" i="38"/>
  <c r="O259" i="38"/>
  <c r="O273" i="38"/>
  <c r="K47" i="29"/>
  <c r="K47" i="32"/>
  <c r="T239" i="38"/>
  <c r="K94" i="1"/>
  <c r="N94" i="1" s="1"/>
  <c r="O94" i="1" s="1"/>
  <c r="O156" i="38"/>
  <c r="O209" i="38"/>
  <c r="T237" i="38"/>
  <c r="K53" i="56"/>
  <c r="M35" i="56" s="1"/>
  <c r="Q10" i="56" s="1"/>
  <c r="Q2" i="62"/>
  <c r="Q5" i="62" s="1"/>
  <c r="Q2" i="5"/>
  <c r="Q9" i="5" s="1"/>
  <c r="F75" i="40"/>
  <c r="F51" i="28"/>
  <c r="M33" i="28" s="1"/>
  <c r="Q10" i="28" s="1"/>
  <c r="K44" i="26"/>
  <c r="N218" i="1"/>
  <c r="O218" i="1" s="1"/>
  <c r="O58" i="38"/>
  <c r="O78" i="38"/>
  <c r="T215" i="38"/>
  <c r="N242" i="38"/>
  <c r="Q2" i="69"/>
  <c r="Q2" i="40"/>
  <c r="Q5" i="40" s="1"/>
  <c r="N19" i="1"/>
  <c r="O19" i="1" s="1"/>
  <c r="K172" i="1"/>
  <c r="N207" i="1"/>
  <c r="O207" i="1" s="1"/>
  <c r="K85" i="38"/>
  <c r="L85" i="38" s="1"/>
  <c r="O85" i="38" s="1"/>
  <c r="N210" i="38"/>
  <c r="K240" i="38"/>
  <c r="L240" i="38" s="1"/>
  <c r="T241" i="38"/>
  <c r="F73" i="55"/>
  <c r="K71" i="59"/>
  <c r="M53" i="59" s="1"/>
  <c r="Q10" i="59" s="1"/>
  <c r="F83" i="1"/>
  <c r="N83" i="1" s="1"/>
  <c r="O83" i="1" s="1"/>
  <c r="O171" i="38"/>
  <c r="O187" i="38"/>
  <c r="T211" i="38"/>
  <c r="O226" i="38"/>
  <c r="M240" i="38"/>
  <c r="T240" i="38" s="1"/>
  <c r="Q2" i="41"/>
  <c r="Q5" i="41" s="1"/>
  <c r="K75" i="40"/>
  <c r="F31" i="31"/>
  <c r="K50" i="15"/>
  <c r="N61" i="1"/>
  <c r="O61" i="1" s="1"/>
  <c r="O26" i="38"/>
  <c r="O59" i="38"/>
  <c r="O66" i="38"/>
  <c r="O96" i="38"/>
  <c r="O112" i="38"/>
  <c r="O119" i="38"/>
  <c r="O267" i="38"/>
  <c r="K16" i="1"/>
  <c r="K204" i="1"/>
  <c r="F211" i="1"/>
  <c r="N211" i="1" s="1"/>
  <c r="O211" i="1" s="1"/>
  <c r="K215" i="1"/>
  <c r="U276" i="38"/>
  <c r="U275" i="38"/>
  <c r="O9" i="38"/>
  <c r="O13" i="38"/>
  <c r="O20" i="38"/>
  <c r="O29" i="38"/>
  <c r="O39" i="38"/>
  <c r="O73" i="38"/>
  <c r="O124" i="38"/>
  <c r="O144" i="38"/>
  <c r="N202" i="38"/>
  <c r="O217" i="38"/>
  <c r="N220" i="38"/>
  <c r="N224" i="38"/>
  <c r="N251" i="38"/>
  <c r="O256" i="38"/>
  <c r="O265" i="38"/>
  <c r="O269" i="38"/>
  <c r="Q2" i="17"/>
  <c r="Q5" i="17" s="1"/>
  <c r="M37" i="67"/>
  <c r="Q10" i="67" s="1"/>
  <c r="F105" i="45"/>
  <c r="K93" i="52"/>
  <c r="O24" i="38"/>
  <c r="O49" i="38"/>
  <c r="O88" i="38"/>
  <c r="O168" i="38"/>
  <c r="O201" i="38"/>
  <c r="O266" i="38"/>
  <c r="K230" i="1"/>
  <c r="O17" i="38"/>
  <c r="O23" i="38"/>
  <c r="O34" i="38"/>
  <c r="O50" i="38"/>
  <c r="O94" i="38"/>
  <c r="O102" i="38"/>
  <c r="O110" i="38"/>
  <c r="O133" i="38"/>
  <c r="O138" i="38"/>
  <c r="O149" i="38"/>
  <c r="T204" i="38"/>
  <c r="O216" i="38"/>
  <c r="T219" i="38"/>
  <c r="N221" i="38"/>
  <c r="T223" i="38"/>
  <c r="N231" i="38"/>
  <c r="N232" i="38"/>
  <c r="T250" i="38"/>
  <c r="O254" i="38"/>
  <c r="O261" i="38"/>
  <c r="N266" i="38"/>
  <c r="F64" i="63"/>
  <c r="Q2" i="13"/>
  <c r="Q5" i="13" s="1"/>
  <c r="Q2" i="10"/>
  <c r="Q5" i="10" s="1"/>
  <c r="Q2" i="53"/>
  <c r="Q2" i="34"/>
  <c r="O104" i="38"/>
  <c r="O184" i="38"/>
  <c r="O230" i="38"/>
  <c r="O270" i="38"/>
  <c r="F146" i="1"/>
  <c r="N146" i="1" s="1"/>
  <c r="O146" i="1" s="1"/>
  <c r="O8" i="38"/>
  <c r="O12" i="38"/>
  <c r="O16" i="38"/>
  <c r="O57" i="38"/>
  <c r="O67" i="38"/>
  <c r="O93" i="38"/>
  <c r="O101" i="38"/>
  <c r="O109" i="38"/>
  <c r="O117" i="38"/>
  <c r="O123" i="38"/>
  <c r="O127" i="38"/>
  <c r="O143" i="38"/>
  <c r="O153" i="38"/>
  <c r="O163" i="38"/>
  <c r="O169" i="38"/>
  <c r="O179" i="38"/>
  <c r="O195" i="38"/>
  <c r="O214" i="38"/>
  <c r="N246" i="38"/>
  <c r="T257" i="38"/>
  <c r="K64" i="63"/>
  <c r="Q2" i="16"/>
  <c r="Q9" i="16" s="1"/>
  <c r="F51" i="16"/>
  <c r="K51" i="24"/>
  <c r="F51" i="24"/>
  <c r="F29" i="49"/>
  <c r="Q2" i="7"/>
  <c r="Q5" i="7" s="1"/>
  <c r="F44" i="26"/>
  <c r="F50" i="15"/>
  <c r="Q2" i="15"/>
  <c r="Q8" i="15" s="1"/>
  <c r="V23" i="38"/>
  <c r="W23" i="38" s="1"/>
  <c r="V29" i="38"/>
  <c r="W29" i="38" s="1"/>
  <c r="N175" i="1"/>
  <c r="O175" i="1" s="1"/>
  <c r="V19" i="38"/>
  <c r="W19" i="38" s="1"/>
  <c r="U23" i="38"/>
  <c r="O31" i="38"/>
  <c r="O42" i="38"/>
  <c r="O80" i="38"/>
  <c r="O90" i="38"/>
  <c r="O98" i="38"/>
  <c r="O106" i="38"/>
  <c r="O114" i="38"/>
  <c r="O118" i="38"/>
  <c r="T212" i="38"/>
  <c r="N212" i="38"/>
  <c r="K228" i="38"/>
  <c r="L228" i="38" s="1"/>
  <c r="O228" i="38" s="1"/>
  <c r="M227" i="38"/>
  <c r="K227" i="38"/>
  <c r="L227" i="38" s="1"/>
  <c r="O227" i="38" s="1"/>
  <c r="R227" i="38"/>
  <c r="F172" i="1"/>
  <c r="N142" i="1"/>
  <c r="O142" i="1" s="1"/>
  <c r="F153" i="1"/>
  <c r="N153" i="1" s="1"/>
  <c r="O153" i="1" s="1"/>
  <c r="U65" i="38"/>
  <c r="U22" i="38"/>
  <c r="O14" i="38"/>
  <c r="O21" i="38"/>
  <c r="O30" i="38"/>
  <c r="O45" i="38"/>
  <c r="O48" i="38"/>
  <c r="O53" i="38"/>
  <c r="O56" i="38"/>
  <c r="O61" i="38"/>
  <c r="O64" i="38"/>
  <c r="O69" i="38"/>
  <c r="O72" i="38"/>
  <c r="O77" i="38"/>
  <c r="O89" i="38"/>
  <c r="O97" i="38"/>
  <c r="O105" i="38"/>
  <c r="O113" i="38"/>
  <c r="O220" i="38"/>
  <c r="K73" i="55"/>
  <c r="F32" i="1"/>
  <c r="N32" i="1" s="1"/>
  <c r="O32" i="1" s="1"/>
  <c r="N101" i="1"/>
  <c r="O101" i="1" s="1"/>
  <c r="F204" i="1"/>
  <c r="O32" i="38"/>
  <c r="Q2" i="45"/>
  <c r="Q8" i="45" s="1"/>
  <c r="F230" i="1"/>
  <c r="F27" i="1"/>
  <c r="F58" i="1"/>
  <c r="N242" i="1"/>
  <c r="F237" i="1"/>
  <c r="O35" i="38"/>
  <c r="O43" i="38"/>
  <c r="O46" i="38"/>
  <c r="O54" i="38"/>
  <c r="O62" i="38"/>
  <c r="O70" i="38"/>
  <c r="O84" i="38"/>
  <c r="O87" i="38"/>
  <c r="O95" i="38"/>
  <c r="O103" i="38"/>
  <c r="O111" i="38"/>
  <c r="O139" i="38"/>
  <c r="O27" i="38"/>
  <c r="F139" i="1"/>
  <c r="F166" i="1"/>
  <c r="O44" i="38"/>
  <c r="O52" i="38"/>
  <c r="O76" i="38"/>
  <c r="T263" i="38"/>
  <c r="N263" i="38"/>
  <c r="T268" i="38"/>
  <c r="N268" i="38"/>
  <c r="F6" i="1"/>
  <c r="K27" i="1"/>
  <c r="F107" i="1"/>
  <c r="F215" i="1"/>
  <c r="N221" i="1"/>
  <c r="O221" i="1" s="1"/>
  <c r="O60" i="38"/>
  <c r="O68" i="38"/>
  <c r="K6" i="1"/>
  <c r="F16" i="1"/>
  <c r="K58" i="1"/>
  <c r="N70" i="1"/>
  <c r="O70" i="1" s="1"/>
  <c r="K107" i="1"/>
  <c r="K139" i="1"/>
  <c r="K166" i="1"/>
  <c r="N240" i="1"/>
  <c r="O240" i="1" s="1"/>
  <c r="O28" i="38"/>
  <c r="O79" i="38"/>
  <c r="O92" i="38"/>
  <c r="O100" i="38"/>
  <c r="O108" i="38"/>
  <c r="O116" i="38"/>
  <c r="O211" i="38"/>
  <c r="T214" i="38"/>
  <c r="N214" i="38"/>
  <c r="O128" i="38"/>
  <c r="O154" i="38"/>
  <c r="O162" i="38"/>
  <c r="O170" i="38"/>
  <c r="O177" i="38"/>
  <c r="O178" i="38"/>
  <c r="O186" i="38"/>
  <c r="O193" i="38"/>
  <c r="O194" i="38"/>
  <c r="O200" i="38"/>
  <c r="O204" i="38"/>
  <c r="O206" i="38"/>
  <c r="O207" i="38"/>
  <c r="N228" i="38"/>
  <c r="N234" i="38"/>
  <c r="N235" i="38"/>
  <c r="O238" i="38"/>
  <c r="N247" i="38"/>
  <c r="N248" i="38"/>
  <c r="O260" i="38"/>
  <c r="N273" i="38"/>
  <c r="Q2" i="56"/>
  <c r="Q5" i="56" s="1"/>
  <c r="Q2" i="50"/>
  <c r="Q3" i="50" s="1"/>
  <c r="Q6" i="50" s="1"/>
  <c r="K51" i="16"/>
  <c r="K31" i="31"/>
  <c r="Q2" i="31"/>
  <c r="Q5" i="31" s="1"/>
  <c r="Q2" i="43"/>
  <c r="Q3" i="43" s="1"/>
  <c r="Q6" i="43" s="1"/>
  <c r="O74" i="38"/>
  <c r="O82" i="38"/>
  <c r="O120" i="38"/>
  <c r="O122" i="38"/>
  <c r="O152" i="38"/>
  <c r="O157" i="38"/>
  <c r="O159" i="38"/>
  <c r="O165" i="38"/>
  <c r="O167" i="38"/>
  <c r="O173" i="38"/>
  <c r="O175" i="38"/>
  <c r="O181" i="38"/>
  <c r="O183" i="38"/>
  <c r="O189" i="38"/>
  <c r="O191" i="38"/>
  <c r="O197" i="38"/>
  <c r="O199" i="38"/>
  <c r="O203" i="38"/>
  <c r="T216" i="38"/>
  <c r="N217" i="38"/>
  <c r="O221" i="38"/>
  <c r="O222" i="38"/>
  <c r="O224" i="38"/>
  <c r="O232" i="38"/>
  <c r="O241" i="38"/>
  <c r="T253" i="38"/>
  <c r="O255" i="38"/>
  <c r="T255" i="38"/>
  <c r="N256" i="38"/>
  <c r="T260" i="38"/>
  <c r="T265" i="38"/>
  <c r="T272" i="38"/>
  <c r="K57" i="33"/>
  <c r="Q2" i="66"/>
  <c r="Q8" i="66" s="1"/>
  <c r="Q7" i="66" s="1"/>
  <c r="F18" i="62"/>
  <c r="Q2" i="63"/>
  <c r="Q5" i="63" s="1"/>
  <c r="F231" i="25"/>
  <c r="Q2" i="25"/>
  <c r="Q5" i="25" s="1"/>
  <c r="K157" i="17"/>
  <c r="K105" i="45"/>
  <c r="F47" i="29"/>
  <c r="O86" i="38"/>
  <c r="O135" i="38"/>
  <c r="O140" i="38"/>
  <c r="O151" i="38"/>
  <c r="R236" i="38"/>
  <c r="O249" i="38"/>
  <c r="Q2" i="64"/>
  <c r="K59" i="41"/>
  <c r="F50" i="46"/>
  <c r="K29" i="49"/>
  <c r="Q2" i="29"/>
  <c r="Q3" i="29" s="1"/>
  <c r="Q6" i="29" s="1"/>
  <c r="O136" i="38"/>
  <c r="O158" i="38"/>
  <c r="O164" i="38"/>
  <c r="O166" i="38"/>
  <c r="O172" i="38"/>
  <c r="O174" i="38"/>
  <c r="O180" i="38"/>
  <c r="O182" i="38"/>
  <c r="O188" i="38"/>
  <c r="O190" i="38"/>
  <c r="O196" i="38"/>
  <c r="O198" i="38"/>
  <c r="O223" i="38"/>
  <c r="O231" i="38"/>
  <c r="O242" i="38"/>
  <c r="O262" i="38"/>
  <c r="T262" i="38"/>
  <c r="Q2" i="65"/>
  <c r="Q8" i="65" s="1"/>
  <c r="K18" i="54"/>
  <c r="K107" i="7"/>
  <c r="M67" i="58"/>
  <c r="Q10" i="58" s="1"/>
  <c r="F157" i="17"/>
  <c r="Q2" i="44"/>
  <c r="Q3" i="44" s="1"/>
  <c r="Q6" i="44" s="1"/>
  <c r="O212" i="38"/>
  <c r="N225" i="38"/>
  <c r="N226" i="38"/>
  <c r="N243" i="38"/>
  <c r="N244" i="38"/>
  <c r="N264" i="38"/>
  <c r="N269" i="38"/>
  <c r="N270" i="38"/>
  <c r="F49" i="20"/>
  <c r="K56" i="22"/>
  <c r="Q2" i="24"/>
  <c r="K102" i="53"/>
  <c r="Q2" i="32"/>
  <c r="Q3" i="32" s="1"/>
  <c r="Q6" i="32" s="1"/>
  <c r="O134" i="38"/>
  <c r="O148" i="38"/>
  <c r="O150" i="38"/>
  <c r="O264" i="38"/>
  <c r="K28" i="51"/>
  <c r="K64" i="5"/>
  <c r="F47" i="32"/>
  <c r="O132" i="38"/>
  <c r="O208" i="38"/>
  <c r="O210" i="38"/>
  <c r="O215" i="38"/>
  <c r="O218" i="38"/>
  <c r="O229" i="38"/>
  <c r="K236" i="38"/>
  <c r="L236" i="38" s="1"/>
  <c r="O236" i="38" s="1"/>
  <c r="K237" i="38"/>
  <c r="L237" i="38" s="1"/>
  <c r="O237" i="38" s="1"/>
  <c r="O245" i="38"/>
  <c r="O257" i="38"/>
  <c r="T259" i="38"/>
  <c r="O274" i="38"/>
  <c r="F57" i="33"/>
  <c r="F18" i="64"/>
  <c r="M37" i="65"/>
  <c r="Q10" i="65" s="1"/>
  <c r="K49" i="20"/>
  <c r="F56" i="22"/>
  <c r="F55" i="47"/>
  <c r="Q2" i="59"/>
  <c r="Q3" i="59" s="1"/>
  <c r="Q6" i="59" s="1"/>
  <c r="U4" i="38"/>
  <c r="U6" i="38"/>
  <c r="U8" i="38"/>
  <c r="U10" i="38"/>
  <c r="U12" i="38"/>
  <c r="U14" i="38"/>
  <c r="U17" i="38"/>
  <c r="U26" i="38"/>
  <c r="U33" i="38"/>
  <c r="U38" i="38"/>
  <c r="U44" i="38"/>
  <c r="U45" i="38"/>
  <c r="U58" i="38"/>
  <c r="U59" i="38"/>
  <c r="U170" i="38"/>
  <c r="T205" i="38"/>
  <c r="N205" i="38"/>
  <c r="U32" i="38"/>
  <c r="U57" i="38"/>
  <c r="U162" i="38"/>
  <c r="V181" i="38"/>
  <c r="W181" i="38" s="1"/>
  <c r="V83" i="38"/>
  <c r="W83" i="38" s="1"/>
  <c r="V81" i="38"/>
  <c r="W81" i="38" s="1"/>
  <c r="V79" i="38"/>
  <c r="W79" i="38" s="1"/>
  <c r="V77" i="38"/>
  <c r="W77" i="38" s="1"/>
  <c r="V75" i="38"/>
  <c r="W75" i="38" s="1"/>
  <c r="V73" i="38"/>
  <c r="W73" i="38" s="1"/>
  <c r="V71" i="38"/>
  <c r="W71" i="38" s="1"/>
  <c r="V69" i="38"/>
  <c r="W69" i="38" s="1"/>
  <c r="V67" i="38"/>
  <c r="W67" i="38" s="1"/>
  <c r="V65" i="38"/>
  <c r="W65" i="38" s="1"/>
  <c r="V63" i="38"/>
  <c r="W63" i="38" s="1"/>
  <c r="V61" i="38"/>
  <c r="W61" i="38" s="1"/>
  <c r="V59" i="38"/>
  <c r="W59" i="38" s="1"/>
  <c r="V57" i="38"/>
  <c r="W57" i="38" s="1"/>
  <c r="V55" i="38"/>
  <c r="W55" i="38" s="1"/>
  <c r="V53" i="38"/>
  <c r="W53" i="38" s="1"/>
  <c r="V51" i="38"/>
  <c r="W51" i="38" s="1"/>
  <c r="V49" i="38"/>
  <c r="W49" i="38" s="1"/>
  <c r="V47" i="38"/>
  <c r="W47" i="38" s="1"/>
  <c r="V45" i="38"/>
  <c r="W45" i="38" s="1"/>
  <c r="V43" i="38"/>
  <c r="W43" i="38" s="1"/>
  <c r="V41" i="38"/>
  <c r="W41" i="38" s="1"/>
  <c r="V39" i="38"/>
  <c r="W39" i="38" s="1"/>
  <c r="V37" i="38"/>
  <c r="W37" i="38" s="1"/>
  <c r="V35" i="38"/>
  <c r="W35" i="38" s="1"/>
  <c r="V33" i="38"/>
  <c r="W33" i="38" s="1"/>
  <c r="V118" i="38"/>
  <c r="W118" i="38" s="1"/>
  <c r="V84" i="38"/>
  <c r="W84" i="38" s="1"/>
  <c r="V82" i="38"/>
  <c r="W82" i="38" s="1"/>
  <c r="V80" i="38"/>
  <c r="W80" i="38" s="1"/>
  <c r="V78" i="38"/>
  <c r="W78" i="38" s="1"/>
  <c r="V76" i="38"/>
  <c r="W76" i="38" s="1"/>
  <c r="V74" i="38"/>
  <c r="W74" i="38" s="1"/>
  <c r="V72" i="38"/>
  <c r="W72" i="38" s="1"/>
  <c r="V70" i="38"/>
  <c r="W70" i="38" s="1"/>
  <c r="V68" i="38"/>
  <c r="W68" i="38" s="1"/>
  <c r="V66" i="38"/>
  <c r="W66" i="38" s="1"/>
  <c r="V64" i="38"/>
  <c r="W64" i="38" s="1"/>
  <c r="V62" i="38"/>
  <c r="W62" i="38" s="1"/>
  <c r="V60" i="38"/>
  <c r="W60" i="38" s="1"/>
  <c r="V58" i="38"/>
  <c r="W58" i="38" s="1"/>
  <c r="V56" i="38"/>
  <c r="W56" i="38" s="1"/>
  <c r="V54" i="38"/>
  <c r="W54" i="38" s="1"/>
  <c r="V52" i="38"/>
  <c r="W52" i="38" s="1"/>
  <c r="V50" i="38"/>
  <c r="W50" i="38" s="1"/>
  <c r="V48" i="38"/>
  <c r="W48" i="38" s="1"/>
  <c r="V46" i="38"/>
  <c r="W46" i="38" s="1"/>
  <c r="V44" i="38"/>
  <c r="W44" i="38" s="1"/>
  <c r="V42" i="38"/>
  <c r="W42" i="38" s="1"/>
  <c r="V40" i="38"/>
  <c r="W40" i="38" s="1"/>
  <c r="V38" i="38"/>
  <c r="W38" i="38" s="1"/>
  <c r="V36" i="38"/>
  <c r="W36" i="38" s="1"/>
  <c r="V34" i="38"/>
  <c r="W34" i="38" s="1"/>
  <c r="V32" i="38"/>
  <c r="W32" i="38" s="1"/>
  <c r="V30" i="38"/>
  <c r="W30" i="38" s="1"/>
  <c r="V28" i="38"/>
  <c r="W28" i="38" s="1"/>
  <c r="V26" i="38"/>
  <c r="W26" i="38" s="1"/>
  <c r="V24" i="38"/>
  <c r="W24" i="38" s="1"/>
  <c r="V22" i="38"/>
  <c r="W22" i="38" s="1"/>
  <c r="V20" i="38"/>
  <c r="W20" i="38" s="1"/>
  <c r="V18" i="38"/>
  <c r="W18" i="38" s="1"/>
  <c r="V16" i="38"/>
  <c r="W16" i="38" s="1"/>
  <c r="V14" i="38"/>
  <c r="W14" i="38" s="1"/>
  <c r="V4" i="38"/>
  <c r="W4" i="38" s="1"/>
  <c r="V6" i="38"/>
  <c r="W6" i="38" s="1"/>
  <c r="V8" i="38"/>
  <c r="W8" i="38" s="1"/>
  <c r="V10" i="38"/>
  <c r="W10" i="38" s="1"/>
  <c r="V12" i="38"/>
  <c r="W12" i="38" s="1"/>
  <c r="V17" i="38"/>
  <c r="W17" i="38" s="1"/>
  <c r="U20" i="38"/>
  <c r="U27" i="38"/>
  <c r="U39" i="38"/>
  <c r="U60" i="38"/>
  <c r="U61" i="38"/>
  <c r="U200" i="38"/>
  <c r="M233" i="38"/>
  <c r="K233" i="38"/>
  <c r="L233" i="38" s="1"/>
  <c r="O233" i="38" s="1"/>
  <c r="K234" i="38"/>
  <c r="L234" i="38" s="1"/>
  <c r="O234" i="38" s="1"/>
  <c r="R233" i="38"/>
  <c r="P2" i="38"/>
  <c r="O5" i="38"/>
  <c r="U15" i="38"/>
  <c r="U21" i="38"/>
  <c r="V27" i="38"/>
  <c r="W27" i="38" s="1"/>
  <c r="U30" i="38"/>
  <c r="U34" i="38"/>
  <c r="U46" i="38"/>
  <c r="U47" i="38"/>
  <c r="U62" i="38"/>
  <c r="U63" i="38"/>
  <c r="U118" i="38"/>
  <c r="V15" i="38"/>
  <c r="W15" i="38" s="1"/>
  <c r="V21" i="38"/>
  <c r="W21" i="38" s="1"/>
  <c r="U24" i="38"/>
  <c r="U31" i="38"/>
  <c r="U35" i="38"/>
  <c r="U40" i="38"/>
  <c r="U48" i="38"/>
  <c r="U49" i="38"/>
  <c r="U64" i="38"/>
  <c r="U56" i="38"/>
  <c r="U149" i="38"/>
  <c r="U271" i="38"/>
  <c r="U267" i="38"/>
  <c r="U263" i="38"/>
  <c r="U259" i="38"/>
  <c r="U274" i="38"/>
  <c r="U272" i="38"/>
  <c r="U269" i="38"/>
  <c r="U266" i="38"/>
  <c r="U256" i="38"/>
  <c r="U252" i="38"/>
  <c r="U236" i="38"/>
  <c r="U231" i="38"/>
  <c r="U227" i="38"/>
  <c r="U260" i="38"/>
  <c r="U249" i="38"/>
  <c r="U245" i="38"/>
  <c r="U241" i="38"/>
  <c r="U223" i="38"/>
  <c r="U219" i="38"/>
  <c r="U215" i="38"/>
  <c r="U211" i="38"/>
  <c r="U270" i="38"/>
  <c r="U257" i="38"/>
  <c r="U253" i="38"/>
  <c r="U264" i="38"/>
  <c r="U258" i="38"/>
  <c r="U250" i="38"/>
  <c r="U246" i="38"/>
  <c r="U242" i="38"/>
  <c r="U233" i="38"/>
  <c r="U273" i="38"/>
  <c r="U261" i="38"/>
  <c r="U254" i="38"/>
  <c r="U268" i="38"/>
  <c r="U251" i="38"/>
  <c r="U247" i="38"/>
  <c r="U243" i="38"/>
  <c r="U234" i="38"/>
  <c r="U225" i="38"/>
  <c r="U265" i="38"/>
  <c r="U262" i="38"/>
  <c r="U255" i="38"/>
  <c r="U239" i="38"/>
  <c r="U230" i="38"/>
  <c r="U235" i="38"/>
  <c r="U224" i="38"/>
  <c r="U222" i="38"/>
  <c r="U197" i="38"/>
  <c r="U189" i="38"/>
  <c r="U181" i="38"/>
  <c r="U173" i="38"/>
  <c r="U220" i="38"/>
  <c r="U218" i="38"/>
  <c r="U209" i="38"/>
  <c r="U205" i="38"/>
  <c r="U201" i="38"/>
  <c r="U192" i="38"/>
  <c r="U184" i="38"/>
  <c r="U176" i="38"/>
  <c r="U168" i="38"/>
  <c r="U160" i="38"/>
  <c r="U152" i="38"/>
  <c r="U226" i="38"/>
  <c r="U216" i="38"/>
  <c r="U214" i="38"/>
  <c r="U195" i="38"/>
  <c r="U187" i="38"/>
  <c r="U179" i="38"/>
  <c r="U171" i="38"/>
  <c r="U163" i="38"/>
  <c r="U155" i="38"/>
  <c r="U147" i="38"/>
  <c r="U145" i="38"/>
  <c r="U143" i="38"/>
  <c r="U141" i="38"/>
  <c r="U139" i="38"/>
  <c r="U137" i="38"/>
  <c r="U135" i="38"/>
  <c r="U133" i="38"/>
  <c r="U131" i="38"/>
  <c r="U129" i="38"/>
  <c r="U127" i="38"/>
  <c r="U125" i="38"/>
  <c r="U238" i="38"/>
  <c r="U229" i="38"/>
  <c r="U212" i="38"/>
  <c r="U210" i="38"/>
  <c r="U206" i="38"/>
  <c r="U202" i="38"/>
  <c r="U198" i="38"/>
  <c r="U190" i="38"/>
  <c r="U182" i="38"/>
  <c r="U174" i="38"/>
  <c r="U166" i="38"/>
  <c r="U158" i="38"/>
  <c r="U237" i="38"/>
  <c r="U232" i="38"/>
  <c r="U228" i="38"/>
  <c r="U193" i="38"/>
  <c r="U185" i="38"/>
  <c r="U177" i="38"/>
  <c r="U169" i="38"/>
  <c r="U161" i="38"/>
  <c r="U153" i="38"/>
  <c r="U248" i="38"/>
  <c r="U221" i="38"/>
  <c r="U207" i="38"/>
  <c r="U203" i="38"/>
  <c r="U199" i="38"/>
  <c r="U196" i="38"/>
  <c r="U188" i="38"/>
  <c r="U180" i="38"/>
  <c r="U172" i="38"/>
  <c r="U164" i="38"/>
  <c r="U156" i="38"/>
  <c r="U148" i="38"/>
  <c r="U217" i="38"/>
  <c r="U191" i="38"/>
  <c r="U183" i="38"/>
  <c r="U175" i="38"/>
  <c r="U167" i="38"/>
  <c r="U159" i="38"/>
  <c r="U151" i="38"/>
  <c r="U146" i="38"/>
  <c r="U144" i="38"/>
  <c r="U142" i="38"/>
  <c r="U140" i="38"/>
  <c r="U138" i="38"/>
  <c r="U134" i="38"/>
  <c r="U120" i="38"/>
  <c r="U244" i="38"/>
  <c r="U122" i="38"/>
  <c r="U194" i="38"/>
  <c r="U178" i="38"/>
  <c r="U130" i="38"/>
  <c r="U124" i="38"/>
  <c r="U115" i="38"/>
  <c r="U113" i="38"/>
  <c r="U111" i="38"/>
  <c r="U109" i="38"/>
  <c r="U107" i="38"/>
  <c r="U105" i="38"/>
  <c r="U103" i="38"/>
  <c r="U101" i="38"/>
  <c r="U99" i="38"/>
  <c r="U97" i="38"/>
  <c r="U95" i="38"/>
  <c r="U93" i="38"/>
  <c r="U91" i="38"/>
  <c r="U89" i="38"/>
  <c r="U87" i="38"/>
  <c r="U85" i="38"/>
  <c r="U117" i="38"/>
  <c r="U83" i="38"/>
  <c r="U240" i="38"/>
  <c r="U165" i="38"/>
  <c r="U157" i="38"/>
  <c r="U150" i="38"/>
  <c r="U126" i="38"/>
  <c r="U119" i="38"/>
  <c r="U208" i="38"/>
  <c r="U136" i="38"/>
  <c r="U132" i="38"/>
  <c r="U121" i="38"/>
  <c r="U204" i="38"/>
  <c r="U186" i="38"/>
  <c r="U123" i="38"/>
  <c r="U116" i="38"/>
  <c r="U114" i="38"/>
  <c r="U112" i="38"/>
  <c r="U110" i="38"/>
  <c r="U108" i="38"/>
  <c r="U106" i="38"/>
  <c r="U104" i="38"/>
  <c r="U102" i="38"/>
  <c r="U100" i="38"/>
  <c r="U98" i="38"/>
  <c r="U96" i="38"/>
  <c r="U94" i="38"/>
  <c r="U92" i="38"/>
  <c r="U90" i="38"/>
  <c r="U88" i="38"/>
  <c r="U86" i="38"/>
  <c r="O3" i="38"/>
  <c r="P298" i="38" s="1"/>
  <c r="U5" i="38"/>
  <c r="U7" i="38"/>
  <c r="U9" i="38"/>
  <c r="U11" i="38"/>
  <c r="U13" i="38"/>
  <c r="U18" i="38"/>
  <c r="U25" i="38"/>
  <c r="V31" i="38"/>
  <c r="W31" i="38" s="1"/>
  <c r="U41" i="38"/>
  <c r="U50" i="38"/>
  <c r="U51" i="38"/>
  <c r="U66" i="38"/>
  <c r="U67" i="38"/>
  <c r="U128" i="38"/>
  <c r="U213" i="38"/>
  <c r="V5" i="38"/>
  <c r="W5" i="38" s="1"/>
  <c r="V7" i="38"/>
  <c r="W7" i="38" s="1"/>
  <c r="V9" i="38"/>
  <c r="W9" i="38" s="1"/>
  <c r="V11" i="38"/>
  <c r="W11" i="38" s="1"/>
  <c r="V13" i="38"/>
  <c r="W13" i="38" s="1"/>
  <c r="U19" i="38"/>
  <c r="V25" i="38"/>
  <c r="W25" i="38" s="1"/>
  <c r="U28" i="38"/>
  <c r="U36" i="38"/>
  <c r="U52" i="38"/>
  <c r="U53" i="38"/>
  <c r="U68" i="38"/>
  <c r="U69" i="38"/>
  <c r="U84" i="38"/>
  <c r="O185" i="38"/>
  <c r="O4" i="38"/>
  <c r="U16" i="38"/>
  <c r="U29" i="38"/>
  <c r="U37" i="38"/>
  <c r="U42" i="38"/>
  <c r="U43" i="38"/>
  <c r="U54" i="38"/>
  <c r="U55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154" i="38"/>
  <c r="M85" i="38"/>
  <c r="N85" i="38" s="1"/>
  <c r="T209" i="38"/>
  <c r="N209" i="38"/>
  <c r="T218" i="38"/>
  <c r="N218" i="38"/>
  <c r="T201" i="38"/>
  <c r="N201" i="38"/>
  <c r="T199" i="38"/>
  <c r="T203" i="38"/>
  <c r="T207" i="38"/>
  <c r="N229" i="38"/>
  <c r="T229" i="38"/>
  <c r="N238" i="38"/>
  <c r="T238" i="38"/>
  <c r="Q9" i="47"/>
  <c r="Q5" i="3"/>
  <c r="N222" i="38"/>
  <c r="T245" i="38"/>
  <c r="Q3" i="69"/>
  <c r="Q6" i="69" s="1"/>
  <c r="Q5" i="69"/>
  <c r="Q3" i="20"/>
  <c r="Q6" i="20" s="1"/>
  <c r="T236" i="38"/>
  <c r="N236" i="38"/>
  <c r="O240" i="38"/>
  <c r="T249" i="38"/>
  <c r="Q5" i="24"/>
  <c r="Q9" i="24"/>
  <c r="Q3" i="24"/>
  <c r="Q6" i="24" s="1"/>
  <c r="N213" i="38"/>
  <c r="K253" i="38"/>
  <c r="L253" i="38" s="1"/>
  <c r="O253" i="38" s="1"/>
  <c r="M252" i="38"/>
  <c r="N252" i="38" s="1"/>
  <c r="K252" i="38"/>
  <c r="L252" i="38" s="1"/>
  <c r="O252" i="38" s="1"/>
  <c r="Q9" i="22"/>
  <c r="Q3" i="22"/>
  <c r="Q6" i="22" s="1"/>
  <c r="Q5" i="34"/>
  <c r="T271" i="38"/>
  <c r="K85" i="3"/>
  <c r="K18" i="34"/>
  <c r="Q8" i="40"/>
  <c r="Q3" i="48"/>
  <c r="Q6" i="48" s="1"/>
  <c r="Q9" i="48"/>
  <c r="Q5" i="26"/>
  <c r="Q9" i="26"/>
  <c r="Q3" i="26"/>
  <c r="Q6" i="26" s="1"/>
  <c r="T254" i="38"/>
  <c r="R258" i="38"/>
  <c r="K56" i="13"/>
  <c r="F128" i="10"/>
  <c r="Q9" i="42"/>
  <c r="Q3" i="42"/>
  <c r="Q6" i="42" s="1"/>
  <c r="Q8" i="42"/>
  <c r="Q5" i="42"/>
  <c r="Q8" i="24"/>
  <c r="Q3" i="40"/>
  <c r="Q6" i="40" s="1"/>
  <c r="M40" i="43"/>
  <c r="Q10" i="43" s="1"/>
  <c r="Q3" i="68"/>
  <c r="Q6" i="68" s="1"/>
  <c r="K128" i="10"/>
  <c r="F64" i="5"/>
  <c r="Q8" i="32"/>
  <c r="Q8" i="26"/>
  <c r="K258" i="38"/>
  <c r="L258" i="38" s="1"/>
  <c r="O258" i="38" s="1"/>
  <c r="M48" i="60"/>
  <c r="Q10" i="60" s="1"/>
  <c r="Q8" i="69"/>
  <c r="Q7" i="69" s="1"/>
  <c r="K231" i="25"/>
  <c r="K55" i="47"/>
  <c r="M37" i="47" s="1"/>
  <c r="Q10" i="47" s="1"/>
  <c r="F59" i="41"/>
  <c r="M29" i="29"/>
  <c r="Q10" i="29" s="1"/>
  <c r="F56" i="13"/>
  <c r="Q9" i="10"/>
  <c r="Q3" i="10"/>
  <c r="Q6" i="10" s="1"/>
  <c r="F93" i="52"/>
  <c r="M75" i="52" s="1"/>
  <c r="Q10" i="52" s="1"/>
  <c r="R240" i="38"/>
  <c r="M258" i="38"/>
  <c r="T274" i="38"/>
  <c r="F107" i="7"/>
  <c r="M36" i="42"/>
  <c r="Q10" i="42" s="1"/>
  <c r="F85" i="3"/>
  <c r="M104" i="49"/>
  <c r="Q10" i="49" s="1"/>
  <c r="F18" i="34"/>
  <c r="Q5" i="48"/>
  <c r="Q5" i="5"/>
  <c r="Q5" i="30"/>
  <c r="Q8" i="5"/>
  <c r="Q5" i="67"/>
  <c r="Q5" i="68"/>
  <c r="Q8" i="67"/>
  <c r="Q3" i="5"/>
  <c r="Q6" i="5" s="1"/>
  <c r="Q5" i="46"/>
  <c r="Q3" i="30"/>
  <c r="Q6" i="30" s="1"/>
  <c r="Q3" i="67"/>
  <c r="Q6" i="67" s="1"/>
  <c r="P299" i="38" l="1"/>
  <c r="V299" i="38"/>
  <c r="W299" i="38" s="1"/>
  <c r="P297" i="38"/>
  <c r="V297" i="38"/>
  <c r="W297" i="38" s="1"/>
  <c r="V298" i="38"/>
  <c r="W298" i="38" s="1"/>
  <c r="Q5" i="57"/>
  <c r="Q3" i="57"/>
  <c r="Q6" i="57" s="1"/>
  <c r="P293" i="38"/>
  <c r="V296" i="38"/>
  <c r="W296" i="38" s="1"/>
  <c r="P296" i="38"/>
  <c r="V294" i="38"/>
  <c r="W294" i="38" s="1"/>
  <c r="V295" i="38"/>
  <c r="W295" i="38" s="1"/>
  <c r="P295" i="38"/>
  <c r="P294" i="38"/>
  <c r="V293" i="38"/>
  <c r="W293" i="38" s="1"/>
  <c r="P291" i="38"/>
  <c r="P292" i="38"/>
  <c r="V292" i="38"/>
  <c r="W292" i="38" s="1"/>
  <c r="Q3" i="33"/>
  <c r="Q6" i="33" s="1"/>
  <c r="Q8" i="33"/>
  <c r="Q5" i="22"/>
  <c r="Q9" i="33"/>
  <c r="V291" i="38"/>
  <c r="W291" i="38" s="1"/>
  <c r="Q8" i="20"/>
  <c r="V120" i="38"/>
  <c r="W120" i="38" s="1"/>
  <c r="V168" i="38"/>
  <c r="W168" i="38" s="1"/>
  <c r="Q5" i="60"/>
  <c r="V116" i="38"/>
  <c r="W116" i="38" s="1"/>
  <c r="V191" i="38"/>
  <c r="W191" i="38" s="1"/>
  <c r="V112" i="38"/>
  <c r="W112" i="38" s="1"/>
  <c r="Q3" i="60"/>
  <c r="Q6" i="60" s="1"/>
  <c r="V190" i="38"/>
  <c r="W190" i="38" s="1"/>
  <c r="Q8" i="10"/>
  <c r="Q5" i="20"/>
  <c r="Q8" i="58"/>
  <c r="Q7" i="58" s="1"/>
  <c r="Q5" i="29"/>
  <c r="Q9" i="60"/>
  <c r="V129" i="38"/>
  <c r="W129" i="38" s="1"/>
  <c r="M87" i="45"/>
  <c r="Q10" i="45" s="1"/>
  <c r="Q7" i="45" s="1"/>
  <c r="M33" i="24"/>
  <c r="Q10" i="24" s="1"/>
  <c r="Q9" i="28"/>
  <c r="Q3" i="63"/>
  <c r="Q6" i="63" s="1"/>
  <c r="V152" i="38"/>
  <c r="W152" i="38" s="1"/>
  <c r="V218" i="38"/>
  <c r="W218" i="38" s="1"/>
  <c r="V146" i="38"/>
  <c r="W146" i="38" s="1"/>
  <c r="Q5" i="28"/>
  <c r="V87" i="38"/>
  <c r="W87" i="38" s="1"/>
  <c r="P288" i="38"/>
  <c r="M27" i="30"/>
  <c r="Q10" i="30" s="1"/>
  <c r="P290" i="38"/>
  <c r="P289" i="38"/>
  <c r="V289" i="38"/>
  <c r="W289" i="38" s="1"/>
  <c r="V290" i="38"/>
  <c r="W290" i="38" s="1"/>
  <c r="Q8" i="3"/>
  <c r="Q3" i="3"/>
  <c r="Q6" i="3" s="1"/>
  <c r="V288" i="38"/>
  <c r="W288" i="38" s="1"/>
  <c r="P287" i="38"/>
  <c r="P285" i="38"/>
  <c r="P286" i="38"/>
  <c r="V285" i="38"/>
  <c r="W285" i="38" s="1"/>
  <c r="V286" i="38"/>
  <c r="W286" i="38" s="1"/>
  <c r="V287" i="38"/>
  <c r="W287" i="38" s="1"/>
  <c r="P284" i="38"/>
  <c r="Q8" i="56"/>
  <c r="Q7" i="56" s="1"/>
  <c r="Q9" i="56"/>
  <c r="Q8" i="30"/>
  <c r="Q7" i="30" s="1"/>
  <c r="Q3" i="66"/>
  <c r="Q6" i="66" s="1"/>
  <c r="Q9" i="66" s="1"/>
  <c r="Q3" i="56"/>
  <c r="Q6" i="56" s="1"/>
  <c r="Q5" i="66"/>
  <c r="Q3" i="51"/>
  <c r="Q6" i="51" s="1"/>
  <c r="Q3" i="41"/>
  <c r="Q6" i="41" s="1"/>
  <c r="N240" i="38"/>
  <c r="Q9" i="41"/>
  <c r="V284" i="38"/>
  <c r="W284" i="38" s="1"/>
  <c r="Q8" i="41"/>
  <c r="Q9" i="68"/>
  <c r="M84" i="53"/>
  <c r="Q10" i="53" s="1"/>
  <c r="P283" i="38"/>
  <c r="P282" i="38"/>
  <c r="V283" i="38"/>
  <c r="W283" i="38" s="1"/>
  <c r="V104" i="38"/>
  <c r="W104" i="38" s="1"/>
  <c r="V130" i="38"/>
  <c r="W130" i="38" s="1"/>
  <c r="V142" i="38"/>
  <c r="W142" i="38" s="1"/>
  <c r="V174" i="38"/>
  <c r="W174" i="38" s="1"/>
  <c r="V210" i="38"/>
  <c r="W210" i="38" s="1"/>
  <c r="Q5" i="15"/>
  <c r="V149" i="38"/>
  <c r="W149" i="38" s="1"/>
  <c r="V121" i="38"/>
  <c r="W121" i="38" s="1"/>
  <c r="V91" i="38"/>
  <c r="W91" i="38" s="1"/>
  <c r="V154" i="38"/>
  <c r="W154" i="38" s="1"/>
  <c r="V219" i="38"/>
  <c r="W219" i="38" s="1"/>
  <c r="V133" i="38"/>
  <c r="W133" i="38" s="1"/>
  <c r="V88" i="38"/>
  <c r="W88" i="38" s="1"/>
  <c r="V224" i="38"/>
  <c r="W224" i="38" s="1"/>
  <c r="V99" i="38"/>
  <c r="W99" i="38" s="1"/>
  <c r="V170" i="38"/>
  <c r="W170" i="38" s="1"/>
  <c r="V180" i="38"/>
  <c r="W180" i="38" s="1"/>
  <c r="V145" i="38"/>
  <c r="W145" i="38" s="1"/>
  <c r="M39" i="33"/>
  <c r="Q10" i="33" s="1"/>
  <c r="V92" i="38"/>
  <c r="W92" i="38" s="1"/>
  <c r="V126" i="38"/>
  <c r="W126" i="38" s="1"/>
  <c r="V103" i="38"/>
  <c r="W103" i="38" s="1"/>
  <c r="V200" i="38"/>
  <c r="W200" i="38" s="1"/>
  <c r="V196" i="38"/>
  <c r="W196" i="38" s="1"/>
  <c r="V155" i="38"/>
  <c r="W155" i="38" s="1"/>
  <c r="V96" i="38"/>
  <c r="W96" i="38" s="1"/>
  <c r="V165" i="38"/>
  <c r="W165" i="38" s="1"/>
  <c r="V107" i="38"/>
  <c r="W107" i="38" s="1"/>
  <c r="V208" i="38"/>
  <c r="W208" i="38" s="1"/>
  <c r="V161" i="38"/>
  <c r="W161" i="38" s="1"/>
  <c r="V216" i="38"/>
  <c r="W216" i="38" s="1"/>
  <c r="V125" i="38"/>
  <c r="W125" i="38" s="1"/>
  <c r="V100" i="38"/>
  <c r="W100" i="38" s="1"/>
  <c r="V115" i="38"/>
  <c r="W115" i="38" s="1"/>
  <c r="V215" i="38"/>
  <c r="W215" i="38" s="1"/>
  <c r="V177" i="38"/>
  <c r="W177" i="38" s="1"/>
  <c r="V184" i="38"/>
  <c r="W184" i="38" s="1"/>
  <c r="V282" i="38"/>
  <c r="W282" i="38" s="1"/>
  <c r="Q9" i="15"/>
  <c r="Q3" i="13"/>
  <c r="Q6" i="13" s="1"/>
  <c r="M36" i="32"/>
  <c r="Q10" i="32" s="1"/>
  <c r="Q7" i="32" s="1"/>
  <c r="M32" i="15"/>
  <c r="Q10" i="15" s="1"/>
  <c r="Q7" i="15" s="1"/>
  <c r="Q7" i="67"/>
  <c r="Q3" i="15"/>
  <c r="Q6" i="15" s="1"/>
  <c r="M45" i="5"/>
  <c r="Q10" i="5" s="1"/>
  <c r="Q9" i="13"/>
  <c r="Q8" i="49"/>
  <c r="Q7" i="49" s="1"/>
  <c r="Q8" i="46"/>
  <c r="N204" i="1"/>
  <c r="O204" i="1" s="1"/>
  <c r="Q3" i="54"/>
  <c r="Q6" i="54" s="1"/>
  <c r="Q9" i="46"/>
  <c r="Q9" i="59"/>
  <c r="Q5" i="59"/>
  <c r="V128" i="38"/>
  <c r="W128" i="38" s="1"/>
  <c r="V98" i="38"/>
  <c r="W98" i="38" s="1"/>
  <c r="V114" i="38"/>
  <c r="W114" i="38" s="1"/>
  <c r="V119" i="38"/>
  <c r="W119" i="38" s="1"/>
  <c r="V85" i="38"/>
  <c r="V101" i="38"/>
  <c r="W101" i="38" s="1"/>
  <c r="V124" i="38"/>
  <c r="W124" i="38" s="1"/>
  <c r="V197" i="38"/>
  <c r="W197" i="38" s="1"/>
  <c r="V204" i="38"/>
  <c r="W204" i="38" s="1"/>
  <c r="V140" i="38"/>
  <c r="W140" i="38" s="1"/>
  <c r="V183" i="38"/>
  <c r="W183" i="38" s="1"/>
  <c r="V172" i="38"/>
  <c r="W172" i="38" s="1"/>
  <c r="V223" i="38"/>
  <c r="W223" i="38" s="1"/>
  <c r="V166" i="38"/>
  <c r="W166" i="38" s="1"/>
  <c r="V127" i="38"/>
  <c r="W127" i="38" s="1"/>
  <c r="V143" i="38"/>
  <c r="W143" i="38" s="1"/>
  <c r="V195" i="38"/>
  <c r="W195" i="38" s="1"/>
  <c r="V220" i="38"/>
  <c r="W220" i="38" s="1"/>
  <c r="N230" i="1"/>
  <c r="O230" i="1" s="1"/>
  <c r="Q8" i="53"/>
  <c r="P281" i="38"/>
  <c r="V86" i="38"/>
  <c r="W86" i="38" s="1"/>
  <c r="V102" i="38"/>
  <c r="W102" i="38" s="1"/>
  <c r="V123" i="38"/>
  <c r="W123" i="38" s="1"/>
  <c r="V157" i="38"/>
  <c r="W157" i="38" s="1"/>
  <c r="V89" i="38"/>
  <c r="W89" i="38" s="1"/>
  <c r="V105" i="38"/>
  <c r="W105" i="38" s="1"/>
  <c r="V160" i="38"/>
  <c r="W160" i="38" s="1"/>
  <c r="V162" i="38"/>
  <c r="W162" i="38" s="1"/>
  <c r="V213" i="38"/>
  <c r="W213" i="38" s="1"/>
  <c r="V144" i="38"/>
  <c r="W144" i="38" s="1"/>
  <c r="V217" i="38"/>
  <c r="W217" i="38" s="1"/>
  <c r="V188" i="38"/>
  <c r="W188" i="38" s="1"/>
  <c r="V169" i="38"/>
  <c r="W169" i="38" s="1"/>
  <c r="V182" i="38"/>
  <c r="W182" i="38" s="1"/>
  <c r="V131" i="38"/>
  <c r="W131" i="38" s="1"/>
  <c r="V147" i="38"/>
  <c r="W147" i="38" s="1"/>
  <c r="V176" i="38"/>
  <c r="W176" i="38" s="1"/>
  <c r="V214" i="38"/>
  <c r="M61" i="41"/>
  <c r="V90" i="38"/>
  <c r="W90" i="38" s="1"/>
  <c r="V106" i="38"/>
  <c r="W106" i="38" s="1"/>
  <c r="V132" i="38"/>
  <c r="W132" i="38" s="1"/>
  <c r="V93" i="38"/>
  <c r="W93" i="38" s="1"/>
  <c r="V109" i="38"/>
  <c r="W109" i="38" s="1"/>
  <c r="V211" i="38"/>
  <c r="W211" i="38" s="1"/>
  <c r="V178" i="38"/>
  <c r="W178" i="38" s="1"/>
  <c r="V227" i="38"/>
  <c r="V151" i="38"/>
  <c r="W151" i="38" s="1"/>
  <c r="V225" i="38"/>
  <c r="W225" i="38" s="1"/>
  <c r="V199" i="38"/>
  <c r="W199" i="38" s="1"/>
  <c r="V185" i="38"/>
  <c r="W185" i="38" s="1"/>
  <c r="V198" i="38"/>
  <c r="W198" i="38" s="1"/>
  <c r="V135" i="38"/>
  <c r="W135" i="38" s="1"/>
  <c r="V163" i="38"/>
  <c r="W163" i="38" s="1"/>
  <c r="V192" i="38"/>
  <c r="W192" i="38" s="1"/>
  <c r="V222" i="38"/>
  <c r="W222" i="38" s="1"/>
  <c r="M35" i="16"/>
  <c r="Q10" i="16" s="1"/>
  <c r="N16" i="1"/>
  <c r="O16" i="1" s="1"/>
  <c r="Q8" i="59"/>
  <c r="Q7" i="59" s="1"/>
  <c r="W85" i="38"/>
  <c r="V108" i="38"/>
  <c r="W108" i="38" s="1"/>
  <c r="V173" i="38"/>
  <c r="W173" i="38" s="1"/>
  <c r="V95" i="38"/>
  <c r="W95" i="38" s="1"/>
  <c r="V111" i="38"/>
  <c r="W111" i="38" s="1"/>
  <c r="V122" i="38"/>
  <c r="W122" i="38" s="1"/>
  <c r="V186" i="38"/>
  <c r="W186" i="38" s="1"/>
  <c r="V134" i="38"/>
  <c r="W134" i="38" s="1"/>
  <c r="V159" i="38"/>
  <c r="W159" i="38" s="1"/>
  <c r="V148" i="38"/>
  <c r="W148" i="38" s="1"/>
  <c r="V203" i="38"/>
  <c r="W203" i="38" s="1"/>
  <c r="V193" i="38"/>
  <c r="W193" i="38" s="1"/>
  <c r="V202" i="38"/>
  <c r="W202" i="38" s="1"/>
  <c r="V137" i="38"/>
  <c r="W137" i="38" s="1"/>
  <c r="V171" i="38"/>
  <c r="W171" i="38" s="1"/>
  <c r="V201" i="38"/>
  <c r="W201" i="38" s="1"/>
  <c r="V226" i="38"/>
  <c r="W226" i="38" s="1"/>
  <c r="V94" i="38"/>
  <c r="W94" i="38" s="1"/>
  <c r="V110" i="38"/>
  <c r="W110" i="38" s="1"/>
  <c r="V189" i="38"/>
  <c r="W189" i="38" s="1"/>
  <c r="V117" i="38"/>
  <c r="W117" i="38" s="1"/>
  <c r="V97" i="38"/>
  <c r="W97" i="38" s="1"/>
  <c r="V113" i="38"/>
  <c r="W113" i="38" s="1"/>
  <c r="V153" i="38"/>
  <c r="W153" i="38" s="1"/>
  <c r="V194" i="38"/>
  <c r="W194" i="38" s="1"/>
  <c r="V136" i="38"/>
  <c r="W136" i="38" s="1"/>
  <c r="V167" i="38"/>
  <c r="W167" i="38" s="1"/>
  <c r="V156" i="38"/>
  <c r="W156" i="38" s="1"/>
  <c r="V207" i="38"/>
  <c r="W207" i="38" s="1"/>
  <c r="V150" i="38"/>
  <c r="W150" i="38" s="1"/>
  <c r="V206" i="38"/>
  <c r="W206" i="38" s="1"/>
  <c r="V139" i="38"/>
  <c r="W139" i="38" s="1"/>
  <c r="V179" i="38"/>
  <c r="W179" i="38" s="1"/>
  <c r="V205" i="38"/>
  <c r="W205" i="38" s="1"/>
  <c r="V138" i="38"/>
  <c r="W138" i="38" s="1"/>
  <c r="V175" i="38"/>
  <c r="W175" i="38" s="1"/>
  <c r="V164" i="38"/>
  <c r="W164" i="38" s="1"/>
  <c r="V221" i="38"/>
  <c r="W221" i="38" s="1"/>
  <c r="V158" i="38"/>
  <c r="W158" i="38" s="1"/>
  <c r="V212" i="38"/>
  <c r="W212" i="38" s="1"/>
  <c r="V141" i="38"/>
  <c r="W141" i="38" s="1"/>
  <c r="V187" i="38"/>
  <c r="W187" i="38" s="1"/>
  <c r="V209" i="38"/>
  <c r="W209" i="38" s="1"/>
  <c r="Q5" i="44"/>
  <c r="Q9" i="29"/>
  <c r="Q8" i="63"/>
  <c r="Q9" i="63"/>
  <c r="Q8" i="13"/>
  <c r="Q8" i="29"/>
  <c r="Q7" i="29" s="1"/>
  <c r="Q9" i="44"/>
  <c r="Q5" i="50"/>
  <c r="V281" i="38"/>
  <c r="W281" i="38" s="1"/>
  <c r="V279" i="38"/>
  <c r="W279" i="38" s="1"/>
  <c r="M36" i="46"/>
  <c r="Q10" i="46" s="1"/>
  <c r="M33" i="26"/>
  <c r="Q10" i="26" s="1"/>
  <c r="Q7" i="26" s="1"/>
  <c r="V280" i="38"/>
  <c r="W280" i="38" s="1"/>
  <c r="Q3" i="16"/>
  <c r="Q6" i="16" s="1"/>
  <c r="Q9" i="32"/>
  <c r="Q5" i="32"/>
  <c r="P277" i="38"/>
  <c r="Q8" i="64"/>
  <c r="Q7" i="64" s="1"/>
  <c r="P279" i="38"/>
  <c r="Q5" i="16"/>
  <c r="P280" i="38"/>
  <c r="Q3" i="49"/>
  <c r="Q6" i="49" s="1"/>
  <c r="Q9" i="49" s="1"/>
  <c r="W214" i="38"/>
  <c r="V278" i="38"/>
  <c r="W278" i="38" s="1"/>
  <c r="P278" i="38"/>
  <c r="Q8" i="62"/>
  <c r="Q7" i="62" s="1"/>
  <c r="Q3" i="53"/>
  <c r="Q6" i="53" s="1"/>
  <c r="Q5" i="53"/>
  <c r="Q5" i="47"/>
  <c r="Q3" i="47"/>
  <c r="Q6" i="47" s="1"/>
  <c r="Q5" i="64"/>
  <c r="Q3" i="64"/>
  <c r="Q6" i="64" s="1"/>
  <c r="Q3" i="58"/>
  <c r="Q6" i="58" s="1"/>
  <c r="N27" i="1"/>
  <c r="O27" i="1" s="1"/>
  <c r="Q8" i="28"/>
  <c r="Q7" i="28" s="1"/>
  <c r="Q8" i="43"/>
  <c r="Q7" i="43" s="1"/>
  <c r="Q8" i="16"/>
  <c r="V277" i="38"/>
  <c r="W277" i="38" s="1"/>
  <c r="Q5" i="65"/>
  <c r="Q7" i="60"/>
  <c r="Q5" i="43"/>
  <c r="Q10" i="57"/>
  <c r="Q7" i="57" s="1"/>
  <c r="Q3" i="65"/>
  <c r="Q6" i="65" s="1"/>
  <c r="Q9" i="65" s="1"/>
  <c r="Q9" i="55"/>
  <c r="Q3" i="52"/>
  <c r="Q6" i="52" s="1"/>
  <c r="V230" i="38"/>
  <c r="W230" i="38" s="1"/>
  <c r="Q8" i="52"/>
  <c r="Q7" i="52" s="1"/>
  <c r="Q5" i="52"/>
  <c r="Q3" i="55"/>
  <c r="Q6" i="55" s="1"/>
  <c r="Q3" i="45"/>
  <c r="Q6" i="45" s="1"/>
  <c r="Q9" i="45" s="1"/>
  <c r="Q5" i="45"/>
  <c r="N215" i="1"/>
  <c r="O215" i="1" s="1"/>
  <c r="Q8" i="55"/>
  <c r="P42" i="38"/>
  <c r="Q8" i="44"/>
  <c r="Q7" i="44" s="1"/>
  <c r="Q3" i="17"/>
  <c r="Q6" i="17" s="1"/>
  <c r="M55" i="55"/>
  <c r="Q10" i="55" s="1"/>
  <c r="N172" i="1"/>
  <c r="O172" i="1" s="1"/>
  <c r="Q7" i="48"/>
  <c r="M57" i="40"/>
  <c r="Q10" i="40" s="1"/>
  <c r="Q7" i="40" s="1"/>
  <c r="Q3" i="31"/>
  <c r="Q6" i="31" s="1"/>
  <c r="M40" i="22"/>
  <c r="Q10" i="22" s="1"/>
  <c r="Q7" i="22" s="1"/>
  <c r="N237" i="1"/>
  <c r="O237" i="1" s="1"/>
  <c r="N166" i="1"/>
  <c r="O166" i="1" s="1"/>
  <c r="Q3" i="34"/>
  <c r="Q6" i="34" s="1"/>
  <c r="Q7" i="65"/>
  <c r="P275" i="38"/>
  <c r="V275" i="38"/>
  <c r="W275" i="38" s="1"/>
  <c r="Q8" i="61"/>
  <c r="Q7" i="61" s="1"/>
  <c r="N58" i="1"/>
  <c r="O58" i="1" s="1"/>
  <c r="N6" i="1"/>
  <c r="O6" i="1" s="1"/>
  <c r="M46" i="63"/>
  <c r="Q10" i="63" s="1"/>
  <c r="M48" i="41"/>
  <c r="V276" i="38"/>
  <c r="W276" i="38" s="1"/>
  <c r="P90" i="38"/>
  <c r="N139" i="1"/>
  <c r="O139" i="1" s="1"/>
  <c r="Q8" i="17"/>
  <c r="Q7" i="17" s="1"/>
  <c r="N107" i="1"/>
  <c r="O107" i="1" s="1"/>
  <c r="P276" i="38"/>
  <c r="Q8" i="25"/>
  <c r="Q7" i="25" s="1"/>
  <c r="Q3" i="62"/>
  <c r="Q6" i="62" s="1"/>
  <c r="Q9" i="62" s="1"/>
  <c r="P108" i="38"/>
  <c r="P106" i="38"/>
  <c r="V229" i="38"/>
  <c r="W229" i="38" s="1"/>
  <c r="Q3" i="61"/>
  <c r="Q6" i="61" s="1"/>
  <c r="Q3" i="7"/>
  <c r="Q6" i="7" s="1"/>
  <c r="P92" i="38"/>
  <c r="V228" i="38"/>
  <c r="W228" i="38" s="1"/>
  <c r="P268" i="38"/>
  <c r="V232" i="38"/>
  <c r="W232" i="38" s="1"/>
  <c r="Q8" i="50"/>
  <c r="Q7" i="50" s="1"/>
  <c r="Q8" i="34"/>
  <c r="Q7" i="34" s="1"/>
  <c r="P16" i="38"/>
  <c r="P104" i="38"/>
  <c r="V231" i="38"/>
  <c r="W231" i="38" s="1"/>
  <c r="Q8" i="31"/>
  <c r="P68" i="38"/>
  <c r="M34" i="20"/>
  <c r="Q10" i="20" s="1"/>
  <c r="T227" i="38"/>
  <c r="N227" i="38"/>
  <c r="M75" i="10"/>
  <c r="Q10" i="10" s="1"/>
  <c r="Q7" i="24"/>
  <c r="Q7" i="5"/>
  <c r="Q7" i="42"/>
  <c r="Q9" i="57"/>
  <c r="Q7" i="47"/>
  <c r="P29" i="38"/>
  <c r="P28" i="38"/>
  <c r="P50" i="38"/>
  <c r="P64" i="38"/>
  <c r="P62" i="38"/>
  <c r="P21" i="38"/>
  <c r="V269" i="38"/>
  <c r="W269" i="38" s="1"/>
  <c r="V239" i="38"/>
  <c r="W239" i="38" s="1"/>
  <c r="V238" i="38"/>
  <c r="W238" i="38" s="1"/>
  <c r="V260" i="38"/>
  <c r="W260" i="38" s="1"/>
  <c r="P129" i="38"/>
  <c r="P188" i="38"/>
  <c r="P57" i="38"/>
  <c r="P73" i="38"/>
  <c r="P248" i="38"/>
  <c r="P99" i="38"/>
  <c r="P115" i="38"/>
  <c r="P159" i="38"/>
  <c r="P148" i="38"/>
  <c r="P80" i="38"/>
  <c r="P221" i="38"/>
  <c r="P202" i="38"/>
  <c r="P190" i="38"/>
  <c r="P163" i="38"/>
  <c r="P218" i="38"/>
  <c r="P149" i="38"/>
  <c r="P204" i="38"/>
  <c r="P178" i="38"/>
  <c r="P175" i="38"/>
  <c r="P240" i="38"/>
  <c r="P250" i="38"/>
  <c r="P267" i="38"/>
  <c r="P266" i="38"/>
  <c r="P259" i="38"/>
  <c r="Q8" i="7"/>
  <c r="P56" i="38"/>
  <c r="P23" i="38"/>
  <c r="P26" i="38"/>
  <c r="P3" i="38"/>
  <c r="P110" i="38"/>
  <c r="P6" i="38"/>
  <c r="P44" i="38"/>
  <c r="P33" i="38"/>
  <c r="P17" i="38"/>
  <c r="P12" i="38"/>
  <c r="P18" i="38"/>
  <c r="P13" i="38"/>
  <c r="P11" i="38"/>
  <c r="P9" i="38"/>
  <c r="P7" i="38"/>
  <c r="P5" i="38"/>
  <c r="P58" i="38"/>
  <c r="P14" i="38"/>
  <c r="P8" i="38"/>
  <c r="P4" i="38"/>
  <c r="P94" i="38"/>
  <c r="P38" i="38"/>
  <c r="P10" i="38"/>
  <c r="P31" i="38"/>
  <c r="V255" i="38"/>
  <c r="W255" i="38" s="1"/>
  <c r="V254" i="38"/>
  <c r="W254" i="38" s="1"/>
  <c r="V237" i="38"/>
  <c r="W237" i="38" s="1"/>
  <c r="V263" i="38"/>
  <c r="W263" i="38" s="1"/>
  <c r="P137" i="38"/>
  <c r="P43" i="38"/>
  <c r="P59" i="38"/>
  <c r="P75" i="38"/>
  <c r="P85" i="38"/>
  <c r="P101" i="38"/>
  <c r="P124" i="38"/>
  <c r="P167" i="38"/>
  <c r="P180" i="38"/>
  <c r="P82" i="38"/>
  <c r="P223" i="38"/>
  <c r="P206" i="38"/>
  <c r="P198" i="38"/>
  <c r="P171" i="38"/>
  <c r="P226" i="38"/>
  <c r="P157" i="38"/>
  <c r="P208" i="38"/>
  <c r="P186" i="38"/>
  <c r="P183" i="38"/>
  <c r="P212" i="38"/>
  <c r="P258" i="38"/>
  <c r="P270" i="38"/>
  <c r="P269" i="38"/>
  <c r="P262" i="38"/>
  <c r="P271" i="38"/>
  <c r="P142" i="38"/>
  <c r="P39" i="38"/>
  <c r="Q9" i="67"/>
  <c r="P54" i="38"/>
  <c r="P52" i="38"/>
  <c r="P19" i="38"/>
  <c r="V233" i="38"/>
  <c r="V243" i="38"/>
  <c r="W243" i="38" s="1"/>
  <c r="V235" i="38"/>
  <c r="W235" i="38" s="1"/>
  <c r="V262" i="38"/>
  <c r="W262" i="38" s="1"/>
  <c r="V261" i="38"/>
  <c r="W261" i="38" s="1"/>
  <c r="V253" i="38"/>
  <c r="W253" i="38" s="1"/>
  <c r="V273" i="38"/>
  <c r="W273" i="38" s="1"/>
  <c r="P144" i="38"/>
  <c r="P45" i="38"/>
  <c r="P61" i="38"/>
  <c r="P77" i="38"/>
  <c r="P87" i="38"/>
  <c r="P103" i="38"/>
  <c r="P130" i="38"/>
  <c r="P122" i="38"/>
  <c r="P196" i="38"/>
  <c r="P84" i="38"/>
  <c r="P153" i="38"/>
  <c r="P210" i="38"/>
  <c r="P214" i="38"/>
  <c r="P179" i="38"/>
  <c r="P160" i="38"/>
  <c r="P165" i="38"/>
  <c r="P211" i="38"/>
  <c r="P194" i="38"/>
  <c r="P191" i="38"/>
  <c r="P216" i="38"/>
  <c r="P264" i="38"/>
  <c r="P260" i="38"/>
  <c r="P272" i="38"/>
  <c r="P265" i="38"/>
  <c r="P112" i="38"/>
  <c r="Q9" i="40"/>
  <c r="Q8" i="51"/>
  <c r="P22" i="38"/>
  <c r="P41" i="38"/>
  <c r="P123" i="38"/>
  <c r="P48" i="38"/>
  <c r="P46" i="38"/>
  <c r="P15" i="38"/>
  <c r="V242" i="38"/>
  <c r="W242" i="38" s="1"/>
  <c r="V246" i="38"/>
  <c r="W246" i="38" s="1"/>
  <c r="V240" i="38"/>
  <c r="W240" i="38" s="1"/>
  <c r="V265" i="38"/>
  <c r="W265" i="38" s="1"/>
  <c r="V250" i="38"/>
  <c r="W250" i="38" s="1"/>
  <c r="V257" i="38"/>
  <c r="W257" i="38" s="1"/>
  <c r="P121" i="38"/>
  <c r="P145" i="38"/>
  <c r="P47" i="38"/>
  <c r="P63" i="38"/>
  <c r="P79" i="38"/>
  <c r="P89" i="38"/>
  <c r="P105" i="38"/>
  <c r="P133" i="38"/>
  <c r="P127" i="38"/>
  <c r="P245" i="38"/>
  <c r="P118" i="38"/>
  <c r="P161" i="38"/>
  <c r="P150" i="38"/>
  <c r="P229" i="38"/>
  <c r="P187" i="38"/>
  <c r="P168" i="38"/>
  <c r="P173" i="38"/>
  <c r="P235" i="38"/>
  <c r="P213" i="38"/>
  <c r="P199" i="38"/>
  <c r="P220" i="38"/>
  <c r="P228" i="38"/>
  <c r="P227" i="38"/>
  <c r="P274" i="38"/>
  <c r="P225" i="38"/>
  <c r="P96" i="38"/>
  <c r="M33" i="13"/>
  <c r="Q10" i="13" s="1"/>
  <c r="P102" i="38"/>
  <c r="P24" i="38"/>
  <c r="N233" i="38"/>
  <c r="T233" i="38"/>
  <c r="V274" i="38"/>
  <c r="W274" i="38" s="1"/>
  <c r="V252" i="38"/>
  <c r="W252" i="38" s="1"/>
  <c r="V244" i="38"/>
  <c r="W244" i="38" s="1"/>
  <c r="V271" i="38"/>
  <c r="W271" i="38" s="1"/>
  <c r="V258" i="38"/>
  <c r="V270" i="38"/>
  <c r="W270" i="38" s="1"/>
  <c r="P132" i="38"/>
  <c r="P151" i="38"/>
  <c r="P49" i="38"/>
  <c r="P65" i="38"/>
  <c r="P81" i="38"/>
  <c r="P91" i="38"/>
  <c r="P107" i="38"/>
  <c r="P138" i="38"/>
  <c r="P120" i="38"/>
  <c r="P72" i="38"/>
  <c r="P125" i="38"/>
  <c r="P169" i="38"/>
  <c r="P158" i="38"/>
  <c r="P238" i="38"/>
  <c r="P195" i="38"/>
  <c r="P176" i="38"/>
  <c r="P181" i="38"/>
  <c r="P254" i="38"/>
  <c r="P215" i="38"/>
  <c r="P203" i="38"/>
  <c r="P224" i="38"/>
  <c r="P232" i="38"/>
  <c r="P231" i="38"/>
  <c r="P230" i="38"/>
  <c r="P234" i="38"/>
  <c r="P60" i="38"/>
  <c r="P27" i="38"/>
  <c r="P86" i="38"/>
  <c r="P34" i="38"/>
  <c r="V272" i="38"/>
  <c r="W272" i="38" s="1"/>
  <c r="V248" i="38"/>
  <c r="W248" i="38" s="1"/>
  <c r="V251" i="38"/>
  <c r="W251" i="38" s="1"/>
  <c r="V264" i="38"/>
  <c r="W264" i="38" s="1"/>
  <c r="V241" i="38"/>
  <c r="W241" i="38" s="1"/>
  <c r="P136" i="38"/>
  <c r="P156" i="38"/>
  <c r="P51" i="38"/>
  <c r="P67" i="38"/>
  <c r="P83" i="38"/>
  <c r="P93" i="38"/>
  <c r="P109" i="38"/>
  <c r="P139" i="38"/>
  <c r="P134" i="38"/>
  <c r="P74" i="38"/>
  <c r="P128" i="38"/>
  <c r="P177" i="38"/>
  <c r="P166" i="38"/>
  <c r="P249" i="38"/>
  <c r="P201" i="38"/>
  <c r="P184" i="38"/>
  <c r="P189" i="38"/>
  <c r="P154" i="38"/>
  <c r="P241" i="38"/>
  <c r="P207" i="38"/>
  <c r="P233" i="38"/>
  <c r="P237" i="38"/>
  <c r="P236" i="38"/>
  <c r="P239" i="38"/>
  <c r="P243" i="38"/>
  <c r="P143" i="38"/>
  <c r="N258" i="38"/>
  <c r="T258" i="38"/>
  <c r="Q9" i="69"/>
  <c r="P37" i="38"/>
  <c r="P88" i="38"/>
  <c r="P36" i="38"/>
  <c r="P66" i="38"/>
  <c r="P116" i="38"/>
  <c r="P40" i="38"/>
  <c r="P114" i="38"/>
  <c r="P30" i="38"/>
  <c r="V247" i="38"/>
  <c r="W247" i="38" s="1"/>
  <c r="V236" i="38"/>
  <c r="W236" i="38" s="1"/>
  <c r="V234" i="38"/>
  <c r="W234" i="38" s="1"/>
  <c r="V259" i="38"/>
  <c r="W259" i="38" s="1"/>
  <c r="V268" i="38"/>
  <c r="W268" i="38" s="1"/>
  <c r="V267" i="38"/>
  <c r="W267" i="38" s="1"/>
  <c r="V245" i="38"/>
  <c r="W245" i="38" s="1"/>
  <c r="P119" i="38"/>
  <c r="P164" i="38"/>
  <c r="P53" i="38"/>
  <c r="P69" i="38"/>
  <c r="P117" i="38"/>
  <c r="P95" i="38"/>
  <c r="P111" i="38"/>
  <c r="P146" i="38"/>
  <c r="P140" i="38"/>
  <c r="P76" i="38"/>
  <c r="P131" i="38"/>
  <c r="P185" i="38"/>
  <c r="P174" i="38"/>
  <c r="P261" i="38"/>
  <c r="P205" i="38"/>
  <c r="P192" i="38"/>
  <c r="P197" i="38"/>
  <c r="P162" i="38"/>
  <c r="P244" i="38"/>
  <c r="P217" i="38"/>
  <c r="P242" i="38"/>
  <c r="P253" i="38"/>
  <c r="P256" i="38"/>
  <c r="P252" i="38"/>
  <c r="P247" i="38"/>
  <c r="P20" i="38"/>
  <c r="Q3" i="25"/>
  <c r="Q6" i="25" s="1"/>
  <c r="M42" i="3"/>
  <c r="Q10" i="3" s="1"/>
  <c r="Q8" i="54"/>
  <c r="P32" i="38"/>
  <c r="P70" i="38"/>
  <c r="P25" i="38"/>
  <c r="P100" i="38"/>
  <c r="P35" i="38"/>
  <c r="P98" i="38"/>
  <c r="V256" i="38"/>
  <c r="W256" i="38" s="1"/>
  <c r="V266" i="38"/>
  <c r="W266" i="38" s="1"/>
  <c r="V249" i="38"/>
  <c r="W249" i="38" s="1"/>
  <c r="P126" i="38"/>
  <c r="P172" i="38"/>
  <c r="P55" i="38"/>
  <c r="P71" i="38"/>
  <c r="P152" i="38"/>
  <c r="P97" i="38"/>
  <c r="P113" i="38"/>
  <c r="P147" i="38"/>
  <c r="P141" i="38"/>
  <c r="P78" i="38"/>
  <c r="P135" i="38"/>
  <c r="P193" i="38"/>
  <c r="P182" i="38"/>
  <c r="P155" i="38"/>
  <c r="P209" i="38"/>
  <c r="P222" i="38"/>
  <c r="P200" i="38"/>
  <c r="P170" i="38"/>
  <c r="P273" i="38"/>
  <c r="P219" i="38"/>
  <c r="P246" i="38"/>
  <c r="P257" i="38"/>
  <c r="P263" i="38"/>
  <c r="P255" i="38"/>
  <c r="P251" i="38"/>
  <c r="Q7" i="33" l="1"/>
  <c r="Q7" i="10"/>
  <c r="Q7" i="20"/>
  <c r="Q9" i="58"/>
  <c r="Q7" i="3"/>
  <c r="W233" i="38"/>
  <c r="W227" i="38"/>
  <c r="Q7" i="53"/>
  <c r="Q10" i="41"/>
  <c r="Q7" i="41" s="1"/>
  <c r="Q7" i="16"/>
  <c r="W258" i="38"/>
  <c r="Q7" i="13"/>
  <c r="Q9" i="53"/>
  <c r="Q7" i="46"/>
  <c r="Q7" i="63"/>
  <c r="Q9" i="64"/>
  <c r="N243" i="1"/>
  <c r="N247" i="1" s="1"/>
  <c r="N251" i="1" s="1"/>
  <c r="Q7" i="55"/>
  <c r="Q9" i="43"/>
  <c r="Q9" i="50"/>
  <c r="Q9" i="61"/>
  <c r="Q9" i="17"/>
  <c r="Q9" i="25"/>
  <c r="Q9" i="31"/>
  <c r="Q7" i="31"/>
  <c r="Q9" i="34"/>
  <c r="Q7" i="54"/>
  <c r="Q9" i="54"/>
  <c r="Q9" i="7"/>
  <c r="Q7" i="7"/>
  <c r="Q9" i="51"/>
  <c r="Q7" i="5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background="1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background="1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7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8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9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0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1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2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3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4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5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6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7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8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9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0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21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2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3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4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5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6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7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8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9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0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1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2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3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4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5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6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7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8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9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40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1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2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3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4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5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6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7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8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9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0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1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2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3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4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5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6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7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8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9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0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1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2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3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4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5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6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7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8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9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70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1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2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3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4" name="Connection72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75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6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7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8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9" name="Connection77" type="4" refreshedVersion="5" background="1" saveData="1">
    <webPr sourceData="1" parsePre="1" consecutive="1" xl2000="1" url="http://finance.yahoo.com/q/hp?s=CF" htmlTables="1">
      <tables count="1">
        <x v="15"/>
      </tables>
    </webPr>
  </connection>
  <connection id="80" name="Connection78" type="4" refreshedVersion="5" background="1" saveData="1">
    <webPr sourceData="1" parsePre="1" consecutive="1" xl2000="1" url="http://finance.yahoo.com/q/hp?s=vgk" htmlTables="1">
      <tables count="1">
        <x v="15"/>
      </tables>
    </webPr>
  </connection>
  <connection id="81" name="Connection79" type="4" refreshedVersion="5" background="1" saveData="1">
    <webPr sourceData="1" parsePre="1" consecutive="1" xl2000="1" url="http://finance.yahoo.com/q?s=vgk" htmlTables="1">
      <tables count="2">
        <s v="table1"/>
        <s v="table2"/>
      </tables>
    </webPr>
  </connection>
  <connection id="82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3" name="Connection80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84" name="Connection81" type="4" refreshedVersion="5" background="1" saveData="1">
    <webPr sourceData="1" parsePre="1" consecutive="1" xl2000="1" url="http://finance.yahoo.com/q/hp?s=LUV" htmlTables="1">
      <tables count="1">
        <x v="15"/>
      </tables>
    </webPr>
  </connection>
  <connection id="85" name="Connection82" type="4" refreshedVersion="5" background="1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6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7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8" name="Connection84" type="4" refreshedVersion="5" background="1" saveData="1">
    <webPr sourceData="1" parsePre="1" consecutive="1" xl2000="1" url="http://finance.yahoo.com/q?s=AKAM" htmlTables="1">
      <tables count="2">
        <s v="table1"/>
        <s v="table2"/>
      </tables>
    </webPr>
  </connection>
  <connection id="89" name="Connection85" type="4" refreshedVersion="5" background="1" saveData="1">
    <webPr parsePre="1" consecutive="1" textDates="1" xl2000="1" url="http://finance.yahoo.com/q?s=SIG" htmlTables="1">
      <tables count="2">
        <s v="table1"/>
        <s v="table2"/>
      </tables>
    </webPr>
  </connection>
  <connection id="90" name="Connection86" type="4" refreshedVersion="5" background="1" saveData="1">
    <webPr sourceData="1" parsePre="1" consecutive="1" xl2000="1" url="http://finance.yahoo.com/q?s=mro" htmlTables="1">
      <tables count="2">
        <s v="table1"/>
        <s v="table2"/>
      </tables>
    </webPr>
  </connection>
  <connection id="91" name="Connection87" type="4" refreshedVersion="5" background="1" saveData="1">
    <webPr sourceData="1" parsePre="1" consecutive="1" xl2000="1" url="http://finance.yahoo.com/q?s=dg" htmlTables="1">
      <tables count="2">
        <s v="table1"/>
        <s v="table2"/>
      </tables>
    </webPr>
  </connection>
  <connection id="92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3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5" name="Connection90" type="4" refreshedVersion="5" background="1" saveData="1">
    <webPr sourceData="1" parsePre="1" consecutive="1" xl2000="1" url="http://finance.yahoo.com/q?s=foxa" htmlTables="1">
      <tables count="2">
        <s v="table1"/>
        <s v="table2"/>
      </tables>
    </webPr>
  </connection>
  <connection id="96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97" name="Connection92" type="4" refreshedVersion="5" background="1" saveData="1">
    <webPr sourceData="1" parsePre="1" consecutive="1" xl2000="1" url="http://finance.yahoo.com/q?s=pinc" htmlTables="1">
      <tables count="2">
        <s v="table1"/>
        <s v="table2"/>
      </tables>
    </webPr>
  </connection>
  <connection id="98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99" name="Connection94" type="4" refreshedVersion="5" background="1" saveData="1">
    <webPr sourceData="1" parsePre="1" consecutive="1" xl2000="1" url="http://finance.yahoo.com/q?s=nclh" htmlTables="1">
      <tables count="2">
        <s v="table1"/>
        <s v="table2"/>
      </tables>
    </webPr>
  </connection>
  <connection id="100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1" name="Connection96" type="4" refreshedVersion="5" background="1" saveData="1">
    <webPr sourceData="1" parsePre="1" consecutive="1" xl2000="1" url="http://finance.yahoo.com/q?s=JNJ" htmlTables="1">
      <tables count="2">
        <s v="table1"/>
        <s v="table2"/>
      </tables>
    </webPr>
  </connection>
  <connection id="102" name="Connection97" type="4" refreshedVersion="5" background="1" saveData="1">
    <webPr sourceData="1" parsePre="1" consecutive="1" xl2000="1" url="http://finance.yahoo.com/q/hp?s=cvs" htmlTables="1">
      <tables count="1">
        <x v="15"/>
      </tables>
    </webPr>
  </connection>
  <connection id="103" name="Connection98" type="4" refreshedVersion="5" background="1" saveData="1">
    <webPr sourceData="1" parsePre="1" consecutive="1" xl2000="1" url="http://finance.yahoo.com/q?s=cvs" htmlTables="1">
      <tables count="2">
        <s v="table1"/>
        <s v="table2"/>
      </tables>
    </webPr>
  </connection>
  <connection id="104" name="Connection99" type="4" refreshedVersion="5" background="1" saveData="1">
    <webPr sourceData="1" parsePre="1" consecutive="1" xl2000="1" url="http://finance.yahoo.com/q/hp?s=swhc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<sst xmlns="http://schemas.openxmlformats.org/spreadsheetml/2006/main" count="4753" uniqueCount="674">
  <si>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</si>
  <si>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</si>
  <si>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</si>
  <si>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</si>
  <si>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</si>
  <si>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</si>
  <si>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</si>
  <si>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</si>
  <si>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</si>
  <si>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</si>
  <si>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</si>
  <si>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</si>
  <si>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</si>
  <si>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</si>
  <si>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</si>
  <si>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</si>
  <si>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</si>
  <si>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</si>
  <si>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</si>
  <si>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</si>
  <si>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</si>
  <si>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</si>
  <si>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</si>
  <si>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</si>
  <si>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</si>
  <si>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</si>
  <si>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</si>
  <si>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</si>
  <si>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</si>
  <si>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</si>
  <si>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</si>
  <si>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</si>
  <si>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</si>
  <si>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</si>
  <si>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</si>
  <si>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</si>
  <si>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</si>
  <si>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</si>
  <si>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</si>
  <si>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</si>
  <si>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</si>
  <si>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</si>
  <si>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</si>
  <si>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</si>
  <si>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</si>
  <si>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</si>
  <si>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</si>
  <si>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</si>
  <si>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</si>
  <si>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</si>
  <si>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</si>
  <si>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</si>
  <si>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</si>
  <si>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</si>
  <si>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</si>
  <si>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</si>
  <si>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</si>
  <si>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</si>
  <si>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</si>
  <si>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</si>
  <si>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</si>
  <si>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</si>
  <si>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</si>
  <si>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</si>
  <si>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</si>
  <si>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</si>
  <si>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</si>
  <si>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</si>
  <si>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</si>
  <si>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</si>
  <si>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</si>
  <si>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</si>
  <si>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</si>
  <si>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</si>
  <si>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</si>
  <si>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</si>
  <si>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</si>
  <si>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</si>
  <si>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</si>
  <si>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</si>
  <si>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</si>
  <si>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</si>
  <si>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</si>
  <si>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</si>
  <si>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</si>
  <si>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</si>
  <si>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</si>
  <si>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</si>
  <si>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</si>
  <si>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</si>
  <si>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</si>
  <si>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</si>
  <si>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</si>
  <si>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</si>
  <si>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</si>
  <si>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</si>
  <si>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</si>
  <si>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</si>
  <si>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</si>
  <si>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</si>
  <si>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</si>
  <si>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</si>
  <si>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</si>
  <si>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</si>
  <si>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</si>
  <si>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</si>
  <si>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</si>
  <si>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</si>
  <si>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</si>
  <si>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</si>
  <si>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</si>
  <si>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</si>
  <si>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</si>
  <si>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</si>
  <si>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</si>
  <si>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</si>
  <si>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</si>
  <si>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</si>
  <si>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</si>
  <si>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</si>
  <si>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</si>
  <si>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</si>
  <si>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</si>
  <si>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</si>
  <si>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</si>
  <si>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</si>
  <si>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</si>
  <si>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</si>
  <si>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</si>
  <si>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</si>
  <si>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</si>
  <si>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</si>
  <si>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</si>
  <si>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</si>
  <si>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</si>
  <si>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</si>
  <si>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</si>
  <si>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</si>
  <si>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</si>
  <si>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</si>
  <si>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</si>
  <si>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</si>
  <si>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</si>
  <si>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</si>
  <si>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</si>
  <si>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</si>
  <si>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</si>
  <si>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</si>
  <si>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</si>
  <si>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</si>
  <si>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</si>
  <si>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</si>
  <si>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</si>
  <si>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</si>
  <si>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</si>
  <si>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</si>
  <si>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</si>
  <si>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</si>
  <si>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</si>
  <si>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</si>
  <si>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</si>
  <si>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</si>
  <si>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</si>
  <si>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</si>
  <si>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</si>
  <si>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</si>
  <si>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</si>
  <si>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</si>
  <si>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</si>
  <si>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</si>
  <si>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</si>
  <si>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</si>
  <si>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</si>
  <si>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</si>
  <si>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</si>
  <si>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</si>
  <si>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</si>
  <si>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</si>
  <si>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</si>
  <si>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</si>
  <si>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</si>
  <si>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</si>
  <si>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</si>
  <si>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</si>
  <si>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</si>
  <si>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</si>
  <si>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</si>
  <si>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</si>
  <si>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</si>
  <si>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</si>
  <si>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</si>
  <si>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</si>
  <si>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</si>
  <si>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</si>
  <si>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</si>
  <si>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</si>
  <si>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</si>
  <si>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</si>
  <si>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</si>
  <si>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</si>
  <si>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</si>
  <si>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</si>
  <si>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</si>
  <si>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0.16 Dividend</t>
  </si>
  <si>
    <t>KR</t>
  </si>
  <si>
    <t>F</t>
  </si>
  <si>
    <t>3000 @ 13.99</t>
  </si>
  <si>
    <t>ER sequence: CAH, MCK, ABC</t>
  </si>
  <si>
    <t>CEO 5/2 Ed Bastian</t>
  </si>
  <si>
    <t>CEO Geoge Barrett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</si>
  <si>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</si>
  <si>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</si>
  <si>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</si>
  <si>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</si>
  <si>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</si>
  <si>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</si>
  <si>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</si>
  <si>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</si>
  <si>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</si>
  <si>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</si>
  <si>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</si>
  <si>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64.51 - 98.75</t>
  </si>
  <si>
    <t>75@</t>
  </si>
  <si>
    <t>0.66 Dividend</t>
  </si>
  <si>
    <t>P/L &gt; 400</t>
  </si>
  <si>
    <t>0.44 Dividend</t>
  </si>
  <si>
    <t>34.83 - 59.49</t>
  </si>
  <si>
    <t>SIG</t>
  </si>
  <si>
    <t>Top3 Loss</t>
  </si>
  <si>
    <t>Rest P/L</t>
  </si>
  <si>
    <t>Interest</t>
  </si>
  <si>
    <t>0.33 Dividend</t>
  </si>
  <si>
    <t>NAV¹:</t>
  </si>
  <si>
    <t>Net Assets²:</t>
  </si>
  <si>
    <t>YTD Return (Mkt)²:</t>
  </si>
  <si>
    <t>P/E (ttm)²:</t>
  </si>
  <si>
    <t>Yield (ttm)²:</t>
  </si>
  <si>
    <t>16.K, 16.53</t>
  </si>
  <si>
    <t>0.47 Dividend</t>
  </si>
  <si>
    <t>0.625 Dividend</t>
  </si>
  <si>
    <t>20-Jun 1600  @14.31</t>
  </si>
  <si>
    <t>SPX vol</t>
  </si>
  <si>
    <t>My vol</t>
  </si>
  <si>
    <t>Corrections</t>
  </si>
  <si>
    <t>CF</t>
  </si>
  <si>
    <t>VGK</t>
  </si>
  <si>
    <t>0.30 Dividend</t>
  </si>
  <si>
    <t>AXP</t>
  </si>
  <si>
    <t>MOS</t>
  </si>
  <si>
    <t>1.10 (2.90%)</t>
  </si>
  <si>
    <t>32.60 - 52.77</t>
  </si>
  <si>
    <t>22.22 - 37.07</t>
  </si>
  <si>
    <t>ER, AH -7%</t>
  </si>
  <si>
    <t>up 3.8%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</si>
  <si>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</si>
  <si>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</si>
  <si>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</si>
  <si>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</si>
  <si>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</si>
  <si>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</si>
  <si>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</si>
  <si>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insider sold shares@ 14.75</t>
  </si>
  <si>
    <t>32.41 - 64.08</t>
  </si>
  <si>
    <t>div 33.67</t>
  </si>
  <si>
    <t>1.47 vs 1.42, 10.45B vs 10.48B</t>
  </si>
  <si>
    <t>1.01 vs 1.00, 22.5B vs 22.2B, g 1.02</t>
  </si>
  <si>
    <t>ER, -2.51%</t>
  </si>
  <si>
    <t>ex 9/6 e</t>
  </si>
  <si>
    <t>ex 9/1 e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</si>
  <si>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</si>
  <si>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</si>
  <si>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</si>
  <si>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</si>
  <si>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</si>
  <si>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</si>
  <si>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</si>
  <si>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</si>
  <si>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</si>
  <si>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</si>
  <si>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</si>
  <si>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</si>
  <si>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0.10 Dividend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</si>
  <si>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</si>
  <si>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</si>
  <si>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</si>
  <si>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</si>
  <si>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</si>
  <si>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</si>
  <si>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</si>
  <si>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1000 @ 13.57</t>
  </si>
  <si>
    <t>ER, -8%</t>
  </si>
  <si>
    <t>margin</t>
  </si>
  <si>
    <t>0.28 Dividend</t>
  </si>
  <si>
    <t>86.25 - 120.65</t>
  </si>
  <si>
    <t>223.02 - 333.65</t>
  </si>
  <si>
    <t>2-Nov-16KATE Earnings announcement</t>
  </si>
  <si>
    <t>2-Nov-16ALL Earnings announcement</t>
  </si>
  <si>
    <t>0.203 Dividend</t>
  </si>
  <si>
    <t>缺两天</t>
  </si>
  <si>
    <t>0.12 Dividend</t>
  </si>
  <si>
    <t>33.26 - 55.45</t>
  </si>
  <si>
    <t>83.39 - 109.83</t>
  </si>
  <si>
    <t>2000 @ 14.94</t>
  </si>
  <si>
    <t>8/18/2016 1678@    16.43</t>
  </si>
  <si>
    <t>2000 @ 12.78; 2500 @ 12.64</t>
  </si>
  <si>
    <t>56.03 - 70.38</t>
  </si>
  <si>
    <t>26.69 - 36.88</t>
  </si>
  <si>
    <t>33.96 - 51.34</t>
  </si>
  <si>
    <t>53.53 - 72.95</t>
  </si>
  <si>
    <t>181.02 - 219.60</t>
  </si>
  <si>
    <t>barc conf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</si>
  <si>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</si>
  <si>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</si>
  <si>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</si>
  <si>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</si>
  <si>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</si>
  <si>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</si>
  <si>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</si>
  <si>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MS conference</t>
  </si>
  <si>
    <t>sep. sale</t>
  </si>
  <si>
    <t>investor day</t>
  </si>
  <si>
    <t>DG</t>
  </si>
  <si>
    <t>FOXA</t>
  </si>
  <si>
    <t>Dec 1 - Dec 5 (Est.)</t>
  </si>
  <si>
    <t>59.75 - 96.88</t>
  </si>
  <si>
    <t>0.275 Dividend</t>
  </si>
  <si>
    <t>0.292 Dividend</t>
  </si>
  <si>
    <t>10-Nov-16DIS Earnings announcement</t>
  </si>
  <si>
    <t>NCLH</t>
  </si>
  <si>
    <t>1220 @ 16.55</t>
  </si>
  <si>
    <t>JNJ</t>
  </si>
  <si>
    <t>0.80 Dividend</t>
  </si>
  <si>
    <t>fertizer conf</t>
  </si>
  <si>
    <t>0.18 Dividend</t>
  </si>
  <si>
    <t>22-Nov-16SIG Earnings announcement</t>
  </si>
  <si>
    <t>1-Dec-16KR Earnings announcement</t>
  </si>
  <si>
    <t>div, 16.35</t>
  </si>
  <si>
    <t>16.53 ---&gt; 16.00</t>
  </si>
  <si>
    <t>CVS</t>
  </si>
  <si>
    <t>12.00 ---&gt; 11.70</t>
  </si>
  <si>
    <t>19.75 --&gt; 19.50</t>
  </si>
  <si>
    <t>1800 @ 14.59</t>
  </si>
  <si>
    <t>0.265 Dividend</t>
  </si>
  <si>
    <t>0.51 Dividend</t>
  </si>
  <si>
    <t>insider sell @82</t>
  </si>
  <si>
    <t>1.082 Dividend</t>
  </si>
  <si>
    <t>8-Nov-16CVS Earnings announcement</t>
  </si>
  <si>
    <t>Daily change</t>
  </si>
  <si>
    <t>32.50 - 49.90</t>
  </si>
  <si>
    <t>cumu NDX%</t>
  </si>
  <si>
    <t>Daily NDX%</t>
  </si>
  <si>
    <t>Sharpe</t>
  </si>
  <si>
    <t>54.50 - 88.52</t>
  </si>
  <si>
    <t>2-Nov-16MRO Earnings announcement</t>
  </si>
  <si>
    <t>Dec 15 - Dec 19 (Est.)</t>
  </si>
  <si>
    <t>SWHC</t>
  </si>
  <si>
    <t>22.00 ---&gt; 21.50</t>
  </si>
  <si>
    <t>21.50 ---&gt; 21.00</t>
  </si>
  <si>
    <t>Dec 6 - Dec 12 (Est.)</t>
  </si>
  <si>
    <t>https://en.wikipedia.org/wiki/21st_Century_Fox</t>
  </si>
  <si>
    <t>119.75 - 160.68</t>
  </si>
  <si>
    <t>16.00 ---&gt; 15.80</t>
  </si>
  <si>
    <t>16.25 ----&gt; 15.75</t>
  </si>
  <si>
    <t>Dec 20 - Dec 27 (Est.)</t>
  </si>
  <si>
    <t>17.05 - 31.19</t>
  </si>
  <si>
    <t>AH -5%</t>
  </si>
  <si>
    <t>Note</t>
  </si>
  <si>
    <t>17.00 ---&gt; 16.80</t>
  </si>
  <si>
    <t>16.35  ---&gt; 15.70</t>
  </si>
  <si>
    <t>0.32 Dividend</t>
  </si>
  <si>
    <t>41.24 - 63.98</t>
  </si>
  <si>
    <t>43.55 - 56.34</t>
  </si>
  <si>
    <t>2000 @ 15.83</t>
  </si>
  <si>
    <t>28.71 - 42.75</t>
  </si>
  <si>
    <t>16.33B</t>
  </si>
  <si>
    <t>197.22B</t>
  </si>
  <si>
    <t>35.58 - 55.51</t>
  </si>
  <si>
    <t>29.68 - 37.00</t>
  </si>
  <si>
    <t>2-Nov-16FOXA Earnings announcement</t>
  </si>
  <si>
    <t>&gt;$200, 4.00</t>
  </si>
  <si>
    <t>19.50  ---&gt; 19.25</t>
  </si>
  <si>
    <t>27.68 - 38.36</t>
  </si>
  <si>
    <t>缺几天</t>
  </si>
  <si>
    <t>3-Nov-16SWKS Earnings announcement</t>
  </si>
  <si>
    <t>46.23 - 67.66</t>
  </si>
  <si>
    <t>Jan 9 - Jan 13 (Est.)</t>
  </si>
  <si>
    <t>114.25 - 179.42</t>
  </si>
  <si>
    <t>Jan 17 - Jan 23 (Est.)</t>
  </si>
  <si>
    <t>2-Nov-16CF Earnings announcement</t>
  </si>
  <si>
    <t>94.28 - 126.07</t>
  </si>
  <si>
    <t>13-Jan-17WFC Earnings announcement</t>
  </si>
  <si>
    <t>7/29, 22.39</t>
  </si>
  <si>
    <t>18.00  ---&gt; 17.75</t>
  </si>
  <si>
    <t>107.51 - 146.36</t>
  </si>
  <si>
    <t>9.31 - 18.33</t>
  </si>
  <si>
    <t>9/28, 20.207</t>
  </si>
  <si>
    <t>BMY</t>
  </si>
  <si>
    <t>e</t>
  </si>
  <si>
    <t>2500 @ 14.11</t>
  </si>
  <si>
    <t>Jan 25 - Jan 30 (Est.)</t>
  </si>
  <si>
    <t>Jan 12 - Jan 16 (Est.)</t>
  </si>
  <si>
    <t>10-Nov-16KORS Earnings announcement</t>
  </si>
  <si>
    <t>0.44 (0.75%)</t>
  </si>
  <si>
    <t>0.60 (0.41%)</t>
  </si>
  <si>
    <t>Jan 16 - Jan 20 (Est.)</t>
  </si>
  <si>
    <t>Jan 24 - Jan 30 (Est.)</t>
  </si>
  <si>
    <t>Jan 19 - Jan 23 (Est.)</t>
  </si>
  <si>
    <t>35.03 x 200</t>
  </si>
  <si>
    <t>7-Nov-16PINC Earnings announcement</t>
  </si>
  <si>
    <t>26-Jan-17LUV Earnings announcement</t>
  </si>
  <si>
    <t>24-Jan-17JNJ Earnings announcement</t>
  </si>
  <si>
    <t>9-Nov-16NCLH Earnings announcement</t>
  </si>
  <si>
    <t>16.80 ---&gt; 16.48</t>
  </si>
  <si>
    <t>Jan 26 - Jan 30 (Est.)</t>
  </si>
  <si>
    <t>1.00 (1.99%)</t>
  </si>
  <si>
    <t>Jan 27 - Jan 31 (Est.)</t>
  </si>
  <si>
    <t>82.55 - 106.67</t>
  </si>
  <si>
    <t>0.425 Dividend</t>
  </si>
  <si>
    <t>17.17 x 500</t>
  </si>
  <si>
    <t>17.27 x 500</t>
  </si>
  <si>
    <t>17.10 - 17.67</t>
  </si>
  <si>
    <t>17.86B</t>
  </si>
  <si>
    <t>37.41 - 61.75</t>
  </si>
  <si>
    <t>63.26 - 91.23</t>
  </si>
  <si>
    <t>0.60 (5.12%)</t>
  </si>
  <si>
    <t>1.85 (4.11%)</t>
  </si>
  <si>
    <t>1.04 (2.99%)</t>
  </si>
  <si>
    <t>2.36 (2.56%)</t>
  </si>
  <si>
    <t>1.12 (1.48%)</t>
  </si>
  <si>
    <t>1.12 (1.78%)</t>
  </si>
  <si>
    <t>0.36 (1.27%)</t>
  </si>
  <si>
    <t>0.76 (1.54%)</t>
  </si>
  <si>
    <t>1.32 (1.95%)</t>
  </si>
  <si>
    <t>2.04 (1.20%)</t>
  </si>
  <si>
    <t>0.81 (1.96%)</t>
  </si>
  <si>
    <t>1.42 (1.51%)</t>
  </si>
  <si>
    <t>0.42 (10.42%)</t>
  </si>
  <si>
    <t>1.88 (2.54%)</t>
  </si>
  <si>
    <t>1.52 (4.85%)</t>
  </si>
  <si>
    <t>1.04 (3.15%)</t>
  </si>
  <si>
    <t>2.64 (2.59%)</t>
  </si>
  <si>
    <t>2.50 (1.78%)</t>
  </si>
  <si>
    <t>1.04 (1.29%)</t>
  </si>
  <si>
    <t>2.28 (2.00%)</t>
  </si>
  <si>
    <t>1.28 (1.93%)</t>
  </si>
  <si>
    <t>1.00 (1.46%)</t>
  </si>
  <si>
    <t>0.36 (1.37%)</t>
  </si>
  <si>
    <t>1.20 (4.89%)</t>
  </si>
  <si>
    <t>0.40 (1.02%)</t>
  </si>
  <si>
    <t>1.70 (2.04%)</t>
  </si>
  <si>
    <t>0.20 (1.46%)</t>
  </si>
  <si>
    <t>0.48 (1.54%)</t>
  </si>
  <si>
    <t>3.20 (2.77%)</t>
  </si>
  <si>
    <t>0.64 (1.23%)</t>
  </si>
  <si>
    <t>1.80 (2.66%)</t>
  </si>
  <si>
    <t>1.92 (3.11%)</t>
  </si>
  <si>
    <t>4.00 --&gt; 3.90</t>
  </si>
  <si>
    <t>10.89 x 34600</t>
  </si>
  <si>
    <t>12.40 x 900</t>
  </si>
  <si>
    <t>10.81 - 11.51</t>
  </si>
  <si>
    <t>10.81 - 16.49</t>
  </si>
  <si>
    <t>3.91B</t>
  </si>
  <si>
    <t>50.20 x 500</t>
  </si>
  <si>
    <t>50.31 x 3300</t>
  </si>
  <si>
    <t>50.53 - 50.98</t>
  </si>
  <si>
    <t>49.03 - 77.12</t>
  </si>
  <si>
    <t>84.50B</t>
  </si>
  <si>
    <t>1.52 (2.98%)</t>
  </si>
  <si>
    <t>272.00 x 100</t>
  </si>
  <si>
    <t>278.84 x 200</t>
  </si>
  <si>
    <t>277.09 - 282.31</t>
  </si>
  <si>
    <t>60.75B</t>
  </si>
  <si>
    <t>11.38 x 1000</t>
  </si>
  <si>
    <t>11.39 x 8200</t>
  </si>
  <si>
    <t>11.36 - 11.56</t>
  </si>
  <si>
    <t>11.02 - 14.76</t>
  </si>
  <si>
    <t>46.12B</t>
  </si>
  <si>
    <t>43.59 x 200</t>
  </si>
  <si>
    <t>45.37 x 200</t>
  </si>
  <si>
    <t>Feb 1 - Feb 6 (Est.)</t>
  </si>
  <si>
    <t>43.90 - 44.45</t>
  </si>
  <si>
    <t>18.17B</t>
  </si>
  <si>
    <t>34.50 x 4900</t>
  </si>
  <si>
    <t>34.68 x 200</t>
  </si>
  <si>
    <t>34.47 - 34.90</t>
  </si>
  <si>
    <t>163.69B</t>
  </si>
  <si>
    <t>46.06 x 500</t>
  </si>
  <si>
    <t>47.39 x 400</t>
  </si>
  <si>
    <t>46.06 - 47.45</t>
  </si>
  <si>
    <t>14.78B</t>
  </si>
  <si>
    <t>59.65 x 300</t>
  </si>
  <si>
    <t>93.56 x 100</t>
  </si>
  <si>
    <t>91.32 - 92.53</t>
  </si>
  <si>
    <t>27.00B</t>
  </si>
  <si>
    <t>70.01 x 600</t>
  </si>
  <si>
    <t>75.00 x 200</t>
  </si>
  <si>
    <t>74.82 - 76.37</t>
  </si>
  <si>
    <t>14.07B</t>
  </si>
  <si>
    <t>56.45 x 100</t>
  </si>
  <si>
    <t>63.60 x 300</t>
  </si>
  <si>
    <t>62.02 - 62.61</t>
  </si>
  <si>
    <t>47.93B</t>
  </si>
  <si>
    <t>22.31 x 1000</t>
  </si>
  <si>
    <t>22.95 x 100</t>
  </si>
  <si>
    <t>22.64 - 23.26</t>
  </si>
  <si>
    <t>21.78 - 23.55</t>
  </si>
  <si>
    <t>10.05B</t>
  </si>
  <si>
    <t>14.67 x 1200</t>
  </si>
  <si>
    <t>14.68 x 5000</t>
  </si>
  <si>
    <t>14.32 - 16.10</t>
  </si>
  <si>
    <t>14.32 - 26.46</t>
  </si>
  <si>
    <t>1.88B</t>
  </si>
  <si>
    <t>47.66 x 700</t>
  </si>
  <si>
    <t>47.67 x 1700</t>
  </si>
  <si>
    <t>47.65 - 48.23</t>
  </si>
  <si>
    <t>22.98B</t>
  </si>
  <si>
    <t>49.72 x 300</t>
  </si>
  <si>
    <t>49.73 x 800</t>
  </si>
  <si>
    <t>49.57 - 51.18</t>
  </si>
  <si>
    <t>8.40B</t>
  </si>
  <si>
    <t>64.24 x 100</t>
  </si>
  <si>
    <t>67.85 x 400</t>
  </si>
  <si>
    <t>66.91 - 67.59</t>
  </si>
  <si>
    <t>25.01B</t>
  </si>
  <si>
    <t>170.10 x 200</t>
  </si>
  <si>
    <t>172.30 x 300</t>
  </si>
  <si>
    <t>169.81 - 174.15</t>
  </si>
  <si>
    <t>68.56B</t>
  </si>
  <si>
    <t>41.12 x 800</t>
  </si>
  <si>
    <t>41.89 x 200</t>
  </si>
  <si>
    <t>41.72 - 42.37</t>
  </si>
  <si>
    <t>31.30B</t>
  </si>
  <si>
    <t>91.62 x 200</t>
  </si>
  <si>
    <t>91.80 x 100</t>
  </si>
  <si>
    <t>91.69 - 92.56</t>
  </si>
  <si>
    <t>147.71B</t>
  </si>
  <si>
    <t>3.37 x 500</t>
  </si>
  <si>
    <t>3.73 x 2000</t>
  </si>
  <si>
    <t>3.38 - 3.80</t>
  </si>
  <si>
    <t>3.38 - 5.85</t>
  </si>
  <si>
    <t>3.98B</t>
  </si>
  <si>
    <t>72.30 x 1000</t>
  </si>
  <si>
    <t>72.49 x 200</t>
  </si>
  <si>
    <t>Jan 31 - Feb 6 (Est.)</t>
  </si>
  <si>
    <t>72.45 - 74.35</t>
  </si>
  <si>
    <t>72.21 - 109.37</t>
  </si>
  <si>
    <t>95.69B</t>
  </si>
  <si>
    <t>14-Nov-16WWD Earnings announcement</t>
  </si>
  <si>
    <t>57.43 - 58.58</t>
  </si>
  <si>
    <t>3.53B</t>
  </si>
  <si>
    <t>31.32 x 500</t>
  </si>
  <si>
    <t>31.43 x 700</t>
  </si>
  <si>
    <t>31.31 - 31.72</t>
  </si>
  <si>
    <t>48.60B</t>
  </si>
  <si>
    <t>137.94 x 100</t>
  </si>
  <si>
    <t>146.90 x 100</t>
  </si>
  <si>
    <t>145.52 - 146.96</t>
  </si>
  <si>
    <t>57.48B</t>
  </si>
  <si>
    <t>31.95 x 100</t>
  </si>
  <si>
    <t>32.10 x 100</t>
  </si>
  <si>
    <t>31.95 - 32.65</t>
  </si>
  <si>
    <t>2.51B</t>
  </si>
  <si>
    <t>98.60 x 100</t>
  </si>
  <si>
    <t>101.54 x 300</t>
  </si>
  <si>
    <t>101.16 - 102.56</t>
  </si>
  <si>
    <t>84.98B</t>
  </si>
  <si>
    <t>136.35 x 300</t>
  </si>
  <si>
    <t>138.98 x 300</t>
  </si>
  <si>
    <t>138.93 - 141.23</t>
  </si>
  <si>
    <t>132.36B</t>
  </si>
  <si>
    <t>36.00 x 600</t>
  </si>
  <si>
    <t>37.44 x 100</t>
  </si>
  <si>
    <t>9-Nov-16MYL Earnings announcement</t>
  </si>
  <si>
    <t>36.35 - 37.56</t>
  </si>
  <si>
    <t>19.62B</t>
  </si>
  <si>
    <t>72.00 x 100</t>
  </si>
  <si>
    <t>82.35 x 200</t>
  </si>
  <si>
    <t>79.46 - 81.12</t>
  </si>
  <si>
    <t>72.65 - 150.50</t>
  </si>
  <si>
    <t>6.06B</t>
  </si>
  <si>
    <t>110.91 x 3700</t>
  </si>
  <si>
    <t>110.94 x 300</t>
  </si>
  <si>
    <t>111.23 - 112.35</t>
  </si>
  <si>
    <t>89.47 - 122.69</t>
  </si>
  <si>
    <t>601.30B</t>
  </si>
  <si>
    <t>65.02 x 100</t>
  </si>
  <si>
    <t>66.89 x 100</t>
  </si>
  <si>
    <t>65.14 - 66.03</t>
  </si>
  <si>
    <t>50.27 - 74.80</t>
  </si>
  <si>
    <t>60.46B</t>
  </si>
  <si>
    <t>68.27 x 100</t>
  </si>
  <si>
    <t>69.99 x 100</t>
  </si>
  <si>
    <t>68.85 - 69.79</t>
  </si>
  <si>
    <t>19.61B</t>
  </si>
  <si>
    <t>31.44 x 500</t>
  </si>
  <si>
    <t>31.20 - 31.89</t>
  </si>
  <si>
    <t>4.48B</t>
  </si>
  <si>
    <t>25.00 x 1000</t>
  </si>
  <si>
    <t>27.50 x 200</t>
  </si>
  <si>
    <t>25.73 - 26.28</t>
  </si>
  <si>
    <t>22.66 - 31.25</t>
  </si>
  <si>
    <t>48.12B</t>
  </si>
  <si>
    <t>25.53 x 100</t>
  </si>
  <si>
    <t>26.50 x 100</t>
  </si>
  <si>
    <t>26.15 - 26.58</t>
  </si>
  <si>
    <t>1.48B</t>
  </si>
  <si>
    <t>24.70 x 9700</t>
  </si>
  <si>
    <t>24.71 x 800</t>
  </si>
  <si>
    <t>24.56 - 25.11</t>
  </si>
  <si>
    <t>20.77 - 50.86</t>
  </si>
  <si>
    <t>5.76B</t>
  </si>
  <si>
    <t>39.06 x 300</t>
  </si>
  <si>
    <t>39.90 x 300</t>
  </si>
  <si>
    <t>39.43 - 40.10</t>
  </si>
  <si>
    <t>24.57B</t>
  </si>
  <si>
    <t>66.83 x 100</t>
  </si>
  <si>
    <t>69.39 x 200</t>
  </si>
  <si>
    <t>67.21 - 68.22</t>
  </si>
  <si>
    <t>39.43 - 71.04</t>
  </si>
  <si>
    <t>11.76B</t>
  </si>
  <si>
    <t>83.00 x 100</t>
  </si>
  <si>
    <t>83.93 x 100</t>
  </si>
  <si>
    <t>82.84 - 84.24</t>
  </si>
  <si>
    <t>89.51B</t>
  </si>
  <si>
    <t>13.00 x 1000</t>
  </si>
  <si>
    <t>13.10 x 1000</t>
  </si>
  <si>
    <t>12.36 - 13.10</t>
  </si>
  <si>
    <t>6.52 - 19.95</t>
  </si>
  <si>
    <t>10.83B</t>
  </si>
  <si>
    <t>32.06 x 100</t>
  </si>
  <si>
    <t>30.83 - 32.48</t>
  </si>
  <si>
    <t>30.42B</t>
  </si>
  <si>
    <t>114.51 x 300</t>
  </si>
  <si>
    <t>114.86 x 400</t>
  </si>
  <si>
    <t>114.83 - 115.76</t>
  </si>
  <si>
    <t>314.24B</t>
  </si>
  <si>
    <t>49.50 x 100</t>
  </si>
  <si>
    <t>49.70 x 100</t>
  </si>
  <si>
    <t>49.01 - 50.27</t>
  </si>
  <si>
    <t>49.01 - 68.19</t>
  </si>
  <si>
    <t>82.81B</t>
  </si>
  <si>
    <t>24.68 x 300</t>
  </si>
  <si>
    <t>24.80 x 2000</t>
  </si>
  <si>
    <t>24.21 - 25.04</t>
  </si>
  <si>
    <t>22.02 - 36.53</t>
  </si>
  <si>
    <t>8.66B</t>
  </si>
  <si>
    <t>46.01 x 200</t>
  </si>
  <si>
    <t>46.55 x 200</t>
  </si>
  <si>
    <t>46.46 - 46.87</t>
  </si>
  <si>
    <t>42.73 - 52.62</t>
  </si>
  <si>
    <t>37.21 - 38.32</t>
  </si>
  <si>
    <t>34.16 - 60.64</t>
  </si>
  <si>
    <t>8.51B</t>
  </si>
  <si>
    <t>209.63 x 100</t>
  </si>
  <si>
    <t>209.64 x 200</t>
  </si>
  <si>
    <t>209.23 - 211.10</t>
  </si>
  <si>
    <t>45.05 x 600</t>
  </si>
  <si>
    <t>45.20 x 1600</t>
  </si>
  <si>
    <t>45.07 - 45.51</t>
  </si>
  <si>
    <t>227.29B</t>
  </si>
  <si>
    <t>1.52 (3.29%)</t>
  </si>
  <si>
    <t>55.27 x 300</t>
  </si>
  <si>
    <t>57.00 x 1000</t>
  </si>
  <si>
    <t>55.76 - 56.86</t>
  </si>
  <si>
    <t>17.81B</t>
  </si>
  <si>
    <t>67.01 x 100</t>
  </si>
  <si>
    <t>70.99 x 100</t>
  </si>
  <si>
    <t>Jan 30 - Feb 3 (Est.)</t>
  </si>
  <si>
    <t>66.92 - 68.95</t>
  </si>
  <si>
    <t>21.97B</t>
  </si>
  <si>
    <t>61.10 x 100</t>
  </si>
  <si>
    <t>63.04 x 200</t>
  </si>
  <si>
    <t>61.36 - 61.91</t>
  </si>
  <si>
    <t>36.30B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</si>
</sst>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</numFmts>
  <fonts count="35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rgb="FFF6F6DE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4" borderId="10" applyNumberFormat="0" applyAlignment="0" applyProtection="0"/>
  </cellStyleXfs>
  <cellXfs count="609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23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 applyAlignment="1">
      <alignment horizontal="lef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2" fontId="18" fillId="7" borderId="0" xfId="0" applyNumberFormat="1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4" fillId="19" borderId="0" xfId="0" applyFont="1" applyFill="1"/>
    <xf numFmtId="166" fontId="4" fillId="19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2" fontId="2" fillId="7" borderId="0" xfId="0" applyNumberFormat="1" applyFont="1" applyFill="1" applyAlignment="1">
      <alignment horizontal="right"/>
    </xf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2" fontId="14" fillId="7" borderId="0" xfId="0" applyNumberFormat="1" applyFont="1" applyFill="1" applyAlignment="1">
      <alignment horizontal="right"/>
    </xf>
    <xf numFmtId="2" fontId="14" fillId="7" borderId="0" xfId="0" quotePrefix="1" applyNumberFormat="1" applyFont="1" applyFill="1" applyAlignment="1">
      <alignment horizontal="right"/>
    </xf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6" fontId="0" fillId="18" borderId="0" xfId="0" applyNumberFormat="1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6" fontId="4" fillId="16" borderId="0" xfId="0" applyNumberFormat="1" applyFont="1" applyFill="1"/>
    <xf numFmtId="16" fontId="0" fillId="21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2" fontId="0" fillId="16" borderId="0" xfId="0" applyNumberFormat="1" applyFill="1"/>
    <xf numFmtId="2" fontId="4" fillId="22" borderId="0" xfId="0" applyNumberFormat="1" applyFont="1" applyFill="1"/>
    <xf numFmtId="2" fontId="4" fillId="10" borderId="0" xfId="0" applyNumberFormat="1" applyFont="1" applyFill="1" applyAlignment="1">
      <alignment horizontal="right"/>
    </xf>
    <xf numFmtId="2" fontId="4" fillId="3" borderId="0" xfId="0" applyNumberFormat="1" applyFont="1" applyFill="1" applyAlignment="1">
      <alignment horizontal="right"/>
    </xf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21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66" fontId="0" fillId="18" borderId="0" xfId="0" applyNumberFormat="1" applyFill="1" applyAlignment="1">
      <alignment horizontal="right"/>
    </xf>
    <xf numFmtId="3" fontId="3" fillId="7" borderId="0" xfId="0" applyNumberFormat="1" applyFont="1" applyFill="1"/>
    <xf numFmtId="172" fontId="0" fillId="0" borderId="0" xfId="0" applyNumberFormat="1"/>
    <xf numFmtId="0" fontId="34" fillId="24" borderId="10" xfId="4" applyAlignmen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2" fontId="4" fillId="22" borderId="0" xfId="0" applyNumberFormat="1" applyFont="1" applyFill="1" applyAlignment="1">
      <alignment horizontal="right"/>
    </xf>
    <xf numFmtId="0" fontId="0" fillId="10" borderId="0" xfId="0" applyFill="1" applyAlignment="1">
      <alignment horizontal="right"/>
    </xf>
    <xf numFmtId="2" fontId="0" fillId="18" borderId="0" xfId="0" applyNumberFormat="1" applyFill="1" applyAlignment="1">
      <alignment horizontal="right"/>
    </xf>
    <xf numFmtId="0" fontId="0" fillId="25" borderId="0" xfId="0" applyFill="1" applyAlignment="1">
      <alignment horizontal="center" vertical="center" wrapText="1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0" fontId="22" fillId="26" borderId="0" xfId="0" applyFont="1" applyFill="1"/>
    <xf numFmtId="2" fontId="22" fillId="26" borderId="0" xfId="0" applyNumberFormat="1" applyFont="1" applyFill="1"/>
    <xf numFmtId="2" fontId="22" fillId="26" borderId="0" xfId="0" applyNumberFormat="1" applyFont="1" applyFill="1" applyAlignment="1">
      <alignment horizontal="center"/>
    </xf>
    <xf numFmtId="2" fontId="22" fillId="26" borderId="0" xfId="0" applyNumberFormat="1" applyFont="1" applyFill="1" applyAlignment="1">
      <alignment horizontal="right"/>
    </xf>
    <xf numFmtId="0" fontId="22" fillId="26" borderId="0" xfId="0" applyFont="1" applyFill="1" applyAlignment="1">
      <alignment horizontal="right"/>
    </xf>
    <xf numFmtId="16" fontId="0" fillId="26" borderId="0" xfId="0" applyNumberFormat="1" applyFill="1"/>
    <xf numFmtId="0" fontId="0" fillId="26" borderId="0" xfId="0" applyFill="1"/>
    <xf numFmtId="166" fontId="0" fillId="26" borderId="0" xfId="0" applyNumberFormat="1" applyFill="1"/>
    <xf numFmtId="2" fontId="0" fillId="26" borderId="0" xfId="0" applyNumberFormat="1" applyFill="1"/>
    <xf numFmtId="10" fontId="0" fillId="26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10" borderId="0" xfId="0" applyNumberFormat="1" applyFill="1" applyAlignment="1">
      <alignment horizontal="right"/>
    </xf>
    <xf numFmtId="2" fontId="0" fillId="16" borderId="0" xfId="0" applyNumberFormat="1" applyFill="1" applyAlignment="1">
      <alignment horizontal="right"/>
    </xf>
    <xf numFmtId="2" fontId="0" fillId="3" borderId="0" xfId="0" applyNumberFormat="1" applyFill="1" applyAlignment="1">
      <alignment horizontal="right"/>
    </xf>
    <xf numFmtId="16" fontId="0" fillId="21" borderId="0" xfId="0" applyNumberFormat="1" applyFill="1" applyAlignment="1">
      <alignment vertical="center"/>
    </xf>
    <xf numFmtId="0" fontId="0" fillId="25" borderId="0" xfId="0" applyFill="1" applyAlignment="1">
      <alignment horizontal="center" vertical="center" wrapText="1"/>
    </xf>
    <xf numFmtId="2" fontId="0" fillId="11" borderId="0" xfId="0" applyNumberFormat="1" applyFill="1" applyAlignment="1">
      <alignment horizontal="right"/>
    </xf>
    <xf numFmtId="166" fontId="0" fillId="11" borderId="0" xfId="0" applyNumberForma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0" xfId="0" applyNumberFormat="1" applyFill="1" applyAlignment="1">
      <alignment horizontal="right" vertical="center"/>
    </xf>
    <xf numFmtId="14" fontId="0" fillId="4" borderId="3" xfId="0" applyNumberFormat="1" applyFill="1" applyBorder="1" applyAlignment="1">
      <alignment horizontal="right" vertical="center"/>
    </xf>
    <xf numFmtId="14" fontId="0" fillId="4" borderId="0" xfId="0" applyNumberFormat="1" applyFill="1" applyAlignment="1">
      <alignment horizontal="right" vertical="center" wrapText="1"/>
    </xf>
    <xf numFmtId="16" fontId="0" fillId="4" borderId="0" xfId="0" applyNumberFormat="1" applyFill="1" applyAlignment="1">
      <alignment horizontal="right" vertical="center" wrapText="1"/>
    </xf>
    <xf numFmtId="2" fontId="0" fillId="23" borderId="0" xfId="0" applyNumberFormat="1" applyFill="1" applyAlignment="1">
      <alignment horizontal="center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0" fontId="0" fillId="25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wrapText="1"/>
    </xf>
    <xf numFmtId="0" fontId="4" fillId="10" borderId="0" xfId="0" applyFont="1" applyFill="1" applyAlignment="1">
      <alignment horizontal="center" vertical="center" wrapText="1"/>
    </xf>
    <xf numFmtId="0" fontId="0" fillId="20" borderId="0" xfId="0" applyFill="1" applyAlignment="1">
      <alignment horizontal="center" vertical="center" wrapText="1"/>
    </xf>
    <xf numFmtId="0" fontId="0" fillId="18" borderId="0" xfId="0" applyFill="1" applyAlignment="1">
      <alignment horizontal="center" wrapText="1"/>
    </xf>
    <xf numFmtId="0" fontId="0" fillId="0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0" fontId="0" fillId="0" borderId="5" xfId="0" applyBorder="1"/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86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867"/>
      <tableStyleElement type="headerRow" dxfId="866"/>
    </tableStyle>
  </tableStyles>
  <colors>
    <mruColors>
      <color rgb="FFFF7C5D"/>
      <color rgb="FFE7271D"/>
      <color rgb="FF00221A"/>
      <color rgb="FFED5C55"/>
      <color rgb="FFFBDBD9"/>
      <color rgb="FFF6F6DE"/>
      <color rgb="FFF9DEDB"/>
      <color rgb="FFFF3399"/>
      <color rgb="FFFFCC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onnections" Target="connections.xml"/><Relationship Id="rId61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</c:numCache>
            </c:numRef>
          </c:xVal>
          <c:yVal>
            <c:numRef>
              <c:f>Balance!$I$2:$I$318</c:f>
              <c:numCache>
                <c:formatCode>0.00</c:formatCode>
                <c:ptCount val="317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10552"/>
        <c:axId val="500302320"/>
      </c:scatterChart>
      <c:valAx>
        <c:axId val="50031055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302320"/>
        <c:crosses val="autoZero"/>
        <c:crossBetween val="midCat"/>
      </c:valAx>
      <c:valAx>
        <c:axId val="500302320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310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Balance!$B$2:$B$306</c:f>
              <c:numCache>
                <c:formatCode>m/d/yyyy</c:formatCode>
                <c:ptCount val="30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</c:numCache>
            </c:numRef>
          </c:xVal>
          <c:yVal>
            <c:numRef>
              <c:f>Balance!$M$2:$M$319</c:f>
              <c:numCache>
                <c:formatCode>0.00</c:formatCode>
                <c:ptCount val="31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12904"/>
        <c:axId val="500316040"/>
      </c:scatterChart>
      <c:valAx>
        <c:axId val="50031290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316040"/>
        <c:crosses val="autoZero"/>
        <c:crossBetween val="midCat"/>
      </c:valAx>
      <c:valAx>
        <c:axId val="500316040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312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Balance!$B$2:$B$312</c:f>
              <c:numCache>
                <c:formatCode>m/d/yyyy</c:formatCode>
                <c:ptCount val="31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</c:numCache>
            </c:numRef>
          </c:xVal>
          <c:yVal>
            <c:numRef>
              <c:f>Balance!$C$2:$C$313</c:f>
              <c:numCache>
                <c:formatCode>0.00</c:formatCode>
                <c:ptCount val="312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16824"/>
        <c:axId val="500311336"/>
      </c:scatterChart>
      <c:valAx>
        <c:axId val="50031682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311336"/>
        <c:crosses val="autoZero"/>
        <c:crossBetween val="midCat"/>
      </c:valAx>
      <c:valAx>
        <c:axId val="500311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316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</c:numCache>
            </c:numRef>
          </c:xVal>
          <c:yVal>
            <c:numRef>
              <c:f>Balance!$P$2:$P$466</c:f>
              <c:numCache>
                <c:formatCode>0.00%</c:formatCode>
                <c:ptCount val="4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15256"/>
        <c:axId val="500312512"/>
      </c:scatterChart>
      <c:valAx>
        <c:axId val="50031525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312512"/>
        <c:crosses val="autoZero"/>
        <c:crossBetween val="midCat"/>
      </c:valAx>
      <c:valAx>
        <c:axId val="500312512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315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</c:numCache>
            </c:numRef>
          </c:xVal>
          <c:yVal>
            <c:numRef>
              <c:f>Balance!$V$3:$V$467</c:f>
              <c:numCache>
                <c:formatCode>0.00%</c:formatCode>
                <c:ptCount val="465"/>
                <c:pt idx="1">
                  <c:v>0.19577179003677936</c:v>
                </c:pt>
                <c:pt idx="2">
                  <c:v>0.20008182112239786</c:v>
                </c:pt>
                <c:pt idx="3">
                  <c:v>0.16336924292253127</c:v>
                </c:pt>
                <c:pt idx="4">
                  <c:v>0.19389190476539761</c:v>
                </c:pt>
                <c:pt idx="5">
                  <c:v>0.17533735395795544</c:v>
                </c:pt>
                <c:pt idx="6">
                  <c:v>0.35891083910893234</c:v>
                </c:pt>
                <c:pt idx="7">
                  <c:v>0.52868202794227925</c:v>
                </c:pt>
                <c:pt idx="8">
                  <c:v>0.52303521027280186</c:v>
                </c:pt>
                <c:pt idx="9">
                  <c:v>0.49903486890486387</c:v>
                </c:pt>
                <c:pt idx="10">
                  <c:v>0.48831680410668976</c:v>
                </c:pt>
                <c:pt idx="11">
                  <c:v>0.47214016149480637</c:v>
                </c:pt>
                <c:pt idx="12">
                  <c:v>0.45448950679382538</c:v>
                </c:pt>
                <c:pt idx="13">
                  <c:v>0.43762621603032426</c:v>
                </c:pt>
                <c:pt idx="14">
                  <c:v>0.43324605788841486</c:v>
                </c:pt>
                <c:pt idx="15">
                  <c:v>0.43262248943141224</c:v>
                </c:pt>
                <c:pt idx="16">
                  <c:v>0.42023205119752755</c:v>
                </c:pt>
                <c:pt idx="17">
                  <c:v>0.40776589668846686</c:v>
                </c:pt>
                <c:pt idx="18">
                  <c:v>0.39882009643497413</c:v>
                </c:pt>
                <c:pt idx="19">
                  <c:v>0.38986525703766828</c:v>
                </c:pt>
                <c:pt idx="20">
                  <c:v>0.38411926521956707</c:v>
                </c:pt>
                <c:pt idx="21">
                  <c:v>0.37503116894241934</c:v>
                </c:pt>
                <c:pt idx="22">
                  <c:v>0.37697940519041084</c:v>
                </c:pt>
                <c:pt idx="23">
                  <c:v>0.36977509623053162</c:v>
                </c:pt>
                <c:pt idx="24">
                  <c:v>0.36891081336097858</c:v>
                </c:pt>
                <c:pt idx="25">
                  <c:v>0.36576166417456935</c:v>
                </c:pt>
                <c:pt idx="26">
                  <c:v>0.35959656379312804</c:v>
                </c:pt>
                <c:pt idx="27">
                  <c:v>0.35323644241397795</c:v>
                </c:pt>
                <c:pt idx="28">
                  <c:v>0.36074758156117998</c:v>
                </c:pt>
                <c:pt idx="29">
                  <c:v>0.35703191736213136</c:v>
                </c:pt>
                <c:pt idx="30">
                  <c:v>0.36241608593546876</c:v>
                </c:pt>
                <c:pt idx="31">
                  <c:v>0.35707118458821713</c:v>
                </c:pt>
                <c:pt idx="32">
                  <c:v>0.37502060427916972</c:v>
                </c:pt>
                <c:pt idx="33">
                  <c:v>0.38219304301343621</c:v>
                </c:pt>
                <c:pt idx="34">
                  <c:v>0.37670306697854899</c:v>
                </c:pt>
                <c:pt idx="35">
                  <c:v>0.37168118749449619</c:v>
                </c:pt>
                <c:pt idx="36">
                  <c:v>0.36708606132795213</c:v>
                </c:pt>
                <c:pt idx="37">
                  <c:v>0.36271772022566956</c:v>
                </c:pt>
                <c:pt idx="38">
                  <c:v>0.35850362464103236</c:v>
                </c:pt>
                <c:pt idx="39">
                  <c:v>0.35400225993009587</c:v>
                </c:pt>
                <c:pt idx="40">
                  <c:v>0.35017187352757795</c:v>
                </c:pt>
                <c:pt idx="41">
                  <c:v>0.34666743153233776</c:v>
                </c:pt>
                <c:pt idx="42">
                  <c:v>0.34273345139982825</c:v>
                </c:pt>
                <c:pt idx="43">
                  <c:v>0.33890448472804552</c:v>
                </c:pt>
                <c:pt idx="44">
                  <c:v>0.33783134123152347</c:v>
                </c:pt>
                <c:pt idx="45">
                  <c:v>0.33709966873657005</c:v>
                </c:pt>
                <c:pt idx="46">
                  <c:v>0.33420544036824928</c:v>
                </c:pt>
                <c:pt idx="47">
                  <c:v>0.33078274353135961</c:v>
                </c:pt>
                <c:pt idx="48">
                  <c:v>0.33116253966336157</c:v>
                </c:pt>
                <c:pt idx="49">
                  <c:v>0.32784098915228843</c:v>
                </c:pt>
                <c:pt idx="50">
                  <c:v>0.32865868284465172</c:v>
                </c:pt>
                <c:pt idx="51">
                  <c:v>0.32641026079746971</c:v>
                </c:pt>
                <c:pt idx="52">
                  <c:v>0.32355647040832186</c:v>
                </c:pt>
                <c:pt idx="53">
                  <c:v>0.32260027221647702</c:v>
                </c:pt>
                <c:pt idx="54">
                  <c:v>0.32122906847311467</c:v>
                </c:pt>
                <c:pt idx="55">
                  <c:v>0.31831780697519846</c:v>
                </c:pt>
                <c:pt idx="56">
                  <c:v>0.32078118980306136</c:v>
                </c:pt>
                <c:pt idx="57">
                  <c:v>0.31795506965896425</c:v>
                </c:pt>
                <c:pt idx="58">
                  <c:v>0.31620783635013966</c:v>
                </c:pt>
                <c:pt idx="59">
                  <c:v>0.31352177036879675</c:v>
                </c:pt>
                <c:pt idx="60">
                  <c:v>0.31221077177668255</c:v>
                </c:pt>
                <c:pt idx="61">
                  <c:v>0.311389828072407</c:v>
                </c:pt>
                <c:pt idx="62">
                  <c:v>0.30890912442956392</c:v>
                </c:pt>
                <c:pt idx="63">
                  <c:v>0.30942792293284299</c:v>
                </c:pt>
                <c:pt idx="64">
                  <c:v>0.30707902780871166</c:v>
                </c:pt>
                <c:pt idx="65">
                  <c:v>0.30856663188820815</c:v>
                </c:pt>
                <c:pt idx="66">
                  <c:v>0.30643952094821814</c:v>
                </c:pt>
                <c:pt idx="67">
                  <c:v>0.30426600271918647</c:v>
                </c:pt>
                <c:pt idx="68">
                  <c:v>0.30238621984250691</c:v>
                </c:pt>
                <c:pt idx="69">
                  <c:v>0.30126350583982381</c:v>
                </c:pt>
                <c:pt idx="70">
                  <c:v>0.29915075312421052</c:v>
                </c:pt>
                <c:pt idx="71">
                  <c:v>0.29731455796464418</c:v>
                </c:pt>
                <c:pt idx="72">
                  <c:v>0.29562170062555598</c:v>
                </c:pt>
                <c:pt idx="73">
                  <c:v>0.29400855496408335</c:v>
                </c:pt>
                <c:pt idx="74">
                  <c:v>0.29794414920309426</c:v>
                </c:pt>
                <c:pt idx="75">
                  <c:v>0.29712936975574017</c:v>
                </c:pt>
                <c:pt idx="76">
                  <c:v>0.29563649002359699</c:v>
                </c:pt>
                <c:pt idx="77">
                  <c:v>0.3074916653921197</c:v>
                </c:pt>
                <c:pt idx="78">
                  <c:v>0.3057577572819663</c:v>
                </c:pt>
                <c:pt idx="79">
                  <c:v>0.30386643217647319</c:v>
                </c:pt>
                <c:pt idx="80">
                  <c:v>0.30335650462124281</c:v>
                </c:pt>
                <c:pt idx="81">
                  <c:v>0.3052608066855817</c:v>
                </c:pt>
                <c:pt idx="82">
                  <c:v>0.30374972032355096</c:v>
                </c:pt>
                <c:pt idx="83">
                  <c:v>0.30203167512176549</c:v>
                </c:pt>
                <c:pt idx="84">
                  <c:v>0.30170012255410639</c:v>
                </c:pt>
                <c:pt idx="85">
                  <c:v>0.30100381031831397</c:v>
                </c:pt>
                <c:pt idx="86">
                  <c:v>0.29930992001467371</c:v>
                </c:pt>
                <c:pt idx="87">
                  <c:v>0.29920187088435746</c:v>
                </c:pt>
                <c:pt idx="88">
                  <c:v>0.29759929719842121</c:v>
                </c:pt>
                <c:pt idx="89">
                  <c:v>0.29978352577242878</c:v>
                </c:pt>
                <c:pt idx="90">
                  <c:v>0.29815917239051543</c:v>
                </c:pt>
                <c:pt idx="91">
                  <c:v>0.29842518034690152</c:v>
                </c:pt>
                <c:pt idx="92">
                  <c:v>0.29700566198828871</c:v>
                </c:pt>
                <c:pt idx="93">
                  <c:v>0.29803742324397353</c:v>
                </c:pt>
                <c:pt idx="94">
                  <c:v>0.29691114338787766</c:v>
                </c:pt>
                <c:pt idx="95">
                  <c:v>0.29579926006722401</c:v>
                </c:pt>
                <c:pt idx="96">
                  <c:v>0.29456352660323443</c:v>
                </c:pt>
                <c:pt idx="97">
                  <c:v>0.30696087260477756</c:v>
                </c:pt>
                <c:pt idx="98">
                  <c:v>0.3100263800011836</c:v>
                </c:pt>
                <c:pt idx="99">
                  <c:v>0.30926714125463156</c:v>
                </c:pt>
                <c:pt idx="100">
                  <c:v>0.31519307674971891</c:v>
                </c:pt>
                <c:pt idx="101">
                  <c:v>0.31518540993187888</c:v>
                </c:pt>
                <c:pt idx="102">
                  <c:v>0.32174542830097441</c:v>
                </c:pt>
                <c:pt idx="103">
                  <c:v>0.32453820781135018</c:v>
                </c:pt>
                <c:pt idx="104">
                  <c:v>0.33758588878684614</c:v>
                </c:pt>
                <c:pt idx="105">
                  <c:v>0.33863790038958375</c:v>
                </c:pt>
                <c:pt idx="106">
                  <c:v>0.33723365750596535</c:v>
                </c:pt>
                <c:pt idx="107">
                  <c:v>0.35256157198523613</c:v>
                </c:pt>
                <c:pt idx="108">
                  <c:v>0.35267737853182896</c:v>
                </c:pt>
                <c:pt idx="109">
                  <c:v>0.36554774877731538</c:v>
                </c:pt>
                <c:pt idx="110">
                  <c:v>0.36652123813825849</c:v>
                </c:pt>
                <c:pt idx="111">
                  <c:v>0.36580201811385399</c:v>
                </c:pt>
                <c:pt idx="112">
                  <c:v>0.36582687593251006</c:v>
                </c:pt>
                <c:pt idx="113">
                  <c:v>0.37665623164224904</c:v>
                </c:pt>
                <c:pt idx="114">
                  <c:v>0.37500277790793834</c:v>
                </c:pt>
                <c:pt idx="115">
                  <c:v>0.37987177172236325</c:v>
                </c:pt>
                <c:pt idx="116">
                  <c:v>0.38596402182857842</c:v>
                </c:pt>
                <c:pt idx="117">
                  <c:v>0.38442983265447928</c:v>
                </c:pt>
                <c:pt idx="118">
                  <c:v>0.38965360022711565</c:v>
                </c:pt>
                <c:pt idx="119">
                  <c:v>0.39455956732672759</c:v>
                </c:pt>
                <c:pt idx="120">
                  <c:v>0.39391134458203264</c:v>
                </c:pt>
                <c:pt idx="121">
                  <c:v>0.39255054022656277</c:v>
                </c:pt>
                <c:pt idx="122">
                  <c:v>0.39188934391979374</c:v>
                </c:pt>
                <c:pt idx="123">
                  <c:v>0.39280034902438915</c:v>
                </c:pt>
                <c:pt idx="124">
                  <c:v>0.39373317711022293</c:v>
                </c:pt>
                <c:pt idx="125">
                  <c:v>0.39391671411506929</c:v>
                </c:pt>
                <c:pt idx="126">
                  <c:v>0.39434419152440775</c:v>
                </c:pt>
                <c:pt idx="127">
                  <c:v>0.39378743351445816</c:v>
                </c:pt>
                <c:pt idx="128">
                  <c:v>0.39971891584326358</c:v>
                </c:pt>
                <c:pt idx="129">
                  <c:v>0.40132200578539856</c:v>
                </c:pt>
                <c:pt idx="130">
                  <c:v>0.40056518042041067</c:v>
                </c:pt>
                <c:pt idx="131">
                  <c:v>0.399347738080158</c:v>
                </c:pt>
                <c:pt idx="132">
                  <c:v>0.40040715107254371</c:v>
                </c:pt>
                <c:pt idx="133">
                  <c:v>0.39919785402030938</c:v>
                </c:pt>
                <c:pt idx="134">
                  <c:v>0.39798205719407453</c:v>
                </c:pt>
                <c:pt idx="135">
                  <c:v>0.40773104370834762</c:v>
                </c:pt>
                <c:pt idx="136">
                  <c:v>0.41011498593156359</c:v>
                </c:pt>
                <c:pt idx="137">
                  <c:v>0.41201829569755161</c:v>
                </c:pt>
                <c:pt idx="138">
                  <c:v>0.41052951691081185</c:v>
                </c:pt>
                <c:pt idx="139">
                  <c:v>0.41493428525347442</c:v>
                </c:pt>
                <c:pt idx="140">
                  <c:v>0.41420228414527577</c:v>
                </c:pt>
                <c:pt idx="141">
                  <c:v>0.41303460915058671</c:v>
                </c:pt>
                <c:pt idx="142">
                  <c:v>0.41442203469244021</c:v>
                </c:pt>
                <c:pt idx="143">
                  <c:v>0.41305007987980863</c:v>
                </c:pt>
                <c:pt idx="144">
                  <c:v>0.41162261053938765</c:v>
                </c:pt>
                <c:pt idx="145">
                  <c:v>0.41032597832718526</c:v>
                </c:pt>
                <c:pt idx="146">
                  <c:v>0.40893908230401166</c:v>
                </c:pt>
                <c:pt idx="147">
                  <c:v>0.40798335166369004</c:v>
                </c:pt>
                <c:pt idx="148">
                  <c:v>0.40660686098578552</c:v>
                </c:pt>
                <c:pt idx="149">
                  <c:v>0.40527216981287528</c:v>
                </c:pt>
                <c:pt idx="150">
                  <c:v>0.41087213630897762</c:v>
                </c:pt>
                <c:pt idx="151">
                  <c:v>0.40952879368350692</c:v>
                </c:pt>
                <c:pt idx="152">
                  <c:v>0.40827222780986738</c:v>
                </c:pt>
                <c:pt idx="153">
                  <c:v>0.4074274282139313</c:v>
                </c:pt>
                <c:pt idx="154">
                  <c:v>0.40634858436204313</c:v>
                </c:pt>
                <c:pt idx="155">
                  <c:v>0.40652602523849884</c:v>
                </c:pt>
                <c:pt idx="156">
                  <c:v>0.40527068703901437</c:v>
                </c:pt>
                <c:pt idx="157">
                  <c:v>0.40408811296561892</c:v>
                </c:pt>
                <c:pt idx="158">
                  <c:v>0.40283814257892614</c:v>
                </c:pt>
                <c:pt idx="159">
                  <c:v>0.40220348115797722</c:v>
                </c:pt>
                <c:pt idx="160">
                  <c:v>0.40102645372059886</c:v>
                </c:pt>
                <c:pt idx="161">
                  <c:v>0.40100153728117882</c:v>
                </c:pt>
                <c:pt idx="162">
                  <c:v>0.39984095752163645</c:v>
                </c:pt>
                <c:pt idx="163">
                  <c:v>0.40253727965834457</c:v>
                </c:pt>
                <c:pt idx="164">
                  <c:v>0.40149438106382634</c:v>
                </c:pt>
                <c:pt idx="165">
                  <c:v>0.40027732610236538</c:v>
                </c:pt>
                <c:pt idx="166">
                  <c:v>0.39907765714792898</c:v>
                </c:pt>
                <c:pt idx="167">
                  <c:v>0.39841300907192778</c:v>
                </c:pt>
                <c:pt idx="168">
                  <c:v>0.39778020996769808</c:v>
                </c:pt>
                <c:pt idx="169">
                  <c:v>0.39662320245584515</c:v>
                </c:pt>
                <c:pt idx="170">
                  <c:v>0.39552870627175002</c:v>
                </c:pt>
                <c:pt idx="171">
                  <c:v>0.39470764282961784</c:v>
                </c:pt>
                <c:pt idx="172">
                  <c:v>0.39413441432117591</c:v>
                </c:pt>
                <c:pt idx="173">
                  <c:v>0.39523474671048564</c:v>
                </c:pt>
                <c:pt idx="174">
                  <c:v>0.39446713655061666</c:v>
                </c:pt>
                <c:pt idx="175">
                  <c:v>0.39366590594633838</c:v>
                </c:pt>
                <c:pt idx="176">
                  <c:v>0.39340624271023572</c:v>
                </c:pt>
                <c:pt idx="177">
                  <c:v>0.39283799176483652</c:v>
                </c:pt>
                <c:pt idx="178">
                  <c:v>0.3932386492905699</c:v>
                </c:pt>
                <c:pt idx="179">
                  <c:v>0.39383207665570702</c:v>
                </c:pt>
                <c:pt idx="180">
                  <c:v>0.39274558948509919</c:v>
                </c:pt>
                <c:pt idx="181">
                  <c:v>0.39165931974206192</c:v>
                </c:pt>
                <c:pt idx="182">
                  <c:v>0.39131263252933984</c:v>
                </c:pt>
                <c:pt idx="183">
                  <c:v>0.39117995017069312</c:v>
                </c:pt>
                <c:pt idx="184">
                  <c:v>0.39045309819153251</c:v>
                </c:pt>
                <c:pt idx="185">
                  <c:v>0.38974137838139039</c:v>
                </c:pt>
                <c:pt idx="186">
                  <c:v>0.38869471253740751</c:v>
                </c:pt>
                <c:pt idx="187">
                  <c:v>0.38847097955636578</c:v>
                </c:pt>
                <c:pt idx="188">
                  <c:v>0.38745717293573728</c:v>
                </c:pt>
                <c:pt idx="189">
                  <c:v>0.38643084331736716</c:v>
                </c:pt>
                <c:pt idx="190">
                  <c:v>0.38542760333105391</c:v>
                </c:pt>
                <c:pt idx="191">
                  <c:v>0.38584361102495252</c:v>
                </c:pt>
                <c:pt idx="192">
                  <c:v>0.38495329027119468</c:v>
                </c:pt>
                <c:pt idx="193">
                  <c:v>0.38399644388523335</c:v>
                </c:pt>
                <c:pt idx="194">
                  <c:v>0.38344132562048239</c:v>
                </c:pt>
                <c:pt idx="195">
                  <c:v>0.38251907030209392</c:v>
                </c:pt>
                <c:pt idx="196">
                  <c:v>0.38154311840719901</c:v>
                </c:pt>
                <c:pt idx="197">
                  <c:v>0.38079113185082497</c:v>
                </c:pt>
                <c:pt idx="198">
                  <c:v>0.3800270839694988</c:v>
                </c:pt>
                <c:pt idx="199">
                  <c:v>0.37910108221879157</c:v>
                </c:pt>
                <c:pt idx="200">
                  <c:v>0.37819539294836535</c:v>
                </c:pt>
                <c:pt idx="201">
                  <c:v>0.3779906391006832</c:v>
                </c:pt>
                <c:pt idx="202">
                  <c:v>0.37770326655936998</c:v>
                </c:pt>
                <c:pt idx="203">
                  <c:v>0.37684312307903423</c:v>
                </c:pt>
                <c:pt idx="204">
                  <c:v>0.37597781518957712</c:v>
                </c:pt>
                <c:pt idx="205">
                  <c:v>0.37655142178170292</c:v>
                </c:pt>
                <c:pt idx="206">
                  <c:v>0.3757757250288794</c:v>
                </c:pt>
                <c:pt idx="207">
                  <c:v>0.37496263559037396</c:v>
                </c:pt>
                <c:pt idx="208">
                  <c:v>0.37409419523712373</c:v>
                </c:pt>
                <c:pt idx="209">
                  <c:v>0.37342122618774559</c:v>
                </c:pt>
                <c:pt idx="210">
                  <c:v>0.37328913049687473</c:v>
                </c:pt>
                <c:pt idx="211">
                  <c:v>0.37498171296802196</c:v>
                </c:pt>
                <c:pt idx="212">
                  <c:v>0.37477394701034494</c:v>
                </c:pt>
                <c:pt idx="213">
                  <c:v>0.37400942044017926</c:v>
                </c:pt>
                <c:pt idx="214">
                  <c:v>0.37437996728891731</c:v>
                </c:pt>
                <c:pt idx="215">
                  <c:v>0.37501491948250398</c:v>
                </c:pt>
                <c:pt idx="216">
                  <c:v>0.37769251793384978</c:v>
                </c:pt>
                <c:pt idx="217">
                  <c:v>0.38208789279178124</c:v>
                </c:pt>
                <c:pt idx="218">
                  <c:v>0.38190631702856759</c:v>
                </c:pt>
                <c:pt idx="219">
                  <c:v>0.38118352520471832</c:v>
                </c:pt>
                <c:pt idx="220">
                  <c:v>0.3803179125579893</c:v>
                </c:pt>
                <c:pt idx="221">
                  <c:v>0.38112496311245453</c:v>
                </c:pt>
                <c:pt idx="222">
                  <c:v>0.38026911407606601</c:v>
                </c:pt>
                <c:pt idx="223">
                  <c:v>0.3794918182893931</c:v>
                </c:pt>
                <c:pt idx="224">
                  <c:v>0.37915328642285256</c:v>
                </c:pt>
                <c:pt idx="225">
                  <c:v>0.37830983950867753</c:v>
                </c:pt>
                <c:pt idx="226">
                  <c:v>0.37990463509326544</c:v>
                </c:pt>
                <c:pt idx="227">
                  <c:v>0.3791487014021947</c:v>
                </c:pt>
                <c:pt idx="228">
                  <c:v>0.378354378552888</c:v>
                </c:pt>
                <c:pt idx="229">
                  <c:v>0.37758235657631534</c:v>
                </c:pt>
                <c:pt idx="230">
                  <c:v>0.37677647505559991</c:v>
                </c:pt>
                <c:pt idx="231">
                  <c:v>0.37631344049170978</c:v>
                </c:pt>
                <c:pt idx="232">
                  <c:v>0.37559009819227351</c:v>
                </c:pt>
                <c:pt idx="233">
                  <c:v>0.37527253812431671</c:v>
                </c:pt>
                <c:pt idx="234">
                  <c:v>0.37456834740512818</c:v>
                </c:pt>
                <c:pt idx="235">
                  <c:v>0.37380634336339558</c:v>
                </c:pt>
                <c:pt idx="236">
                  <c:v>0.37331560015373266</c:v>
                </c:pt>
                <c:pt idx="237">
                  <c:v>0.37357383869513988</c:v>
                </c:pt>
                <c:pt idx="238">
                  <c:v>0.37279274055236694</c:v>
                </c:pt>
                <c:pt idx="239">
                  <c:v>0.37202162492103208</c:v>
                </c:pt>
                <c:pt idx="240">
                  <c:v>0.37192751121581696</c:v>
                </c:pt>
                <c:pt idx="241">
                  <c:v>0.37133699496327655</c:v>
                </c:pt>
                <c:pt idx="242">
                  <c:v>0.37103067638911486</c:v>
                </c:pt>
                <c:pt idx="243">
                  <c:v>0.37028383202660053</c:v>
                </c:pt>
                <c:pt idx="244">
                  <c:v>0.37041269754030803</c:v>
                </c:pt>
                <c:pt idx="245">
                  <c:v>0.36976250802064314</c:v>
                </c:pt>
                <c:pt idx="246">
                  <c:v>0.36901019344056429</c:v>
                </c:pt>
                <c:pt idx="247">
                  <c:v>0.36870219429475543</c:v>
                </c:pt>
                <c:pt idx="248">
                  <c:v>0.37015124159076757</c:v>
                </c:pt>
                <c:pt idx="249">
                  <c:v>0.36945344751699344</c:v>
                </c:pt>
                <c:pt idx="250">
                  <c:v>0.36889217852396583</c:v>
                </c:pt>
                <c:pt idx="251">
                  <c:v>0.36860527111095059</c:v>
                </c:pt>
                <c:pt idx="252">
                  <c:v>0.36787447588145594</c:v>
                </c:pt>
                <c:pt idx="253">
                  <c:v>0.36746793184663218</c:v>
                </c:pt>
                <c:pt idx="254">
                  <c:v>0.36712884125938189</c:v>
                </c:pt>
                <c:pt idx="255">
                  <c:v>0.36653871966751894</c:v>
                </c:pt>
                <c:pt idx="256">
                  <c:v>0.36582526513101316</c:v>
                </c:pt>
                <c:pt idx="257">
                  <c:v>0.36511315760461099</c:v>
                </c:pt>
                <c:pt idx="258">
                  <c:v>0.36442732658879068</c:v>
                </c:pt>
                <c:pt idx="259">
                  <c:v>0.36384060156715331</c:v>
                </c:pt>
                <c:pt idx="260">
                  <c:v>0.36332602481523973</c:v>
                </c:pt>
                <c:pt idx="261">
                  <c:v>0.36263989119612255</c:v>
                </c:pt>
                <c:pt idx="262">
                  <c:v>0.3622373095628969</c:v>
                </c:pt>
                <c:pt idx="263">
                  <c:v>0.36162688235726198</c:v>
                </c:pt>
                <c:pt idx="264">
                  <c:v>0.3610748681776339</c:v>
                </c:pt>
                <c:pt idx="265">
                  <c:v>0.36126574974857484</c:v>
                </c:pt>
                <c:pt idx="266">
                  <c:v>0.36161388324136196</c:v>
                </c:pt>
                <c:pt idx="267">
                  <c:v>0.36093984423813291</c:v>
                </c:pt>
                <c:pt idx="268">
                  <c:v>0.36172480886226521</c:v>
                </c:pt>
                <c:pt idx="269">
                  <c:v>0.36117811757925894</c:v>
                </c:pt>
                <c:pt idx="270">
                  <c:v>0.36074703023734866</c:v>
                </c:pt>
                <c:pt idx="271">
                  <c:v>0.36008095750354496</c:v>
                </c:pt>
                <c:pt idx="272">
                  <c:v>0.35949423119806312</c:v>
                </c:pt>
                <c:pt idx="273">
                  <c:v>0.35883781630276246</c:v>
                </c:pt>
                <c:pt idx="274">
                  <c:v>0.35903354110809649</c:v>
                </c:pt>
                <c:pt idx="275">
                  <c:v>0.35843771988043882</c:v>
                </c:pt>
                <c:pt idx="276">
                  <c:v>0.35794291849606197</c:v>
                </c:pt>
                <c:pt idx="277">
                  <c:v>0.35736746994840918</c:v>
                </c:pt>
                <c:pt idx="278">
                  <c:v>0.35679007137958157</c:v>
                </c:pt>
                <c:pt idx="279">
                  <c:v>0.35700717953973932</c:v>
                </c:pt>
                <c:pt idx="280">
                  <c:v>0.35647523622237404</c:v>
                </c:pt>
                <c:pt idx="281">
                  <c:v>0.35584037520231043</c:v>
                </c:pt>
                <c:pt idx="282">
                  <c:v>0.35520892170812252</c:v>
                </c:pt>
                <c:pt idx="283">
                  <c:v>0.35476607688224249</c:v>
                </c:pt>
                <c:pt idx="284">
                  <c:v>0.35436735180004281</c:v>
                </c:pt>
                <c:pt idx="285">
                  <c:v>0.35374517129723698</c:v>
                </c:pt>
                <c:pt idx="286">
                  <c:v>0.35330879271171961</c:v>
                </c:pt>
                <c:pt idx="287">
                  <c:v>0.35280655192521093</c:v>
                </c:pt>
                <c:pt idx="288">
                  <c:v>0.35420191935581979</c:v>
                </c:pt>
                <c:pt idx="289">
                  <c:v>0.3538474741949057</c:v>
                </c:pt>
                <c:pt idx="290">
                  <c:v>0.35324050890305325</c:v>
                </c:pt>
                <c:pt idx="291">
                  <c:v>0.35267302551448443</c:v>
                </c:pt>
                <c:pt idx="292">
                  <c:v>0.35207165866831386</c:v>
                </c:pt>
                <c:pt idx="293">
                  <c:v>0.35163793771094465</c:v>
                </c:pt>
                <c:pt idx="294">
                  <c:v>0.3510402532906407</c:v>
                </c:pt>
                <c:pt idx="295">
                  <c:v>0.3505620528969402</c:v>
                </c:pt>
                <c:pt idx="296">
                  <c:v>0.35016714235962632</c:v>
                </c:pt>
                <c:pt idx="297">
                  <c:v>0.34996980187049981</c:v>
                </c:pt>
                <c:pt idx="298">
                  <c:v>0.34938237475224687</c:v>
                </c:pt>
                <c:pt idx="299">
                  <c:v>0.34963013361097944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17216"/>
        <c:axId val="500314472"/>
      </c:scatterChart>
      <c:valAx>
        <c:axId val="50031721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314472"/>
        <c:crosses val="autoZero"/>
        <c:crossBetween val="midCat"/>
      </c:valAx>
      <c:valAx>
        <c:axId val="500314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317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</c:numCache>
            </c:numRef>
          </c:xVal>
          <c:yVal>
            <c:numRef>
              <c:f>Balance!$W$3:$W$467</c:f>
              <c:numCache>
                <c:formatCode>0.00</c:formatCode>
                <c:ptCount val="465"/>
                <c:pt idx="0">
                  <c:v>0</c:v>
                </c:pt>
                <c:pt idx="1">
                  <c:v>-0.68333843636897873</c:v>
                </c:pt>
                <c:pt idx="2">
                  <c:v>-0.80942705329444609</c:v>
                </c:pt>
                <c:pt idx="3">
                  <c:v>-1.1036083869970665</c:v>
                </c:pt>
                <c:pt idx="4">
                  <c:v>-1.1017695385628516</c:v>
                </c:pt>
                <c:pt idx="5">
                  <c:v>-1.3158251812724333</c:v>
                </c:pt>
                <c:pt idx="6">
                  <c:v>-0.58175853636192942</c:v>
                </c:pt>
                <c:pt idx="7">
                  <c:v>-0.31134561916923059</c:v>
                </c:pt>
                <c:pt idx="8">
                  <c:v>-0.27647883703898773</c:v>
                </c:pt>
                <c:pt idx="9">
                  <c:v>-0.27163148665504422</c:v>
                </c:pt>
                <c:pt idx="10">
                  <c:v>-0.32293884713205662</c:v>
                </c:pt>
                <c:pt idx="11">
                  <c:v>-0.30080307101322079</c:v>
                </c:pt>
                <c:pt idx="12">
                  <c:v>-0.29981967174141433</c:v>
                </c:pt>
                <c:pt idx="13">
                  <c:v>-0.33115619282027942</c:v>
                </c:pt>
                <c:pt idx="14">
                  <c:v>-0.29390190582659192</c:v>
                </c:pt>
                <c:pt idx="15">
                  <c:v>-0.35406777953648449</c:v>
                </c:pt>
                <c:pt idx="16">
                  <c:v>-0.35450344661190919</c:v>
                </c:pt>
                <c:pt idx="17">
                  <c:v>-0.36760230668590366</c:v>
                </c:pt>
                <c:pt idx="18">
                  <c:v>-0.35621027390387933</c:v>
                </c:pt>
                <c:pt idx="19">
                  <c:v>-0.34742948176436061</c:v>
                </c:pt>
                <c:pt idx="20">
                  <c:v>-0.32059032754381772</c:v>
                </c:pt>
                <c:pt idx="21">
                  <c:v>-0.32339038386121877</c:v>
                </c:pt>
                <c:pt idx="22">
                  <c:v>-0.37668180302729731</c:v>
                </c:pt>
                <c:pt idx="23">
                  <c:v>-0.36892106013481385</c:v>
                </c:pt>
                <c:pt idx="24">
                  <c:v>-0.42656283124902872</c:v>
                </c:pt>
                <c:pt idx="25">
                  <c:v>-0.47796845756393919</c:v>
                </c:pt>
                <c:pt idx="26">
                  <c:v>-0.47456202026737232</c:v>
                </c:pt>
                <c:pt idx="27">
                  <c:v>-0.50295417532693776</c:v>
                </c:pt>
                <c:pt idx="28">
                  <c:v>-0.57666630350976855</c:v>
                </c:pt>
                <c:pt idx="29">
                  <c:v>-0.55993701093287374</c:v>
                </c:pt>
                <c:pt idx="30">
                  <c:v>-0.49062830443803934</c:v>
                </c:pt>
                <c:pt idx="31">
                  <c:v>-0.48856479544153886</c:v>
                </c:pt>
                <c:pt idx="32">
                  <c:v>-0.36697464009098302</c:v>
                </c:pt>
                <c:pt idx="33">
                  <c:v>-0.28144234872565721</c:v>
                </c:pt>
                <c:pt idx="34">
                  <c:v>-0.27606168138048071</c:v>
                </c:pt>
                <c:pt idx="35">
                  <c:v>-0.26440988350704403</c:v>
                </c:pt>
                <c:pt idx="36">
                  <c:v>-0.24777554448380479</c:v>
                </c:pt>
                <c:pt idx="37">
                  <c:v>-0.27080520381726514</c:v>
                </c:pt>
                <c:pt idx="38">
                  <c:v>-0.2941945007596537</c:v>
                </c:pt>
                <c:pt idx="39">
                  <c:v>-0.30777298810139764</c:v>
                </c:pt>
                <c:pt idx="40">
                  <c:v>-0.29033617999749817</c:v>
                </c:pt>
                <c:pt idx="41">
                  <c:v>-0.26858979201410127</c:v>
                </c:pt>
                <c:pt idx="42">
                  <c:v>-0.28452745573794236</c:v>
                </c:pt>
                <c:pt idx="43">
                  <c:v>-0.27527013142402956</c:v>
                </c:pt>
                <c:pt idx="44">
                  <c:v>-0.32078773835392699</c:v>
                </c:pt>
                <c:pt idx="45">
                  <c:v>-0.36850117790259329</c:v>
                </c:pt>
                <c:pt idx="46">
                  <c:v>-0.34740689700343486</c:v>
                </c:pt>
                <c:pt idx="47">
                  <c:v>-0.34049100868323351</c:v>
                </c:pt>
                <c:pt idx="48">
                  <c:v>-0.40047766312825195</c:v>
                </c:pt>
                <c:pt idx="49">
                  <c:v>-0.41492325395837537</c:v>
                </c:pt>
                <c:pt idx="50">
                  <c:v>-0.35486663243011873</c:v>
                </c:pt>
                <c:pt idx="51">
                  <c:v>-0.38963580583918311</c:v>
                </c:pt>
                <c:pt idx="52">
                  <c:v>-0.37753456095575649</c:v>
                </c:pt>
                <c:pt idx="53">
                  <c:v>-0.33362642337690757</c:v>
                </c:pt>
                <c:pt idx="54">
                  <c:v>-0.29364216771650808</c:v>
                </c:pt>
                <c:pt idx="55">
                  <c:v>-0.3011579870788354</c:v>
                </c:pt>
                <c:pt idx="56">
                  <c:v>-0.37667857044293201</c:v>
                </c:pt>
                <c:pt idx="57">
                  <c:v>-0.38170290893670711</c:v>
                </c:pt>
                <c:pt idx="58">
                  <c:v>-0.41890849869173857</c:v>
                </c:pt>
                <c:pt idx="59">
                  <c:v>-0.42669812001455287</c:v>
                </c:pt>
                <c:pt idx="60">
                  <c:v>-0.46935744454331552</c:v>
                </c:pt>
                <c:pt idx="61">
                  <c:v>-0.51783467365705071</c:v>
                </c:pt>
                <c:pt idx="62">
                  <c:v>-0.51831586488636772</c:v>
                </c:pt>
                <c:pt idx="63">
                  <c:v>-0.46186531469242181</c:v>
                </c:pt>
                <c:pt idx="64">
                  <c:v>-0.4773765439016453</c:v>
                </c:pt>
                <c:pt idx="65">
                  <c:v>-0.40851557483269535</c:v>
                </c:pt>
                <c:pt idx="66">
                  <c:v>-0.39559233295004559</c:v>
                </c:pt>
                <c:pt idx="67">
                  <c:v>-0.41239137425355088</c:v>
                </c:pt>
                <c:pt idx="68">
                  <c:v>-0.39369667725600893</c:v>
                </c:pt>
                <c:pt idx="69">
                  <c:v>-0.3568745397829991</c:v>
                </c:pt>
                <c:pt idx="70">
                  <c:v>-0.35138286934666213</c:v>
                </c:pt>
                <c:pt idx="71">
                  <c:v>-0.37448998717795878</c:v>
                </c:pt>
                <c:pt idx="72">
                  <c:v>-0.35296554609895131</c:v>
                </c:pt>
                <c:pt idx="73">
                  <c:v>-0.32922587919873542</c:v>
                </c:pt>
                <c:pt idx="74">
                  <c:v>-0.42255234860873886</c:v>
                </c:pt>
                <c:pt idx="75">
                  <c:v>-0.46755240020265992</c:v>
                </c:pt>
                <c:pt idx="76">
                  <c:v>-0.49837682414724838</c:v>
                </c:pt>
                <c:pt idx="77">
                  <c:v>-0.62151814669932737</c:v>
                </c:pt>
                <c:pt idx="78">
                  <c:v>-0.64667598872286047</c:v>
                </c:pt>
                <c:pt idx="79">
                  <c:v>-0.66268326697913837</c:v>
                </c:pt>
                <c:pt idx="80">
                  <c:v>-0.62429401418788066</c:v>
                </c:pt>
                <c:pt idx="81">
                  <c:v>-0.69633472540397345</c:v>
                </c:pt>
                <c:pt idx="82">
                  <c:v>-0.68207675970635762</c:v>
                </c:pt>
                <c:pt idx="83">
                  <c:v>-0.70264873680696449</c:v>
                </c:pt>
                <c:pt idx="84">
                  <c:v>-0.66235190197565297</c:v>
                </c:pt>
                <c:pt idx="85">
                  <c:v>-0.70711156372046091</c:v>
                </c:pt>
                <c:pt idx="86">
                  <c:v>-0.70577304951885234</c:v>
                </c:pt>
                <c:pt idx="87">
                  <c:v>-0.6615511775208901</c:v>
                </c:pt>
                <c:pt idx="88">
                  <c:v>-0.65606018508109465</c:v>
                </c:pt>
                <c:pt idx="89">
                  <c:v>-0.57763264193327502</c:v>
                </c:pt>
                <c:pt idx="90">
                  <c:v>-0.57458973549743364</c:v>
                </c:pt>
                <c:pt idx="91">
                  <c:v>-0.63304083382105092</c:v>
                </c:pt>
                <c:pt idx="92">
                  <c:v>-0.620669985770402</c:v>
                </c:pt>
                <c:pt idx="93">
                  <c:v>-0.68738691527438067</c:v>
                </c:pt>
                <c:pt idx="94">
                  <c:v>-0.66615620331101166</c:v>
                </c:pt>
                <c:pt idx="95">
                  <c:v>-0.6443857396961773</c:v>
                </c:pt>
                <c:pt idx="96">
                  <c:v>-0.62702510093444785</c:v>
                </c:pt>
                <c:pt idx="97">
                  <c:v>-0.75567204390462683</c:v>
                </c:pt>
                <c:pt idx="98">
                  <c:v>-0.83500273428026273</c:v>
                </c:pt>
                <c:pt idx="99">
                  <c:v>-0.87538203671336734</c:v>
                </c:pt>
                <c:pt idx="100">
                  <c:v>-0.96360404908630648</c:v>
                </c:pt>
                <c:pt idx="101">
                  <c:v>-1.0130498269859953</c:v>
                </c:pt>
                <c:pt idx="102">
                  <c:v>-1.0951154826367826</c:v>
                </c:pt>
                <c:pt idx="103">
                  <c:v>-1.023936448780679</c:v>
                </c:pt>
                <c:pt idx="104">
                  <c:v>-1.1152897307201377</c:v>
                </c:pt>
                <c:pt idx="105">
                  <c:v>-1.1686742669521146</c:v>
                </c:pt>
                <c:pt idx="106">
                  <c:v>-1.1935229211007214</c:v>
                </c:pt>
                <c:pt idx="107">
                  <c:v>-1.028249400405955</c:v>
                </c:pt>
                <c:pt idx="108">
                  <c:v>-0.99170799231863693</c:v>
                </c:pt>
                <c:pt idx="109">
                  <c:v>-1.0816247024430758</c:v>
                </c:pt>
                <c:pt idx="110">
                  <c:v>-1.0363958086835598</c:v>
                </c:pt>
                <c:pt idx="111">
                  <c:v>-1.0143071432824</c:v>
                </c:pt>
                <c:pt idx="112">
                  <c:v>-0.97937309577576737</c:v>
                </c:pt>
                <c:pt idx="113">
                  <c:v>-0.84598620235401389</c:v>
                </c:pt>
                <c:pt idx="114">
                  <c:v>-0.85541186331891816</c:v>
                </c:pt>
                <c:pt idx="115">
                  <c:v>-0.93342273997435232</c:v>
                </c:pt>
                <c:pt idx="116">
                  <c:v>-0.83558889367993483</c:v>
                </c:pt>
                <c:pt idx="117">
                  <c:v>-0.83134612054743251</c:v>
                </c:pt>
                <c:pt idx="118">
                  <c:v>-0.91133875009244292</c:v>
                </c:pt>
                <c:pt idx="119">
                  <c:v>-0.98499315992552172</c:v>
                </c:pt>
                <c:pt idx="120">
                  <c:v>-1.0214490025082481</c:v>
                </c:pt>
                <c:pt idx="121">
                  <c:v>-1.0452541340617805</c:v>
                </c:pt>
                <c:pt idx="122">
                  <c:v>-1.080603955096751</c:v>
                </c:pt>
                <c:pt idx="123">
                  <c:v>-1.037487430986719</c:v>
                </c:pt>
                <c:pt idx="124">
                  <c:v>-0.9926553633822599</c:v>
                </c:pt>
                <c:pt idx="125">
                  <c:v>-0.95600595635044083</c:v>
                </c:pt>
                <c:pt idx="126">
                  <c:v>-1.0036909595903156</c:v>
                </c:pt>
                <c:pt idx="127">
                  <c:v>-1.040249231277107</c:v>
                </c:pt>
                <c:pt idx="128">
                  <c:v>-0.94807103186629582</c:v>
                </c:pt>
                <c:pt idx="129">
                  <c:v>-1.0042171104255528</c:v>
                </c:pt>
                <c:pt idx="130">
                  <c:v>-0.98347002998747601</c:v>
                </c:pt>
                <c:pt idx="131">
                  <c:v>-0.97330731574591178</c:v>
                </c:pt>
                <c:pt idx="132">
                  <c:v>-0.92457970345521501</c:v>
                </c:pt>
                <c:pt idx="133">
                  <c:v>-0.91349382599999518</c:v>
                </c:pt>
                <c:pt idx="134">
                  <c:v>-0.90274402703738066</c:v>
                </c:pt>
                <c:pt idx="135">
                  <c:v>-0.77507557954319672</c:v>
                </c:pt>
                <c:pt idx="136">
                  <c:v>-0.70428357877221948</c:v>
                </c:pt>
                <c:pt idx="137">
                  <c:v>-0.63608473880097494</c:v>
                </c:pt>
                <c:pt idx="138">
                  <c:v>-0.63739558112419026</c:v>
                </c:pt>
                <c:pt idx="139">
                  <c:v>-0.72508331003838344</c:v>
                </c:pt>
                <c:pt idx="140">
                  <c:v>-0.69747587364504648</c:v>
                </c:pt>
                <c:pt idx="141">
                  <c:v>-0.68142600829216782</c:v>
                </c:pt>
                <c:pt idx="142">
                  <c:v>-0.61815457083530689</c:v>
                </c:pt>
                <c:pt idx="143">
                  <c:v>-0.63319507183270518</c:v>
                </c:pt>
                <c:pt idx="144">
                  <c:v>-0.63365651769763942</c:v>
                </c:pt>
                <c:pt idx="145">
                  <c:v>-0.62375992142499681</c:v>
                </c:pt>
                <c:pt idx="146">
                  <c:v>-0.6220746830230377</c:v>
                </c:pt>
                <c:pt idx="147">
                  <c:v>-0.59896678137356574</c:v>
                </c:pt>
                <c:pt idx="148">
                  <c:v>-0.60010657323495131</c:v>
                </c:pt>
                <c:pt idx="149">
                  <c:v>-0.61115071166707902</c:v>
                </c:pt>
                <c:pt idx="150">
                  <c:v>-0.71125205185546847</c:v>
                </c:pt>
                <c:pt idx="151">
                  <c:v>-0.71054838997446346</c:v>
                </c:pt>
                <c:pt idx="152">
                  <c:v>-0.72680549836024944</c:v>
                </c:pt>
                <c:pt idx="153">
                  <c:v>-0.70366844533957928</c:v>
                </c:pt>
                <c:pt idx="154">
                  <c:v>-0.68828534357784554</c:v>
                </c:pt>
                <c:pt idx="155">
                  <c:v>-0.64161101333420545</c:v>
                </c:pt>
                <c:pt idx="156">
                  <c:v>-0.65459033550694867</c:v>
                </c:pt>
                <c:pt idx="157">
                  <c:v>-0.67199421682345772</c:v>
                </c:pt>
                <c:pt idx="158">
                  <c:v>-0.68321683303878389</c:v>
                </c:pt>
                <c:pt idx="159">
                  <c:v>-0.65389619265055354</c:v>
                </c:pt>
                <c:pt idx="160">
                  <c:v>-0.64576712483019405</c:v>
                </c:pt>
                <c:pt idx="161">
                  <c:v>-0.6012372836140647</c:v>
                </c:pt>
                <c:pt idx="162">
                  <c:v>-0.61665631137014731</c:v>
                </c:pt>
                <c:pt idx="163">
                  <c:v>-0.52945108632147042</c:v>
                </c:pt>
                <c:pt idx="164">
                  <c:v>-0.51256414711140119</c:v>
                </c:pt>
                <c:pt idx="165">
                  <c:v>-0.51687732856267177</c:v>
                </c:pt>
                <c:pt idx="166">
                  <c:v>-0.51542825391438329</c:v>
                </c:pt>
                <c:pt idx="167">
                  <c:v>-0.48379877316004366</c:v>
                </c:pt>
                <c:pt idx="168">
                  <c:v>-0.4504977761828623</c:v>
                </c:pt>
                <c:pt idx="169">
                  <c:v>-0.44541128432764099</c:v>
                </c:pt>
                <c:pt idx="170">
                  <c:v>-0.46033940675573293</c:v>
                </c:pt>
                <c:pt idx="171">
                  <c:v>-0.43404461026348407</c:v>
                </c:pt>
                <c:pt idx="172">
                  <c:v>-0.47229426874738822</c:v>
                </c:pt>
                <c:pt idx="173">
                  <c:v>-0.39977975447523584</c:v>
                </c:pt>
                <c:pt idx="174">
                  <c:v>-0.37049772074294612</c:v>
                </c:pt>
                <c:pt idx="175">
                  <c:v>-0.40049175612757026</c:v>
                </c:pt>
                <c:pt idx="176">
                  <c:v>-0.44772078039883456</c:v>
                </c:pt>
                <c:pt idx="177">
                  <c:v>-0.48537228831508195</c:v>
                </c:pt>
                <c:pt idx="178">
                  <c:v>-0.5452571876818868</c:v>
                </c:pt>
                <c:pt idx="179">
                  <c:v>-0.60698515730342806</c:v>
                </c:pt>
                <c:pt idx="180">
                  <c:v>-0.60564282927236923</c:v>
                </c:pt>
                <c:pt idx="181">
                  <c:v>-0.60924753471243354</c:v>
                </c:pt>
                <c:pt idx="182">
                  <c:v>-0.65075435554947725</c:v>
                </c:pt>
                <c:pt idx="183">
                  <c:v>-0.6084139790297225</c:v>
                </c:pt>
                <c:pt idx="184">
                  <c:v>-0.58371140107639852</c:v>
                </c:pt>
                <c:pt idx="185">
                  <c:v>-0.61386001915834465</c:v>
                </c:pt>
                <c:pt idx="186">
                  <c:v>-0.6191474754801024</c:v>
                </c:pt>
                <c:pt idx="187">
                  <c:v>-0.57831527146908224</c:v>
                </c:pt>
                <c:pt idx="188">
                  <c:v>-0.57400531087054396</c:v>
                </c:pt>
                <c:pt idx="189">
                  <c:v>-0.5769624859289274</c:v>
                </c:pt>
                <c:pt idx="190">
                  <c:v>-0.57358826427932663</c:v>
                </c:pt>
                <c:pt idx="191">
                  <c:v>-0.51563099482586394</c:v>
                </c:pt>
                <c:pt idx="192">
                  <c:v>-0.50041707622316867</c:v>
                </c:pt>
                <c:pt idx="193">
                  <c:v>-0.4919247378667303</c:v>
                </c:pt>
                <c:pt idx="194">
                  <c:v>-0.45928239402736104</c:v>
                </c:pt>
                <c:pt idx="195">
                  <c:v>-0.4739808785397634</c:v>
                </c:pt>
                <c:pt idx="196">
                  <c:v>-0.47749327981736855</c:v>
                </c:pt>
                <c:pt idx="197">
                  <c:v>-0.45449456545589734</c:v>
                </c:pt>
                <c:pt idx="198">
                  <c:v>-0.43208999286266453</c:v>
                </c:pt>
                <c:pt idx="199">
                  <c:v>-0.42410199427288919</c:v>
                </c:pt>
                <c:pt idx="200">
                  <c:v>-0.4367378029444976</c:v>
                </c:pt>
                <c:pt idx="201">
                  <c:v>-0.39065616902927447</c:v>
                </c:pt>
                <c:pt idx="202">
                  <c:v>-0.34622436864586859</c:v>
                </c:pt>
                <c:pt idx="203">
                  <c:v>-0.36211646609079928</c:v>
                </c:pt>
                <c:pt idx="204">
                  <c:v>-0.37676418468620049</c:v>
                </c:pt>
                <c:pt idx="205">
                  <c:v>-0.44523095731980167</c:v>
                </c:pt>
                <c:pt idx="206">
                  <c:v>-0.4670492618609462</c:v>
                </c:pt>
                <c:pt idx="207">
                  <c:v>-0.48543376785639597</c:v>
                </c:pt>
                <c:pt idx="208">
                  <c:v>-0.49713274722725376</c:v>
                </c:pt>
                <c:pt idx="209">
                  <c:v>-0.52428534124508441</c:v>
                </c:pt>
                <c:pt idx="210">
                  <c:v>-0.47828555779899629</c:v>
                </c:pt>
                <c:pt idx="211">
                  <c:v>-0.38840060718486369</c:v>
                </c:pt>
                <c:pt idx="212">
                  <c:v>-0.34146350358891847</c:v>
                </c:pt>
                <c:pt idx="213">
                  <c:v>-0.36203299328835242</c:v>
                </c:pt>
                <c:pt idx="214">
                  <c:v>-0.29651927106006287</c:v>
                </c:pt>
                <c:pt idx="215">
                  <c:v>-0.36933723914539318</c:v>
                </c:pt>
                <c:pt idx="216">
                  <c:v>-0.47597898148325529</c:v>
                </c:pt>
                <c:pt idx="217">
                  <c:v>-0.34471145902488842</c:v>
                </c:pt>
                <c:pt idx="218">
                  <c:v>-0.29588676584144369</c:v>
                </c:pt>
                <c:pt idx="219">
                  <c:v>-0.27280717324850662</c:v>
                </c:pt>
                <c:pt idx="220">
                  <c:v>-0.27042527213155731</c:v>
                </c:pt>
                <c:pt idx="221">
                  <c:v>-0.34805388740925841</c:v>
                </c:pt>
                <c:pt idx="222">
                  <c:v>-0.3451863960051802</c:v>
                </c:pt>
                <c:pt idx="223">
                  <c:v>-0.32930986645066468</c:v>
                </c:pt>
                <c:pt idx="224">
                  <c:v>-0.28651736353102708</c:v>
                </c:pt>
                <c:pt idx="225">
                  <c:v>-0.28717162139132801</c:v>
                </c:pt>
                <c:pt idx="226">
                  <c:v>-0.18994826157434069</c:v>
                </c:pt>
                <c:pt idx="227">
                  <c:v>-0.20776650350817749</c:v>
                </c:pt>
                <c:pt idx="228">
                  <c:v>-0.1949413808348196</c:v>
                </c:pt>
                <c:pt idx="229">
                  <c:v>-0.20957388135800326</c:v>
                </c:pt>
                <c:pt idx="230">
                  <c:v>-0.201138553007633</c:v>
                </c:pt>
                <c:pt idx="231">
                  <c:v>-0.23897066998854954</c:v>
                </c:pt>
                <c:pt idx="232">
                  <c:v>-0.21976670949867452</c:v>
                </c:pt>
                <c:pt idx="233">
                  <c:v>-0.26433322431693346</c:v>
                </c:pt>
                <c:pt idx="234">
                  <c:v>-0.28423270609368756</c:v>
                </c:pt>
                <c:pt idx="235">
                  <c:v>-0.29631800520923551</c:v>
                </c:pt>
                <c:pt idx="236">
                  <c:v>-0.26161477034386266</c:v>
                </c:pt>
                <c:pt idx="237">
                  <c:v>-0.32646725323698839</c:v>
                </c:pt>
                <c:pt idx="238">
                  <c:v>-0.32264757844205921</c:v>
                </c:pt>
                <c:pt idx="239">
                  <c:v>-0.3168485838021402</c:v>
                </c:pt>
                <c:pt idx="240">
                  <c:v>-0.36881057696322023</c:v>
                </c:pt>
                <c:pt idx="241">
                  <c:v>-0.39575366040362731</c:v>
                </c:pt>
                <c:pt idx="242">
                  <c:v>-0.35430648559671674</c:v>
                </c:pt>
                <c:pt idx="243">
                  <c:v>-0.34656752172420313</c:v>
                </c:pt>
                <c:pt idx="244">
                  <c:v>-0.28674745953718778</c:v>
                </c:pt>
                <c:pt idx="245">
                  <c:v>-0.26559290860964568</c:v>
                </c:pt>
                <c:pt idx="246">
                  <c:v>-0.26562857000260015</c:v>
                </c:pt>
                <c:pt idx="247">
                  <c:v>-0.30898385407743301</c:v>
                </c:pt>
                <c:pt idx="248">
                  <c:v>-0.2116648310114819</c:v>
                </c:pt>
                <c:pt idx="249">
                  <c:v>-0.19675557364140292</c:v>
                </c:pt>
                <c:pt idx="250">
                  <c:v>-0.1674260897781206</c:v>
                </c:pt>
                <c:pt idx="251">
                  <c:v>-0.12029921565243348</c:v>
                </c:pt>
                <c:pt idx="252">
                  <c:v>-0.11681464145353668</c:v>
                </c:pt>
                <c:pt idx="253">
                  <c:v>-0.15590870667841411</c:v>
                </c:pt>
                <c:pt idx="254">
                  <c:v>-0.1116089786338815</c:v>
                </c:pt>
                <c:pt idx="255">
                  <c:v>-0.13635496693319452</c:v>
                </c:pt>
                <c:pt idx="256">
                  <c:v>-0.13153417652213611</c:v>
                </c:pt>
                <c:pt idx="257">
                  <c:v>-0.1294083738586233</c:v>
                </c:pt>
                <c:pt idx="258">
                  <c:v>-0.11779488492760141</c:v>
                </c:pt>
                <c:pt idx="259">
                  <c:v>-0.14150042567609866</c:v>
                </c:pt>
                <c:pt idx="260">
                  <c:v>-0.17148358703917072</c:v>
                </c:pt>
                <c:pt idx="261">
                  <c:v>-0.17814869949059492</c:v>
                </c:pt>
                <c:pt idx="262">
                  <c:v>-0.13918023811748198</c:v>
                </c:pt>
                <c:pt idx="263">
                  <c:v>-0.11802358199088389</c:v>
                </c:pt>
                <c:pt idx="264">
                  <c:v>-9.0328635068432694E-2</c:v>
                </c:pt>
                <c:pt idx="265">
                  <c:v>-1.9942867556678505E-2</c:v>
                </c:pt>
                <c:pt idx="266">
                  <c:v>-9.5327368769720547E-2</c:v>
                </c:pt>
                <c:pt idx="267">
                  <c:v>-8.9681495453419177E-2</c:v>
                </c:pt>
                <c:pt idx="268">
                  <c:v>-0.17790174581169885</c:v>
                </c:pt>
                <c:pt idx="269">
                  <c:v>-0.20285683554436748</c:v>
                </c:pt>
                <c:pt idx="270">
                  <c:v>-0.16734663057456206</c:v>
                </c:pt>
                <c:pt idx="271">
                  <c:v>-0.16751212121348055</c:v>
                </c:pt>
                <c:pt idx="272">
                  <c:v>-0.18690508544761888</c:v>
                </c:pt>
                <c:pt idx="273">
                  <c:v>-0.19006699378210126</c:v>
                </c:pt>
                <c:pt idx="274">
                  <c:v>-0.1221082294002179</c:v>
                </c:pt>
                <c:pt idx="275">
                  <c:v>-0.10323383379501101</c:v>
                </c:pt>
                <c:pt idx="276">
                  <c:v>-0.13187822013168105</c:v>
                </c:pt>
                <c:pt idx="277">
                  <c:v>-0.15096911313105432</c:v>
                </c:pt>
                <c:pt idx="278">
                  <c:v>-0.16932351779410335</c:v>
                </c:pt>
                <c:pt idx="279">
                  <c:v>-9.9683429464585013E-2</c:v>
                </c:pt>
                <c:pt idx="280">
                  <c:v>-7.3754421986269442E-2</c:v>
                </c:pt>
                <c:pt idx="281">
                  <c:v>-7.2660459019862719E-2</c:v>
                </c:pt>
                <c:pt idx="282">
                  <c:v>-7.1876150737505931E-2</c:v>
                </c:pt>
                <c:pt idx="283">
                  <c:v>-0.10406131647207613</c:v>
                </c:pt>
                <c:pt idx="284">
                  <c:v>-6.6367993215331003E-2</c:v>
                </c:pt>
                <c:pt idx="285">
                  <c:v>-6.4510845240131703E-2</c:v>
                </c:pt>
                <c:pt idx="286">
                  <c:v>-9.6755446524912025E-2</c:v>
                </c:pt>
                <c:pt idx="287">
                  <c:v>-6.944003694464651E-2</c:v>
                </c:pt>
                <c:pt idx="288">
                  <c:v>-0.17892887230894319</c:v>
                </c:pt>
                <c:pt idx="289">
                  <c:v>-0.13977314692589091</c:v>
                </c:pt>
                <c:pt idx="290">
                  <c:v>-0.13431755080225424</c:v>
                </c:pt>
                <c:pt idx="291">
                  <c:v>-0.14889648825110774</c:v>
                </c:pt>
                <c:pt idx="292">
                  <c:v>-0.15237885151824149</c:v>
                </c:pt>
                <c:pt idx="293">
                  <c:v>-0.18311690262764249</c:v>
                </c:pt>
                <c:pt idx="294">
                  <c:v>-0.18031336693343156</c:v>
                </c:pt>
                <c:pt idx="295">
                  <c:v>-0.20591867945622133</c:v>
                </c:pt>
                <c:pt idx="296">
                  <c:v>-0.23919413008196941</c:v>
                </c:pt>
                <c:pt idx="297">
                  <c:v>-0.2858327331825487</c:v>
                </c:pt>
                <c:pt idx="298">
                  <c:v>-0.28459349178821342</c:v>
                </c:pt>
                <c:pt idx="299">
                  <c:v>-0.35164045710314945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17608"/>
        <c:axId val="500318000"/>
      </c:scatterChart>
      <c:valAx>
        <c:axId val="50031760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318000"/>
        <c:crosses val="autoZero"/>
        <c:crossBetween val="midCat"/>
      </c:valAx>
      <c:valAx>
        <c:axId val="500318000"/>
        <c:scaling>
          <c:orientation val="minMax"/>
          <c:max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317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42676</c:v>
                </c:pt>
                <c:pt idx="1">
                  <c:v>42675</c:v>
                </c:pt>
                <c:pt idx="2">
                  <c:v>42674</c:v>
                </c:pt>
                <c:pt idx="3">
                  <c:v>42671</c:v>
                </c:pt>
                <c:pt idx="4">
                  <c:v>42670</c:v>
                </c:pt>
                <c:pt idx="5">
                  <c:v>42669</c:v>
                </c:pt>
                <c:pt idx="6">
                  <c:v>42668</c:v>
                </c:pt>
                <c:pt idx="7">
                  <c:v>42667</c:v>
                </c:pt>
                <c:pt idx="8">
                  <c:v>42664</c:v>
                </c:pt>
                <c:pt idx="9">
                  <c:v>42663</c:v>
                </c:pt>
                <c:pt idx="10">
                  <c:v>42662</c:v>
                </c:pt>
                <c:pt idx="11">
                  <c:v>42661</c:v>
                </c:pt>
                <c:pt idx="12">
                  <c:v>42660</c:v>
                </c:pt>
                <c:pt idx="13">
                  <c:v>42657</c:v>
                </c:pt>
                <c:pt idx="14">
                  <c:v>42656</c:v>
                </c:pt>
                <c:pt idx="15">
                  <c:v>42655</c:v>
                </c:pt>
                <c:pt idx="16">
                  <c:v>42654</c:v>
                </c:pt>
                <c:pt idx="17">
                  <c:v>42653</c:v>
                </c:pt>
                <c:pt idx="18">
                  <c:v>42650</c:v>
                </c:pt>
                <c:pt idx="19">
                  <c:v>42649</c:v>
                </c:pt>
                <c:pt idx="20">
                  <c:v>42648</c:v>
                </c:pt>
                <c:pt idx="21">
                  <c:v>42647</c:v>
                </c:pt>
                <c:pt idx="22">
                  <c:v>42646</c:v>
                </c:pt>
                <c:pt idx="23">
                  <c:v>42643</c:v>
                </c:pt>
                <c:pt idx="24">
                  <c:v>42642</c:v>
                </c:pt>
                <c:pt idx="25">
                  <c:v>42641</c:v>
                </c:pt>
                <c:pt idx="26">
                  <c:v>42640</c:v>
                </c:pt>
                <c:pt idx="27">
                  <c:v>42639</c:v>
                </c:pt>
                <c:pt idx="28">
                  <c:v>42636</c:v>
                </c:pt>
                <c:pt idx="29">
                  <c:v>42635</c:v>
                </c:pt>
                <c:pt idx="30">
                  <c:v>42634</c:v>
                </c:pt>
                <c:pt idx="31">
                  <c:v>42633</c:v>
                </c:pt>
                <c:pt idx="32">
                  <c:v>42632</c:v>
                </c:pt>
                <c:pt idx="33">
                  <c:v>42629</c:v>
                </c:pt>
                <c:pt idx="34">
                  <c:v>42628</c:v>
                </c:pt>
                <c:pt idx="35">
                  <c:v>42627</c:v>
                </c:pt>
                <c:pt idx="36">
                  <c:v>42626</c:v>
                </c:pt>
                <c:pt idx="37">
                  <c:v>42625</c:v>
                </c:pt>
                <c:pt idx="38">
                  <c:v>42622</c:v>
                </c:pt>
                <c:pt idx="39">
                  <c:v>42621</c:v>
                </c:pt>
                <c:pt idx="40">
                  <c:v>42620</c:v>
                </c:pt>
                <c:pt idx="41">
                  <c:v>42619</c:v>
                </c:pt>
                <c:pt idx="42">
                  <c:v>42615</c:v>
                </c:pt>
                <c:pt idx="43">
                  <c:v>42614</c:v>
                </c:pt>
                <c:pt idx="44">
                  <c:v>42613</c:v>
                </c:pt>
                <c:pt idx="45">
                  <c:v>42612</c:v>
                </c:pt>
                <c:pt idx="46">
                  <c:v>42611</c:v>
                </c:pt>
                <c:pt idx="47">
                  <c:v>42608</c:v>
                </c:pt>
                <c:pt idx="48">
                  <c:v>42607</c:v>
                </c:pt>
                <c:pt idx="49">
                  <c:v>42606</c:v>
                </c:pt>
                <c:pt idx="50">
                  <c:v>42605</c:v>
                </c:pt>
                <c:pt idx="51">
                  <c:v>42604</c:v>
                </c:pt>
                <c:pt idx="52">
                  <c:v>42601</c:v>
                </c:pt>
                <c:pt idx="53">
                  <c:v>42600</c:v>
                </c:pt>
                <c:pt idx="54">
                  <c:v>42599</c:v>
                </c:pt>
                <c:pt idx="55">
                  <c:v>42598</c:v>
                </c:pt>
                <c:pt idx="56">
                  <c:v>42597</c:v>
                </c:pt>
                <c:pt idx="57">
                  <c:v>42594</c:v>
                </c:pt>
                <c:pt idx="58">
                  <c:v>42593</c:v>
                </c:pt>
                <c:pt idx="59">
                  <c:v>42592</c:v>
                </c:pt>
                <c:pt idx="60">
                  <c:v>42591</c:v>
                </c:pt>
                <c:pt idx="61">
                  <c:v>42590</c:v>
                </c:pt>
                <c:pt idx="62">
                  <c:v>42587</c:v>
                </c:pt>
                <c:pt idx="63">
                  <c:v>42586</c:v>
                </c:pt>
                <c:pt idx="64">
                  <c:v>42585</c:v>
                </c:pt>
                <c:pt idx="65">
                  <c:v>42584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277.26</c:v>
                </c:pt>
                <c:pt idx="1">
                  <c:v>282.56</c:v>
                </c:pt>
                <c:pt idx="2">
                  <c:v>280.18</c:v>
                </c:pt>
                <c:pt idx="3">
                  <c:v>283.64</c:v>
                </c:pt>
                <c:pt idx="4">
                  <c:v>290.89</c:v>
                </c:pt>
                <c:pt idx="5">
                  <c:v>296.45999999999998</c:v>
                </c:pt>
                <c:pt idx="6">
                  <c:v>286</c:v>
                </c:pt>
                <c:pt idx="7">
                  <c:v>290.77999999999997</c:v>
                </c:pt>
                <c:pt idx="8">
                  <c:v>290.64999999999998</c:v>
                </c:pt>
                <c:pt idx="9">
                  <c:v>299.66000000000003</c:v>
                </c:pt>
                <c:pt idx="10">
                  <c:v>295.14</c:v>
                </c:pt>
                <c:pt idx="11">
                  <c:v>295.05</c:v>
                </c:pt>
                <c:pt idx="12">
                  <c:v>291.67</c:v>
                </c:pt>
                <c:pt idx="13">
                  <c:v>290.5</c:v>
                </c:pt>
                <c:pt idx="14">
                  <c:v>294.41000000000003</c:v>
                </c:pt>
                <c:pt idx="15">
                  <c:v>291.88</c:v>
                </c:pt>
                <c:pt idx="16">
                  <c:v>298.3</c:v>
                </c:pt>
                <c:pt idx="17">
                  <c:v>304.58999999999997</c:v>
                </c:pt>
                <c:pt idx="18">
                  <c:v>305.58999999999997</c:v>
                </c:pt>
                <c:pt idx="19">
                  <c:v>305.99</c:v>
                </c:pt>
                <c:pt idx="20">
                  <c:v>309.7</c:v>
                </c:pt>
                <c:pt idx="21">
                  <c:v>311.48</c:v>
                </c:pt>
                <c:pt idx="22">
                  <c:v>311.58999999999997</c:v>
                </c:pt>
                <c:pt idx="23">
                  <c:v>313.02999999999997</c:v>
                </c:pt>
                <c:pt idx="24">
                  <c:v>305.77999999999997</c:v>
                </c:pt>
                <c:pt idx="25">
                  <c:v>310.55</c:v>
                </c:pt>
                <c:pt idx="26">
                  <c:v>314.52999999999997</c:v>
                </c:pt>
                <c:pt idx="27">
                  <c:v>309.82</c:v>
                </c:pt>
                <c:pt idx="28">
                  <c:v>312.58</c:v>
                </c:pt>
                <c:pt idx="29">
                  <c:v>314.81</c:v>
                </c:pt>
                <c:pt idx="30">
                  <c:v>312</c:v>
                </c:pt>
                <c:pt idx="31">
                  <c:v>307.05</c:v>
                </c:pt>
                <c:pt idx="32">
                  <c:v>303.5</c:v>
                </c:pt>
                <c:pt idx="33">
                  <c:v>304.51</c:v>
                </c:pt>
                <c:pt idx="34">
                  <c:v>302.82</c:v>
                </c:pt>
                <c:pt idx="35">
                  <c:v>299.79000000000002</c:v>
                </c:pt>
                <c:pt idx="36">
                  <c:v>297.41000000000003</c:v>
                </c:pt>
                <c:pt idx="37">
                  <c:v>302.66000000000003</c:v>
                </c:pt>
                <c:pt idx="38">
                  <c:v>296.10000000000002</c:v>
                </c:pt>
                <c:pt idx="39">
                  <c:v>307.73</c:v>
                </c:pt>
                <c:pt idx="40">
                  <c:v>312.3</c:v>
                </c:pt>
                <c:pt idx="41">
                  <c:v>310.67</c:v>
                </c:pt>
                <c:pt idx="42">
                  <c:v>313.58999999999997</c:v>
                </c:pt>
                <c:pt idx="43">
                  <c:v>306.02999999999997</c:v>
                </c:pt>
                <c:pt idx="44">
                  <c:v>305.63</c:v>
                </c:pt>
                <c:pt idx="45">
                  <c:v>307.86</c:v>
                </c:pt>
                <c:pt idx="46">
                  <c:v>306.13</c:v>
                </c:pt>
                <c:pt idx="47">
                  <c:v>308.17</c:v>
                </c:pt>
                <c:pt idx="48">
                  <c:v>306.85000000000002</c:v>
                </c:pt>
                <c:pt idx="49">
                  <c:v>309.33</c:v>
                </c:pt>
                <c:pt idx="50">
                  <c:v>318.17</c:v>
                </c:pt>
                <c:pt idx="51">
                  <c:v>316.81</c:v>
                </c:pt>
                <c:pt idx="52">
                  <c:v>316.81</c:v>
                </c:pt>
                <c:pt idx="53">
                  <c:v>313.38</c:v>
                </c:pt>
                <c:pt idx="54">
                  <c:v>313.82</c:v>
                </c:pt>
                <c:pt idx="55">
                  <c:v>313.42</c:v>
                </c:pt>
                <c:pt idx="56">
                  <c:v>313.39</c:v>
                </c:pt>
                <c:pt idx="57">
                  <c:v>313.94</c:v>
                </c:pt>
                <c:pt idx="58">
                  <c:v>314.49</c:v>
                </c:pt>
                <c:pt idx="59">
                  <c:v>308.87</c:v>
                </c:pt>
                <c:pt idx="60">
                  <c:v>314.42</c:v>
                </c:pt>
                <c:pt idx="61">
                  <c:v>313.64999999999998</c:v>
                </c:pt>
                <c:pt idx="62">
                  <c:v>315.95999999999998</c:v>
                </c:pt>
                <c:pt idx="63">
                  <c:v>314.56</c:v>
                </c:pt>
                <c:pt idx="64">
                  <c:v>321.33999999999997</c:v>
                </c:pt>
                <c:pt idx="65">
                  <c:v>330.11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032368"/>
        <c:axId val="511035896"/>
      </c:lineChart>
      <c:dateAx>
        <c:axId val="511032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035896"/>
        <c:crosses val="autoZero"/>
        <c:auto val="1"/>
        <c:lblOffset val="100"/>
        <c:baseTimeUnit val="days"/>
      </c:dateAx>
      <c:valAx>
        <c:axId val="511035896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032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42676</c:v>
                </c:pt>
                <c:pt idx="1">
                  <c:v>42675</c:v>
                </c:pt>
                <c:pt idx="2">
                  <c:v>42674</c:v>
                </c:pt>
                <c:pt idx="3">
                  <c:v>42671</c:v>
                </c:pt>
                <c:pt idx="4">
                  <c:v>42670</c:v>
                </c:pt>
                <c:pt idx="5">
                  <c:v>42669</c:v>
                </c:pt>
                <c:pt idx="6">
                  <c:v>42668</c:v>
                </c:pt>
                <c:pt idx="7">
                  <c:v>42667</c:v>
                </c:pt>
                <c:pt idx="8">
                  <c:v>42664</c:v>
                </c:pt>
                <c:pt idx="9">
                  <c:v>42663</c:v>
                </c:pt>
                <c:pt idx="10">
                  <c:v>42662</c:v>
                </c:pt>
                <c:pt idx="11">
                  <c:v>42661</c:v>
                </c:pt>
                <c:pt idx="12">
                  <c:v>42660</c:v>
                </c:pt>
                <c:pt idx="13">
                  <c:v>42657</c:v>
                </c:pt>
                <c:pt idx="14">
                  <c:v>42656</c:v>
                </c:pt>
                <c:pt idx="15">
                  <c:v>42655</c:v>
                </c:pt>
                <c:pt idx="16">
                  <c:v>42654</c:v>
                </c:pt>
                <c:pt idx="17">
                  <c:v>42653</c:v>
                </c:pt>
                <c:pt idx="18">
                  <c:v>42650</c:v>
                </c:pt>
                <c:pt idx="19">
                  <c:v>42649</c:v>
                </c:pt>
                <c:pt idx="20">
                  <c:v>42648</c:v>
                </c:pt>
                <c:pt idx="21">
                  <c:v>42647</c:v>
                </c:pt>
                <c:pt idx="22">
                  <c:v>42646</c:v>
                </c:pt>
                <c:pt idx="23">
                  <c:v>42643</c:v>
                </c:pt>
                <c:pt idx="24">
                  <c:v>42642</c:v>
                </c:pt>
                <c:pt idx="25">
                  <c:v>42641</c:v>
                </c:pt>
                <c:pt idx="26">
                  <c:v>42640</c:v>
                </c:pt>
                <c:pt idx="27">
                  <c:v>42639</c:v>
                </c:pt>
                <c:pt idx="28">
                  <c:v>42636</c:v>
                </c:pt>
                <c:pt idx="29">
                  <c:v>42635</c:v>
                </c:pt>
                <c:pt idx="30">
                  <c:v>42634</c:v>
                </c:pt>
                <c:pt idx="31">
                  <c:v>42633</c:v>
                </c:pt>
                <c:pt idx="32">
                  <c:v>42632</c:v>
                </c:pt>
                <c:pt idx="33">
                  <c:v>42629</c:v>
                </c:pt>
                <c:pt idx="34">
                  <c:v>42628</c:v>
                </c:pt>
                <c:pt idx="35">
                  <c:v>42627</c:v>
                </c:pt>
                <c:pt idx="36">
                  <c:v>42626</c:v>
                </c:pt>
                <c:pt idx="37">
                  <c:v>42625</c:v>
                </c:pt>
                <c:pt idx="38">
                  <c:v>42622</c:v>
                </c:pt>
                <c:pt idx="39">
                  <c:v>42621</c:v>
                </c:pt>
                <c:pt idx="40">
                  <c:v>42620</c:v>
                </c:pt>
                <c:pt idx="41">
                  <c:v>42619</c:v>
                </c:pt>
                <c:pt idx="42">
                  <c:v>42615</c:v>
                </c:pt>
                <c:pt idx="43">
                  <c:v>42614</c:v>
                </c:pt>
                <c:pt idx="44">
                  <c:v>42613</c:v>
                </c:pt>
                <c:pt idx="45">
                  <c:v>42612</c:v>
                </c:pt>
                <c:pt idx="46">
                  <c:v>42611</c:v>
                </c:pt>
                <c:pt idx="47">
                  <c:v>42608</c:v>
                </c:pt>
                <c:pt idx="48">
                  <c:v>42607</c:v>
                </c:pt>
                <c:pt idx="49">
                  <c:v>42606</c:v>
                </c:pt>
                <c:pt idx="50">
                  <c:v>42605</c:v>
                </c:pt>
                <c:pt idx="51">
                  <c:v>42604</c:v>
                </c:pt>
                <c:pt idx="52">
                  <c:v>42601</c:v>
                </c:pt>
                <c:pt idx="53">
                  <c:v>42600</c:v>
                </c:pt>
                <c:pt idx="54">
                  <c:v>42599</c:v>
                </c:pt>
                <c:pt idx="55">
                  <c:v>42598</c:v>
                </c:pt>
                <c:pt idx="56">
                  <c:v>42597</c:v>
                </c:pt>
                <c:pt idx="57">
                  <c:v>42594</c:v>
                </c:pt>
                <c:pt idx="58">
                  <c:v>42593</c:v>
                </c:pt>
                <c:pt idx="59">
                  <c:v>42592</c:v>
                </c:pt>
                <c:pt idx="60">
                  <c:v>42591</c:v>
                </c:pt>
                <c:pt idx="61">
                  <c:v>42590</c:v>
                </c:pt>
                <c:pt idx="62">
                  <c:v>42587</c:v>
                </c:pt>
                <c:pt idx="63">
                  <c:v>42586</c:v>
                </c:pt>
                <c:pt idx="64">
                  <c:v>42585</c:v>
                </c:pt>
                <c:pt idx="65">
                  <c:v>42584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36.67</c:v>
                </c:pt>
                <c:pt idx="1">
                  <c:v>37.159999999999997</c:v>
                </c:pt>
                <c:pt idx="2">
                  <c:v>36.5</c:v>
                </c:pt>
                <c:pt idx="3">
                  <c:v>37.19</c:v>
                </c:pt>
                <c:pt idx="4">
                  <c:v>38.020000000000003</c:v>
                </c:pt>
                <c:pt idx="5">
                  <c:v>38.08</c:v>
                </c:pt>
                <c:pt idx="6">
                  <c:v>38.68</c:v>
                </c:pt>
                <c:pt idx="7">
                  <c:v>37.56</c:v>
                </c:pt>
                <c:pt idx="8">
                  <c:v>37.020000000000003</c:v>
                </c:pt>
                <c:pt idx="9">
                  <c:v>37.61</c:v>
                </c:pt>
                <c:pt idx="10">
                  <c:v>37.200000000000003</c:v>
                </c:pt>
                <c:pt idx="11">
                  <c:v>37.39</c:v>
                </c:pt>
                <c:pt idx="12">
                  <c:v>36.44</c:v>
                </c:pt>
                <c:pt idx="13">
                  <c:v>36.49</c:v>
                </c:pt>
                <c:pt idx="14">
                  <c:v>37.880000000000003</c:v>
                </c:pt>
                <c:pt idx="15">
                  <c:v>37.07</c:v>
                </c:pt>
                <c:pt idx="16">
                  <c:v>38.31</c:v>
                </c:pt>
                <c:pt idx="17">
                  <c:v>38.869999999999997</c:v>
                </c:pt>
                <c:pt idx="18">
                  <c:v>35.94</c:v>
                </c:pt>
                <c:pt idx="19">
                  <c:v>36.840000000000003</c:v>
                </c:pt>
                <c:pt idx="20">
                  <c:v>38.03</c:v>
                </c:pt>
                <c:pt idx="21">
                  <c:v>37.97</c:v>
                </c:pt>
                <c:pt idx="22">
                  <c:v>38.200000000000003</c:v>
                </c:pt>
                <c:pt idx="23">
                  <c:v>38.119999999999997</c:v>
                </c:pt>
                <c:pt idx="24">
                  <c:v>38.47</c:v>
                </c:pt>
                <c:pt idx="25">
                  <c:v>40.22</c:v>
                </c:pt>
                <c:pt idx="26">
                  <c:v>41.31</c:v>
                </c:pt>
                <c:pt idx="27">
                  <c:v>41.18</c:v>
                </c:pt>
                <c:pt idx="28">
                  <c:v>42.06</c:v>
                </c:pt>
                <c:pt idx="29">
                  <c:v>42.59</c:v>
                </c:pt>
                <c:pt idx="30">
                  <c:v>41.91</c:v>
                </c:pt>
                <c:pt idx="31">
                  <c:v>41.26</c:v>
                </c:pt>
                <c:pt idx="32">
                  <c:v>41.49</c:v>
                </c:pt>
                <c:pt idx="33">
                  <c:v>41.79</c:v>
                </c:pt>
                <c:pt idx="34">
                  <c:v>41.49</c:v>
                </c:pt>
                <c:pt idx="35">
                  <c:v>40.840000000000003</c:v>
                </c:pt>
                <c:pt idx="36">
                  <c:v>40.909999999999997</c:v>
                </c:pt>
                <c:pt idx="37">
                  <c:v>41.33</c:v>
                </c:pt>
                <c:pt idx="38">
                  <c:v>39.89</c:v>
                </c:pt>
                <c:pt idx="39">
                  <c:v>40.57</c:v>
                </c:pt>
                <c:pt idx="40">
                  <c:v>40.31</c:v>
                </c:pt>
                <c:pt idx="41">
                  <c:v>40.4</c:v>
                </c:pt>
                <c:pt idx="42">
                  <c:v>39.97</c:v>
                </c:pt>
                <c:pt idx="43">
                  <c:v>41.92</c:v>
                </c:pt>
                <c:pt idx="44">
                  <c:v>42.36</c:v>
                </c:pt>
                <c:pt idx="45">
                  <c:v>42.75</c:v>
                </c:pt>
                <c:pt idx="46">
                  <c:v>43.22</c:v>
                </c:pt>
                <c:pt idx="47">
                  <c:v>43.03</c:v>
                </c:pt>
                <c:pt idx="48">
                  <c:v>42.85</c:v>
                </c:pt>
                <c:pt idx="49">
                  <c:v>43.15</c:v>
                </c:pt>
                <c:pt idx="50">
                  <c:v>45.62</c:v>
                </c:pt>
                <c:pt idx="51">
                  <c:v>47.9</c:v>
                </c:pt>
                <c:pt idx="52">
                  <c:v>48.66</c:v>
                </c:pt>
                <c:pt idx="53">
                  <c:v>49.32</c:v>
                </c:pt>
                <c:pt idx="54">
                  <c:v>48.9</c:v>
                </c:pt>
                <c:pt idx="55">
                  <c:v>48.53</c:v>
                </c:pt>
                <c:pt idx="56">
                  <c:v>48.75</c:v>
                </c:pt>
                <c:pt idx="57">
                  <c:v>48.46</c:v>
                </c:pt>
                <c:pt idx="58">
                  <c:v>48.71</c:v>
                </c:pt>
                <c:pt idx="59">
                  <c:v>48.79</c:v>
                </c:pt>
                <c:pt idx="60">
                  <c:v>49.92</c:v>
                </c:pt>
                <c:pt idx="61">
                  <c:v>48.53</c:v>
                </c:pt>
                <c:pt idx="62">
                  <c:v>48.46</c:v>
                </c:pt>
                <c:pt idx="63">
                  <c:v>48.55</c:v>
                </c:pt>
                <c:pt idx="64">
                  <c:v>48.41</c:v>
                </c:pt>
                <c:pt idx="65">
                  <c:v>46.53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037072"/>
        <c:axId val="511026488"/>
      </c:lineChart>
      <c:dateAx>
        <c:axId val="511037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026488"/>
        <c:crosses val="autoZero"/>
        <c:auto val="1"/>
        <c:lblOffset val="100"/>
        <c:baseTimeUnit val="days"/>
      </c:dateAx>
      <c:valAx>
        <c:axId val="511026488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037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42676</c:v>
                </c:pt>
                <c:pt idx="1">
                  <c:v>42675</c:v>
                </c:pt>
                <c:pt idx="2">
                  <c:v>42674</c:v>
                </c:pt>
                <c:pt idx="3">
                  <c:v>42671</c:v>
                </c:pt>
                <c:pt idx="4">
                  <c:v>42670</c:v>
                </c:pt>
                <c:pt idx="5">
                  <c:v>42669</c:v>
                </c:pt>
                <c:pt idx="6">
                  <c:v>42669</c:v>
                </c:pt>
                <c:pt idx="7">
                  <c:v>42668</c:v>
                </c:pt>
                <c:pt idx="8">
                  <c:v>42667</c:v>
                </c:pt>
                <c:pt idx="9">
                  <c:v>42664</c:v>
                </c:pt>
                <c:pt idx="10">
                  <c:v>42663</c:v>
                </c:pt>
                <c:pt idx="11">
                  <c:v>42662</c:v>
                </c:pt>
                <c:pt idx="12">
                  <c:v>42661</c:v>
                </c:pt>
                <c:pt idx="13">
                  <c:v>42660</c:v>
                </c:pt>
                <c:pt idx="14">
                  <c:v>42657</c:v>
                </c:pt>
                <c:pt idx="15">
                  <c:v>42656</c:v>
                </c:pt>
                <c:pt idx="16">
                  <c:v>42655</c:v>
                </c:pt>
                <c:pt idx="17">
                  <c:v>42654</c:v>
                </c:pt>
                <c:pt idx="18">
                  <c:v>42653</c:v>
                </c:pt>
                <c:pt idx="19">
                  <c:v>42650</c:v>
                </c:pt>
                <c:pt idx="20">
                  <c:v>42649</c:v>
                </c:pt>
                <c:pt idx="21">
                  <c:v>42648</c:v>
                </c:pt>
                <c:pt idx="22">
                  <c:v>42647</c:v>
                </c:pt>
                <c:pt idx="23">
                  <c:v>42646</c:v>
                </c:pt>
                <c:pt idx="24">
                  <c:v>42643</c:v>
                </c:pt>
                <c:pt idx="25">
                  <c:v>42642</c:v>
                </c:pt>
                <c:pt idx="26">
                  <c:v>42641</c:v>
                </c:pt>
                <c:pt idx="27">
                  <c:v>42640</c:v>
                </c:pt>
                <c:pt idx="28">
                  <c:v>42639</c:v>
                </c:pt>
                <c:pt idx="29">
                  <c:v>42636</c:v>
                </c:pt>
                <c:pt idx="30">
                  <c:v>42635</c:v>
                </c:pt>
                <c:pt idx="31">
                  <c:v>42634</c:v>
                </c:pt>
                <c:pt idx="32">
                  <c:v>42633</c:v>
                </c:pt>
                <c:pt idx="33">
                  <c:v>42632</c:v>
                </c:pt>
                <c:pt idx="34">
                  <c:v>42629</c:v>
                </c:pt>
                <c:pt idx="35">
                  <c:v>42628</c:v>
                </c:pt>
                <c:pt idx="36">
                  <c:v>42627</c:v>
                </c:pt>
                <c:pt idx="37">
                  <c:v>42626</c:v>
                </c:pt>
                <c:pt idx="38">
                  <c:v>42625</c:v>
                </c:pt>
                <c:pt idx="39">
                  <c:v>42622</c:v>
                </c:pt>
                <c:pt idx="40">
                  <c:v>42621</c:v>
                </c:pt>
                <c:pt idx="41">
                  <c:v>42620</c:v>
                </c:pt>
                <c:pt idx="42">
                  <c:v>42619</c:v>
                </c:pt>
                <c:pt idx="43">
                  <c:v>42615</c:v>
                </c:pt>
                <c:pt idx="44">
                  <c:v>42614</c:v>
                </c:pt>
                <c:pt idx="45">
                  <c:v>42613</c:v>
                </c:pt>
                <c:pt idx="46">
                  <c:v>42612</c:v>
                </c:pt>
                <c:pt idx="47">
                  <c:v>42611</c:v>
                </c:pt>
                <c:pt idx="48">
                  <c:v>42608</c:v>
                </c:pt>
                <c:pt idx="49">
                  <c:v>42607</c:v>
                </c:pt>
                <c:pt idx="50">
                  <c:v>42606</c:v>
                </c:pt>
                <c:pt idx="51">
                  <c:v>42605</c:v>
                </c:pt>
                <c:pt idx="52">
                  <c:v>42604</c:v>
                </c:pt>
                <c:pt idx="53">
                  <c:v>42601</c:v>
                </c:pt>
                <c:pt idx="54">
                  <c:v>42600</c:v>
                </c:pt>
                <c:pt idx="55">
                  <c:v>42599</c:v>
                </c:pt>
                <c:pt idx="56">
                  <c:v>42598</c:v>
                </c:pt>
                <c:pt idx="57">
                  <c:v>42597</c:v>
                </c:pt>
                <c:pt idx="58">
                  <c:v>42594</c:v>
                </c:pt>
                <c:pt idx="59">
                  <c:v>42593</c:v>
                </c:pt>
                <c:pt idx="60">
                  <c:v>42592</c:v>
                </c:pt>
                <c:pt idx="61">
                  <c:v>42591</c:v>
                </c:pt>
                <c:pt idx="62">
                  <c:v>42590</c:v>
                </c:pt>
                <c:pt idx="63">
                  <c:v>42587</c:v>
                </c:pt>
                <c:pt idx="64">
                  <c:v>42586</c:v>
                </c:pt>
                <c:pt idx="65">
                  <c:v>42585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80.2</c:v>
                </c:pt>
                <c:pt idx="1">
                  <c:v>80.72</c:v>
                </c:pt>
                <c:pt idx="2">
                  <c:v>81.260000000000005</c:v>
                </c:pt>
                <c:pt idx="3">
                  <c:v>80.41</c:v>
                </c:pt>
                <c:pt idx="4">
                  <c:v>80.16</c:v>
                </c:pt>
                <c:pt idx="5">
                  <c:v>82.46</c:v>
                </c:pt>
                <c:pt idx="7">
                  <c:v>81.16</c:v>
                </c:pt>
                <c:pt idx="8">
                  <c:v>79.72</c:v>
                </c:pt>
                <c:pt idx="9">
                  <c:v>80.010000000000005</c:v>
                </c:pt>
                <c:pt idx="10">
                  <c:v>80.930000000000007</c:v>
                </c:pt>
                <c:pt idx="11">
                  <c:v>80.900000000000006</c:v>
                </c:pt>
                <c:pt idx="12">
                  <c:v>80.400000000000006</c:v>
                </c:pt>
                <c:pt idx="13">
                  <c:v>79.680000000000007</c:v>
                </c:pt>
                <c:pt idx="14">
                  <c:v>81.05</c:v>
                </c:pt>
                <c:pt idx="15">
                  <c:v>81.05</c:v>
                </c:pt>
                <c:pt idx="16">
                  <c:v>81.06</c:v>
                </c:pt>
                <c:pt idx="17">
                  <c:v>80.400000000000006</c:v>
                </c:pt>
                <c:pt idx="18">
                  <c:v>81.56</c:v>
                </c:pt>
                <c:pt idx="19">
                  <c:v>80.069999999999993</c:v>
                </c:pt>
                <c:pt idx="20">
                  <c:v>81.53</c:v>
                </c:pt>
                <c:pt idx="21">
                  <c:v>81.430000000000007</c:v>
                </c:pt>
                <c:pt idx="22">
                  <c:v>77.819999999999993</c:v>
                </c:pt>
                <c:pt idx="23">
                  <c:v>75.72</c:v>
                </c:pt>
                <c:pt idx="24">
                  <c:v>74.53</c:v>
                </c:pt>
                <c:pt idx="25">
                  <c:v>73.16</c:v>
                </c:pt>
                <c:pt idx="26">
                  <c:v>74.900000000000006</c:v>
                </c:pt>
                <c:pt idx="27">
                  <c:v>74.69</c:v>
                </c:pt>
                <c:pt idx="28">
                  <c:v>76.31</c:v>
                </c:pt>
                <c:pt idx="29">
                  <c:v>78.97</c:v>
                </c:pt>
                <c:pt idx="30">
                  <c:v>77.27</c:v>
                </c:pt>
                <c:pt idx="31">
                  <c:v>75.81</c:v>
                </c:pt>
                <c:pt idx="32">
                  <c:v>75.52</c:v>
                </c:pt>
                <c:pt idx="33">
                  <c:v>77.2</c:v>
                </c:pt>
                <c:pt idx="34">
                  <c:v>77.77</c:v>
                </c:pt>
                <c:pt idx="35">
                  <c:v>79</c:v>
                </c:pt>
                <c:pt idx="36">
                  <c:v>79.19</c:v>
                </c:pt>
                <c:pt idx="37">
                  <c:v>78.97</c:v>
                </c:pt>
                <c:pt idx="38">
                  <c:v>78.540000000000006</c:v>
                </c:pt>
                <c:pt idx="39">
                  <c:v>76.900000000000006</c:v>
                </c:pt>
                <c:pt idx="40">
                  <c:v>81.77</c:v>
                </c:pt>
                <c:pt idx="41">
                  <c:v>82.48</c:v>
                </c:pt>
                <c:pt idx="42">
                  <c:v>81.099999999999994</c:v>
                </c:pt>
                <c:pt idx="43">
                  <c:v>82</c:v>
                </c:pt>
                <c:pt idx="44">
                  <c:v>80.63</c:v>
                </c:pt>
                <c:pt idx="45">
                  <c:v>81.98</c:v>
                </c:pt>
                <c:pt idx="46">
                  <c:v>79.930000000000007</c:v>
                </c:pt>
                <c:pt idx="47">
                  <c:v>80.180000000000007</c:v>
                </c:pt>
                <c:pt idx="48">
                  <c:v>80.650000000000006</c:v>
                </c:pt>
                <c:pt idx="49">
                  <c:v>83.44</c:v>
                </c:pt>
                <c:pt idx="50">
                  <c:v>95.5</c:v>
                </c:pt>
                <c:pt idx="51">
                  <c:v>94.99</c:v>
                </c:pt>
                <c:pt idx="52">
                  <c:v>92.41</c:v>
                </c:pt>
                <c:pt idx="53">
                  <c:v>93.05</c:v>
                </c:pt>
                <c:pt idx="54">
                  <c:v>92.94</c:v>
                </c:pt>
                <c:pt idx="55">
                  <c:v>90.96</c:v>
                </c:pt>
                <c:pt idx="56">
                  <c:v>92.43</c:v>
                </c:pt>
                <c:pt idx="57">
                  <c:v>92.67</c:v>
                </c:pt>
                <c:pt idx="58">
                  <c:v>91.22</c:v>
                </c:pt>
                <c:pt idx="59">
                  <c:v>90.62</c:v>
                </c:pt>
                <c:pt idx="60">
                  <c:v>87.07</c:v>
                </c:pt>
                <c:pt idx="61">
                  <c:v>87.67</c:v>
                </c:pt>
                <c:pt idx="62">
                  <c:v>87.9</c:v>
                </c:pt>
                <c:pt idx="63">
                  <c:v>87</c:v>
                </c:pt>
                <c:pt idx="64">
                  <c:v>86.21</c:v>
                </c:pt>
                <c:pt idx="65">
                  <c:v>84.39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035504"/>
        <c:axId val="511029232"/>
      </c:lineChart>
      <c:dateAx>
        <c:axId val="511035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029232"/>
        <c:crosses val="autoZero"/>
        <c:auto val="1"/>
        <c:lblOffset val="100"/>
        <c:baseTimeUnit val="days"/>
      </c:dateAx>
      <c:valAx>
        <c:axId val="51102923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035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42676</c:v>
                </c:pt>
                <c:pt idx="1">
                  <c:v>42675</c:v>
                </c:pt>
                <c:pt idx="2">
                  <c:v>42674</c:v>
                </c:pt>
                <c:pt idx="3">
                  <c:v>42671</c:v>
                </c:pt>
                <c:pt idx="4">
                  <c:v>42670</c:v>
                </c:pt>
                <c:pt idx="5">
                  <c:v>42669</c:v>
                </c:pt>
                <c:pt idx="6">
                  <c:v>42668</c:v>
                </c:pt>
                <c:pt idx="7">
                  <c:v>42667</c:v>
                </c:pt>
                <c:pt idx="8">
                  <c:v>42664</c:v>
                </c:pt>
                <c:pt idx="9">
                  <c:v>42663</c:v>
                </c:pt>
                <c:pt idx="10">
                  <c:v>42662</c:v>
                </c:pt>
                <c:pt idx="11">
                  <c:v>42661</c:v>
                </c:pt>
                <c:pt idx="12">
                  <c:v>42660</c:v>
                </c:pt>
                <c:pt idx="13">
                  <c:v>42657</c:v>
                </c:pt>
                <c:pt idx="14">
                  <c:v>42656</c:v>
                </c:pt>
                <c:pt idx="15">
                  <c:v>42655</c:v>
                </c:pt>
                <c:pt idx="16">
                  <c:v>42654</c:v>
                </c:pt>
                <c:pt idx="17">
                  <c:v>42653</c:v>
                </c:pt>
                <c:pt idx="18">
                  <c:v>42650</c:v>
                </c:pt>
                <c:pt idx="19">
                  <c:v>42649</c:v>
                </c:pt>
                <c:pt idx="20">
                  <c:v>42648</c:v>
                </c:pt>
                <c:pt idx="21">
                  <c:v>42647</c:v>
                </c:pt>
                <c:pt idx="22">
                  <c:v>42646</c:v>
                </c:pt>
                <c:pt idx="23">
                  <c:v>42643</c:v>
                </c:pt>
                <c:pt idx="24">
                  <c:v>42642</c:v>
                </c:pt>
                <c:pt idx="25">
                  <c:v>42641</c:v>
                </c:pt>
                <c:pt idx="26">
                  <c:v>42640</c:v>
                </c:pt>
                <c:pt idx="27">
                  <c:v>42639</c:v>
                </c:pt>
                <c:pt idx="28">
                  <c:v>42636</c:v>
                </c:pt>
                <c:pt idx="29">
                  <c:v>42635</c:v>
                </c:pt>
                <c:pt idx="30">
                  <c:v>42634</c:v>
                </c:pt>
                <c:pt idx="31">
                  <c:v>42633</c:v>
                </c:pt>
                <c:pt idx="32">
                  <c:v>42632</c:v>
                </c:pt>
                <c:pt idx="33">
                  <c:v>42629</c:v>
                </c:pt>
                <c:pt idx="34">
                  <c:v>42628</c:v>
                </c:pt>
                <c:pt idx="35">
                  <c:v>42627</c:v>
                </c:pt>
                <c:pt idx="36">
                  <c:v>42626</c:v>
                </c:pt>
                <c:pt idx="37">
                  <c:v>42625</c:v>
                </c:pt>
                <c:pt idx="38">
                  <c:v>42622</c:v>
                </c:pt>
                <c:pt idx="39">
                  <c:v>42621</c:v>
                </c:pt>
                <c:pt idx="40">
                  <c:v>42620</c:v>
                </c:pt>
                <c:pt idx="41">
                  <c:v>42619</c:v>
                </c:pt>
                <c:pt idx="42">
                  <c:v>42615</c:v>
                </c:pt>
                <c:pt idx="43">
                  <c:v>42614</c:v>
                </c:pt>
                <c:pt idx="44">
                  <c:v>42613</c:v>
                </c:pt>
                <c:pt idx="45">
                  <c:v>42612</c:v>
                </c:pt>
                <c:pt idx="46">
                  <c:v>42611</c:v>
                </c:pt>
                <c:pt idx="47">
                  <c:v>42608</c:v>
                </c:pt>
                <c:pt idx="48">
                  <c:v>42607</c:v>
                </c:pt>
                <c:pt idx="49">
                  <c:v>42606</c:v>
                </c:pt>
                <c:pt idx="50">
                  <c:v>42605</c:v>
                </c:pt>
                <c:pt idx="51">
                  <c:v>42604</c:v>
                </c:pt>
                <c:pt idx="52">
                  <c:v>42601</c:v>
                </c:pt>
                <c:pt idx="53">
                  <c:v>42600</c:v>
                </c:pt>
                <c:pt idx="54">
                  <c:v>42599</c:v>
                </c:pt>
                <c:pt idx="55">
                  <c:v>42598</c:v>
                </c:pt>
                <c:pt idx="56">
                  <c:v>42597</c:v>
                </c:pt>
                <c:pt idx="57">
                  <c:v>42594</c:v>
                </c:pt>
                <c:pt idx="58">
                  <c:v>42593</c:v>
                </c:pt>
                <c:pt idx="59">
                  <c:v>42592</c:v>
                </c:pt>
                <c:pt idx="60">
                  <c:v>42591</c:v>
                </c:pt>
                <c:pt idx="61">
                  <c:v>42590</c:v>
                </c:pt>
                <c:pt idx="62">
                  <c:v>42587</c:v>
                </c:pt>
                <c:pt idx="63">
                  <c:v>42586</c:v>
                </c:pt>
                <c:pt idx="64">
                  <c:v>42586</c:v>
                </c:pt>
                <c:pt idx="65">
                  <c:v>42585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111.59</c:v>
                </c:pt>
                <c:pt idx="1">
                  <c:v>111.49</c:v>
                </c:pt>
                <c:pt idx="2">
                  <c:v>113.54</c:v>
                </c:pt>
                <c:pt idx="3">
                  <c:v>113.72</c:v>
                </c:pt>
                <c:pt idx="4">
                  <c:v>114.48</c:v>
                </c:pt>
                <c:pt idx="5">
                  <c:v>115.59</c:v>
                </c:pt>
                <c:pt idx="6">
                  <c:v>118.25</c:v>
                </c:pt>
                <c:pt idx="7">
                  <c:v>117.65</c:v>
                </c:pt>
                <c:pt idx="8">
                  <c:v>116.6</c:v>
                </c:pt>
                <c:pt idx="9">
                  <c:v>117.06</c:v>
                </c:pt>
                <c:pt idx="10">
                  <c:v>117.12</c:v>
                </c:pt>
                <c:pt idx="11">
                  <c:v>117.47</c:v>
                </c:pt>
                <c:pt idx="12">
                  <c:v>117.55</c:v>
                </c:pt>
                <c:pt idx="13">
                  <c:v>117.63</c:v>
                </c:pt>
                <c:pt idx="14">
                  <c:v>116.98</c:v>
                </c:pt>
                <c:pt idx="15">
                  <c:v>117.34</c:v>
                </c:pt>
                <c:pt idx="16">
                  <c:v>116.3</c:v>
                </c:pt>
                <c:pt idx="17">
                  <c:v>116.05</c:v>
                </c:pt>
                <c:pt idx="18">
                  <c:v>114.06</c:v>
                </c:pt>
                <c:pt idx="19">
                  <c:v>113.89</c:v>
                </c:pt>
                <c:pt idx="20">
                  <c:v>113.05</c:v>
                </c:pt>
                <c:pt idx="21">
                  <c:v>113</c:v>
                </c:pt>
                <c:pt idx="22">
                  <c:v>112.52</c:v>
                </c:pt>
                <c:pt idx="23">
                  <c:v>113.05</c:v>
                </c:pt>
                <c:pt idx="24">
                  <c:v>112.18</c:v>
                </c:pt>
                <c:pt idx="25">
                  <c:v>113.95</c:v>
                </c:pt>
                <c:pt idx="26">
                  <c:v>113.09</c:v>
                </c:pt>
                <c:pt idx="27">
                  <c:v>112.88</c:v>
                </c:pt>
                <c:pt idx="28">
                  <c:v>112.71</c:v>
                </c:pt>
                <c:pt idx="29">
                  <c:v>114.62</c:v>
                </c:pt>
                <c:pt idx="30">
                  <c:v>113.55</c:v>
                </c:pt>
                <c:pt idx="31">
                  <c:v>113.57</c:v>
                </c:pt>
                <c:pt idx="32">
                  <c:v>113.58</c:v>
                </c:pt>
                <c:pt idx="33">
                  <c:v>114.92</c:v>
                </c:pt>
                <c:pt idx="34">
                  <c:v>115.57</c:v>
                </c:pt>
                <c:pt idx="35">
                  <c:v>111.77</c:v>
                </c:pt>
                <c:pt idx="36">
                  <c:v>107.95</c:v>
                </c:pt>
                <c:pt idx="37">
                  <c:v>105.44</c:v>
                </c:pt>
                <c:pt idx="38">
                  <c:v>103.13</c:v>
                </c:pt>
                <c:pt idx="39">
                  <c:v>105.52</c:v>
                </c:pt>
                <c:pt idx="40">
                  <c:v>108.36</c:v>
                </c:pt>
                <c:pt idx="41">
                  <c:v>107.7</c:v>
                </c:pt>
                <c:pt idx="42">
                  <c:v>107.73</c:v>
                </c:pt>
                <c:pt idx="43">
                  <c:v>106.73</c:v>
                </c:pt>
                <c:pt idx="44">
                  <c:v>106.1</c:v>
                </c:pt>
                <c:pt idx="45">
                  <c:v>106</c:v>
                </c:pt>
                <c:pt idx="46">
                  <c:v>106.82</c:v>
                </c:pt>
                <c:pt idx="47">
                  <c:v>106.94</c:v>
                </c:pt>
                <c:pt idx="48">
                  <c:v>107.57</c:v>
                </c:pt>
                <c:pt idx="49">
                  <c:v>108.03</c:v>
                </c:pt>
                <c:pt idx="50">
                  <c:v>108.85</c:v>
                </c:pt>
                <c:pt idx="51">
                  <c:v>108.51</c:v>
                </c:pt>
                <c:pt idx="52">
                  <c:v>109.36</c:v>
                </c:pt>
                <c:pt idx="53">
                  <c:v>109.08</c:v>
                </c:pt>
                <c:pt idx="54">
                  <c:v>109.22</c:v>
                </c:pt>
                <c:pt idx="55">
                  <c:v>109.38</c:v>
                </c:pt>
                <c:pt idx="56">
                  <c:v>109.48</c:v>
                </c:pt>
                <c:pt idx="57">
                  <c:v>108.18</c:v>
                </c:pt>
                <c:pt idx="58">
                  <c:v>107.93</c:v>
                </c:pt>
                <c:pt idx="59">
                  <c:v>108</c:v>
                </c:pt>
                <c:pt idx="60">
                  <c:v>108.81</c:v>
                </c:pt>
                <c:pt idx="61">
                  <c:v>108.37</c:v>
                </c:pt>
                <c:pt idx="62">
                  <c:v>107.48</c:v>
                </c:pt>
                <c:pt idx="63">
                  <c:v>105.87</c:v>
                </c:pt>
                <c:pt idx="65">
                  <c:v>105.79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024920"/>
        <c:axId val="511036288"/>
      </c:lineChart>
      <c:dateAx>
        <c:axId val="511024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036288"/>
        <c:crosses val="autoZero"/>
        <c:auto val="1"/>
        <c:lblOffset val="100"/>
        <c:baseTimeUnit val="days"/>
      </c:dateAx>
      <c:valAx>
        <c:axId val="51103628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024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42676</c:v>
                </c:pt>
                <c:pt idx="1">
                  <c:v>42675</c:v>
                </c:pt>
                <c:pt idx="2">
                  <c:v>42674</c:v>
                </c:pt>
                <c:pt idx="3">
                  <c:v>42671</c:v>
                </c:pt>
                <c:pt idx="4">
                  <c:v>42670</c:v>
                </c:pt>
                <c:pt idx="5">
                  <c:v>42669</c:v>
                </c:pt>
                <c:pt idx="6">
                  <c:v>42668</c:v>
                </c:pt>
                <c:pt idx="7">
                  <c:v>42667</c:v>
                </c:pt>
                <c:pt idx="8">
                  <c:v>42664</c:v>
                </c:pt>
                <c:pt idx="9">
                  <c:v>42663</c:v>
                </c:pt>
                <c:pt idx="10">
                  <c:v>42662</c:v>
                </c:pt>
                <c:pt idx="11">
                  <c:v>42661</c:v>
                </c:pt>
                <c:pt idx="12">
                  <c:v>42660</c:v>
                </c:pt>
                <c:pt idx="13">
                  <c:v>42657</c:v>
                </c:pt>
                <c:pt idx="14">
                  <c:v>42656</c:v>
                </c:pt>
                <c:pt idx="15">
                  <c:v>42655</c:v>
                </c:pt>
                <c:pt idx="16">
                  <c:v>42654</c:v>
                </c:pt>
                <c:pt idx="17">
                  <c:v>42653</c:v>
                </c:pt>
                <c:pt idx="18">
                  <c:v>42650</c:v>
                </c:pt>
                <c:pt idx="19">
                  <c:v>42649</c:v>
                </c:pt>
                <c:pt idx="20">
                  <c:v>42648</c:v>
                </c:pt>
                <c:pt idx="21">
                  <c:v>42648</c:v>
                </c:pt>
                <c:pt idx="22">
                  <c:v>42647</c:v>
                </c:pt>
                <c:pt idx="23">
                  <c:v>42646</c:v>
                </c:pt>
                <c:pt idx="24">
                  <c:v>42643</c:v>
                </c:pt>
                <c:pt idx="25">
                  <c:v>42642</c:v>
                </c:pt>
                <c:pt idx="26">
                  <c:v>42641</c:v>
                </c:pt>
                <c:pt idx="27">
                  <c:v>42640</c:v>
                </c:pt>
                <c:pt idx="28">
                  <c:v>42639</c:v>
                </c:pt>
                <c:pt idx="29">
                  <c:v>42636</c:v>
                </c:pt>
                <c:pt idx="30">
                  <c:v>42635</c:v>
                </c:pt>
                <c:pt idx="31">
                  <c:v>42634</c:v>
                </c:pt>
                <c:pt idx="32">
                  <c:v>42633</c:v>
                </c:pt>
                <c:pt idx="33">
                  <c:v>42632</c:v>
                </c:pt>
                <c:pt idx="34">
                  <c:v>42629</c:v>
                </c:pt>
                <c:pt idx="35">
                  <c:v>42628</c:v>
                </c:pt>
                <c:pt idx="36">
                  <c:v>42627</c:v>
                </c:pt>
                <c:pt idx="37">
                  <c:v>42626</c:v>
                </c:pt>
                <c:pt idx="38">
                  <c:v>42625</c:v>
                </c:pt>
                <c:pt idx="39">
                  <c:v>42622</c:v>
                </c:pt>
                <c:pt idx="40">
                  <c:v>42621</c:v>
                </c:pt>
                <c:pt idx="41">
                  <c:v>42620</c:v>
                </c:pt>
                <c:pt idx="42">
                  <c:v>42619</c:v>
                </c:pt>
                <c:pt idx="43">
                  <c:v>42615</c:v>
                </c:pt>
                <c:pt idx="44">
                  <c:v>42614</c:v>
                </c:pt>
                <c:pt idx="45">
                  <c:v>42613</c:v>
                </c:pt>
                <c:pt idx="46">
                  <c:v>42612</c:v>
                </c:pt>
                <c:pt idx="47">
                  <c:v>42611</c:v>
                </c:pt>
                <c:pt idx="48">
                  <c:v>42608</c:v>
                </c:pt>
                <c:pt idx="49">
                  <c:v>42607</c:v>
                </c:pt>
                <c:pt idx="50">
                  <c:v>42606</c:v>
                </c:pt>
                <c:pt idx="51">
                  <c:v>42605</c:v>
                </c:pt>
                <c:pt idx="52">
                  <c:v>42604</c:v>
                </c:pt>
                <c:pt idx="53">
                  <c:v>42601</c:v>
                </c:pt>
                <c:pt idx="54">
                  <c:v>42600</c:v>
                </c:pt>
                <c:pt idx="55">
                  <c:v>42599</c:v>
                </c:pt>
                <c:pt idx="56">
                  <c:v>42598</c:v>
                </c:pt>
                <c:pt idx="57">
                  <c:v>42597</c:v>
                </c:pt>
                <c:pt idx="58">
                  <c:v>42594</c:v>
                </c:pt>
                <c:pt idx="59">
                  <c:v>42593</c:v>
                </c:pt>
                <c:pt idx="60">
                  <c:v>42592</c:v>
                </c:pt>
                <c:pt idx="61">
                  <c:v>42591</c:v>
                </c:pt>
                <c:pt idx="62">
                  <c:v>42590</c:v>
                </c:pt>
                <c:pt idx="63">
                  <c:v>42587</c:v>
                </c:pt>
                <c:pt idx="64">
                  <c:v>42586</c:v>
                </c:pt>
                <c:pt idx="65">
                  <c:v>42585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65.45</c:v>
                </c:pt>
                <c:pt idx="1">
                  <c:v>66.25</c:v>
                </c:pt>
                <c:pt idx="2">
                  <c:v>66.42</c:v>
                </c:pt>
                <c:pt idx="3">
                  <c:v>66.45</c:v>
                </c:pt>
                <c:pt idx="4">
                  <c:v>66.930000000000007</c:v>
                </c:pt>
                <c:pt idx="5">
                  <c:v>66.8</c:v>
                </c:pt>
                <c:pt idx="6">
                  <c:v>66.739999999999995</c:v>
                </c:pt>
                <c:pt idx="7">
                  <c:v>67.09</c:v>
                </c:pt>
                <c:pt idx="8">
                  <c:v>67.36</c:v>
                </c:pt>
                <c:pt idx="9">
                  <c:v>66.78</c:v>
                </c:pt>
                <c:pt idx="10">
                  <c:v>61.25</c:v>
                </c:pt>
                <c:pt idx="11">
                  <c:v>60.08</c:v>
                </c:pt>
                <c:pt idx="12">
                  <c:v>59.9</c:v>
                </c:pt>
                <c:pt idx="13">
                  <c:v>60.15</c:v>
                </c:pt>
                <c:pt idx="14">
                  <c:v>60.41</c:v>
                </c:pt>
                <c:pt idx="15">
                  <c:v>60.69</c:v>
                </c:pt>
                <c:pt idx="16">
                  <c:v>60.86</c:v>
                </c:pt>
                <c:pt idx="17">
                  <c:v>61.9</c:v>
                </c:pt>
                <c:pt idx="18">
                  <c:v>61.76</c:v>
                </c:pt>
                <c:pt idx="19">
                  <c:v>61.94</c:v>
                </c:pt>
                <c:pt idx="20">
                  <c:v>64.36</c:v>
                </c:pt>
                <c:pt idx="22">
                  <c:v>63.91</c:v>
                </c:pt>
                <c:pt idx="23">
                  <c:v>63.81</c:v>
                </c:pt>
                <c:pt idx="24">
                  <c:v>64.040000000000006</c:v>
                </c:pt>
                <c:pt idx="25">
                  <c:v>63.37</c:v>
                </c:pt>
                <c:pt idx="26">
                  <c:v>64.22</c:v>
                </c:pt>
                <c:pt idx="27">
                  <c:v>64.28</c:v>
                </c:pt>
                <c:pt idx="28">
                  <c:v>63.42</c:v>
                </c:pt>
                <c:pt idx="29">
                  <c:v>63.85</c:v>
                </c:pt>
                <c:pt idx="30">
                  <c:v>64.63</c:v>
                </c:pt>
                <c:pt idx="31">
                  <c:v>64.28</c:v>
                </c:pt>
                <c:pt idx="32">
                  <c:v>63.72</c:v>
                </c:pt>
                <c:pt idx="33">
                  <c:v>64.06</c:v>
                </c:pt>
                <c:pt idx="34">
                  <c:v>63.66</c:v>
                </c:pt>
                <c:pt idx="35">
                  <c:v>63.83</c:v>
                </c:pt>
                <c:pt idx="36">
                  <c:v>63.48</c:v>
                </c:pt>
                <c:pt idx="37">
                  <c:v>64.36</c:v>
                </c:pt>
                <c:pt idx="38">
                  <c:v>65.900000000000006</c:v>
                </c:pt>
                <c:pt idx="39">
                  <c:v>65.12</c:v>
                </c:pt>
                <c:pt idx="40">
                  <c:v>66.239999999999995</c:v>
                </c:pt>
                <c:pt idx="41">
                  <c:v>66.19</c:v>
                </c:pt>
                <c:pt idx="42">
                  <c:v>65.760000000000005</c:v>
                </c:pt>
                <c:pt idx="43">
                  <c:v>65.19</c:v>
                </c:pt>
                <c:pt idx="44">
                  <c:v>64.86</c:v>
                </c:pt>
                <c:pt idx="45">
                  <c:v>65.58</c:v>
                </c:pt>
                <c:pt idx="46">
                  <c:v>65.45</c:v>
                </c:pt>
                <c:pt idx="47">
                  <c:v>65.52</c:v>
                </c:pt>
                <c:pt idx="48">
                  <c:v>64.790000000000006</c:v>
                </c:pt>
                <c:pt idx="49">
                  <c:v>65</c:v>
                </c:pt>
                <c:pt idx="50">
                  <c:v>65.16</c:v>
                </c:pt>
                <c:pt idx="51">
                  <c:v>65.680000000000007</c:v>
                </c:pt>
                <c:pt idx="52">
                  <c:v>65.36</c:v>
                </c:pt>
                <c:pt idx="53">
                  <c:v>65.53</c:v>
                </c:pt>
                <c:pt idx="54">
                  <c:v>65.63</c:v>
                </c:pt>
                <c:pt idx="55">
                  <c:v>65.680000000000007</c:v>
                </c:pt>
                <c:pt idx="56">
                  <c:v>65.3</c:v>
                </c:pt>
                <c:pt idx="57">
                  <c:v>65.63</c:v>
                </c:pt>
                <c:pt idx="58">
                  <c:v>65.38</c:v>
                </c:pt>
                <c:pt idx="59">
                  <c:v>65.48</c:v>
                </c:pt>
                <c:pt idx="60">
                  <c:v>64.739999999999995</c:v>
                </c:pt>
                <c:pt idx="61">
                  <c:v>65.39</c:v>
                </c:pt>
                <c:pt idx="62">
                  <c:v>65.83</c:v>
                </c:pt>
                <c:pt idx="63">
                  <c:v>65.52</c:v>
                </c:pt>
                <c:pt idx="64">
                  <c:v>63.94</c:v>
                </c:pt>
                <c:pt idx="65">
                  <c:v>63.83</c:v>
                </c:pt>
                <c:pt idx="66">
                  <c:v>63.47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033544"/>
        <c:axId val="511033936"/>
      </c:lineChart>
      <c:dateAx>
        <c:axId val="511033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033936"/>
        <c:crosses val="autoZero"/>
        <c:auto val="1"/>
        <c:lblOffset val="100"/>
        <c:baseTimeUnit val="days"/>
      </c:dateAx>
      <c:valAx>
        <c:axId val="51103393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033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42676</c:v>
                </c:pt>
                <c:pt idx="1">
                  <c:v>42675</c:v>
                </c:pt>
                <c:pt idx="2">
                  <c:v>42674</c:v>
                </c:pt>
                <c:pt idx="3">
                  <c:v>42671</c:v>
                </c:pt>
                <c:pt idx="4">
                  <c:v>42670</c:v>
                </c:pt>
                <c:pt idx="5">
                  <c:v>42669</c:v>
                </c:pt>
                <c:pt idx="6">
                  <c:v>42668</c:v>
                </c:pt>
                <c:pt idx="7">
                  <c:v>42667</c:v>
                </c:pt>
                <c:pt idx="8">
                  <c:v>42664</c:v>
                </c:pt>
                <c:pt idx="9">
                  <c:v>42663</c:v>
                </c:pt>
                <c:pt idx="10">
                  <c:v>42662</c:v>
                </c:pt>
                <c:pt idx="11">
                  <c:v>42661</c:v>
                </c:pt>
                <c:pt idx="12">
                  <c:v>42660</c:v>
                </c:pt>
                <c:pt idx="13">
                  <c:v>42657</c:v>
                </c:pt>
                <c:pt idx="14">
                  <c:v>42656</c:v>
                </c:pt>
                <c:pt idx="15">
                  <c:v>42655</c:v>
                </c:pt>
                <c:pt idx="16">
                  <c:v>42654</c:v>
                </c:pt>
                <c:pt idx="17">
                  <c:v>42653</c:v>
                </c:pt>
                <c:pt idx="18">
                  <c:v>42650</c:v>
                </c:pt>
                <c:pt idx="19">
                  <c:v>42649</c:v>
                </c:pt>
                <c:pt idx="20">
                  <c:v>42648</c:v>
                </c:pt>
                <c:pt idx="21">
                  <c:v>42647</c:v>
                </c:pt>
                <c:pt idx="22">
                  <c:v>42646</c:v>
                </c:pt>
                <c:pt idx="23">
                  <c:v>42643</c:v>
                </c:pt>
                <c:pt idx="24">
                  <c:v>42642</c:v>
                </c:pt>
                <c:pt idx="25">
                  <c:v>42641</c:v>
                </c:pt>
                <c:pt idx="26">
                  <c:v>42640</c:v>
                </c:pt>
                <c:pt idx="27">
                  <c:v>42639</c:v>
                </c:pt>
                <c:pt idx="28">
                  <c:v>42636</c:v>
                </c:pt>
                <c:pt idx="29">
                  <c:v>42635</c:v>
                </c:pt>
                <c:pt idx="30">
                  <c:v>42634</c:v>
                </c:pt>
                <c:pt idx="31">
                  <c:v>42633</c:v>
                </c:pt>
                <c:pt idx="32">
                  <c:v>42632</c:v>
                </c:pt>
                <c:pt idx="33">
                  <c:v>42629</c:v>
                </c:pt>
                <c:pt idx="34">
                  <c:v>42628</c:v>
                </c:pt>
                <c:pt idx="35">
                  <c:v>42627</c:v>
                </c:pt>
                <c:pt idx="36">
                  <c:v>42626</c:v>
                </c:pt>
                <c:pt idx="37">
                  <c:v>42625</c:v>
                </c:pt>
                <c:pt idx="38">
                  <c:v>42625</c:v>
                </c:pt>
                <c:pt idx="39">
                  <c:v>42622</c:v>
                </c:pt>
                <c:pt idx="40">
                  <c:v>42621</c:v>
                </c:pt>
                <c:pt idx="41">
                  <c:v>42620</c:v>
                </c:pt>
                <c:pt idx="42">
                  <c:v>42619</c:v>
                </c:pt>
                <c:pt idx="43">
                  <c:v>42615</c:v>
                </c:pt>
                <c:pt idx="44">
                  <c:v>42614</c:v>
                </c:pt>
                <c:pt idx="45">
                  <c:v>42613</c:v>
                </c:pt>
                <c:pt idx="46">
                  <c:v>42612</c:v>
                </c:pt>
                <c:pt idx="47">
                  <c:v>42611</c:v>
                </c:pt>
                <c:pt idx="48">
                  <c:v>42608</c:v>
                </c:pt>
                <c:pt idx="49">
                  <c:v>42607</c:v>
                </c:pt>
                <c:pt idx="50">
                  <c:v>42606</c:v>
                </c:pt>
                <c:pt idx="51">
                  <c:v>42605</c:v>
                </c:pt>
                <c:pt idx="52">
                  <c:v>42604</c:v>
                </c:pt>
                <c:pt idx="53">
                  <c:v>42601</c:v>
                </c:pt>
                <c:pt idx="54">
                  <c:v>42600</c:v>
                </c:pt>
                <c:pt idx="55">
                  <c:v>42599</c:v>
                </c:pt>
                <c:pt idx="56">
                  <c:v>42598</c:v>
                </c:pt>
                <c:pt idx="57">
                  <c:v>42597</c:v>
                </c:pt>
                <c:pt idx="58">
                  <c:v>42594</c:v>
                </c:pt>
                <c:pt idx="59">
                  <c:v>42593</c:v>
                </c:pt>
                <c:pt idx="60">
                  <c:v>42592</c:v>
                </c:pt>
                <c:pt idx="61">
                  <c:v>42591</c:v>
                </c:pt>
                <c:pt idx="62">
                  <c:v>42590</c:v>
                </c:pt>
                <c:pt idx="63">
                  <c:v>42587</c:v>
                </c:pt>
                <c:pt idx="64">
                  <c:v>42586</c:v>
                </c:pt>
                <c:pt idx="65">
                  <c:v>42585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69.599999999999994</c:v>
                </c:pt>
                <c:pt idx="1">
                  <c:v>69.05</c:v>
                </c:pt>
                <c:pt idx="2">
                  <c:v>69.09</c:v>
                </c:pt>
                <c:pt idx="3">
                  <c:v>68.34</c:v>
                </c:pt>
                <c:pt idx="4">
                  <c:v>67.45</c:v>
                </c:pt>
                <c:pt idx="5">
                  <c:v>68.27</c:v>
                </c:pt>
                <c:pt idx="6">
                  <c:v>68.17</c:v>
                </c:pt>
                <c:pt idx="7">
                  <c:v>68.27</c:v>
                </c:pt>
                <c:pt idx="8">
                  <c:v>67.930000000000007</c:v>
                </c:pt>
                <c:pt idx="9">
                  <c:v>67.98</c:v>
                </c:pt>
                <c:pt idx="10">
                  <c:v>68.7</c:v>
                </c:pt>
                <c:pt idx="11">
                  <c:v>68.69</c:v>
                </c:pt>
                <c:pt idx="12">
                  <c:v>68.489999999999995</c:v>
                </c:pt>
                <c:pt idx="13">
                  <c:v>68.98</c:v>
                </c:pt>
                <c:pt idx="14">
                  <c:v>69.349999999999994</c:v>
                </c:pt>
                <c:pt idx="15">
                  <c:v>69.06</c:v>
                </c:pt>
                <c:pt idx="16">
                  <c:v>68.7</c:v>
                </c:pt>
                <c:pt idx="17">
                  <c:v>69.41</c:v>
                </c:pt>
                <c:pt idx="18">
                  <c:v>69.66</c:v>
                </c:pt>
                <c:pt idx="19">
                  <c:v>69.05</c:v>
                </c:pt>
                <c:pt idx="20">
                  <c:v>66.97</c:v>
                </c:pt>
                <c:pt idx="21">
                  <c:v>68.05</c:v>
                </c:pt>
                <c:pt idx="22">
                  <c:v>69.7</c:v>
                </c:pt>
                <c:pt idx="23">
                  <c:v>69.989999999999995</c:v>
                </c:pt>
                <c:pt idx="24">
                  <c:v>69.319999999999993</c:v>
                </c:pt>
                <c:pt idx="25">
                  <c:v>70.5</c:v>
                </c:pt>
                <c:pt idx="26">
                  <c:v>71.599999999999994</c:v>
                </c:pt>
                <c:pt idx="27">
                  <c:v>71.69</c:v>
                </c:pt>
                <c:pt idx="28">
                  <c:v>72.09</c:v>
                </c:pt>
                <c:pt idx="29">
                  <c:v>71.89</c:v>
                </c:pt>
                <c:pt idx="30">
                  <c:v>72.180000000000007</c:v>
                </c:pt>
                <c:pt idx="31">
                  <c:v>71.72</c:v>
                </c:pt>
                <c:pt idx="32">
                  <c:v>71.83</c:v>
                </c:pt>
                <c:pt idx="33">
                  <c:v>71.91</c:v>
                </c:pt>
                <c:pt idx="34">
                  <c:v>72.53</c:v>
                </c:pt>
                <c:pt idx="35">
                  <c:v>71.510000000000005</c:v>
                </c:pt>
                <c:pt idx="36">
                  <c:v>70.38</c:v>
                </c:pt>
                <c:pt idx="37">
                  <c:v>71.77</c:v>
                </c:pt>
                <c:pt idx="39">
                  <c:v>70.58</c:v>
                </c:pt>
                <c:pt idx="40">
                  <c:v>70.67</c:v>
                </c:pt>
                <c:pt idx="41">
                  <c:v>71.75</c:v>
                </c:pt>
                <c:pt idx="42">
                  <c:v>72</c:v>
                </c:pt>
                <c:pt idx="43">
                  <c:v>73.319999999999993</c:v>
                </c:pt>
                <c:pt idx="44">
                  <c:v>73.78</c:v>
                </c:pt>
                <c:pt idx="45">
                  <c:v>73.41</c:v>
                </c:pt>
                <c:pt idx="46">
                  <c:v>75.650000000000006</c:v>
                </c:pt>
                <c:pt idx="47">
                  <c:v>77.489999999999995</c:v>
                </c:pt>
                <c:pt idx="48">
                  <c:v>75.5</c:v>
                </c:pt>
                <c:pt idx="49">
                  <c:v>75.61</c:v>
                </c:pt>
                <c:pt idx="50">
                  <c:v>91.79</c:v>
                </c:pt>
                <c:pt idx="51">
                  <c:v>91.49</c:v>
                </c:pt>
                <c:pt idx="52">
                  <c:v>90.8</c:v>
                </c:pt>
                <c:pt idx="53">
                  <c:v>90.85</c:v>
                </c:pt>
                <c:pt idx="54">
                  <c:v>91.69</c:v>
                </c:pt>
                <c:pt idx="55">
                  <c:v>90.92</c:v>
                </c:pt>
                <c:pt idx="56">
                  <c:v>89.49</c:v>
                </c:pt>
                <c:pt idx="57">
                  <c:v>92.13</c:v>
                </c:pt>
                <c:pt idx="58">
                  <c:v>92.91</c:v>
                </c:pt>
                <c:pt idx="59">
                  <c:v>92.72</c:v>
                </c:pt>
                <c:pt idx="60">
                  <c:v>93.02</c:v>
                </c:pt>
                <c:pt idx="61">
                  <c:v>92.04</c:v>
                </c:pt>
                <c:pt idx="62">
                  <c:v>92.99</c:v>
                </c:pt>
                <c:pt idx="63">
                  <c:v>94.37</c:v>
                </c:pt>
                <c:pt idx="64">
                  <c:v>93.12</c:v>
                </c:pt>
                <c:pt idx="65">
                  <c:v>93.77</c:v>
                </c:pt>
                <c:pt idx="66">
                  <c:v>93.16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040208"/>
        <c:axId val="511040600"/>
      </c:lineChart>
      <c:dateAx>
        <c:axId val="511040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040600"/>
        <c:crosses val="autoZero"/>
        <c:auto val="1"/>
        <c:lblOffset val="100"/>
        <c:baseTimeUnit val="days"/>
      </c:dateAx>
      <c:valAx>
        <c:axId val="51104060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040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42676</c:v>
                </c:pt>
                <c:pt idx="1">
                  <c:v>42675</c:v>
                </c:pt>
                <c:pt idx="2">
                  <c:v>42674</c:v>
                </c:pt>
                <c:pt idx="3">
                  <c:v>42671</c:v>
                </c:pt>
                <c:pt idx="4">
                  <c:v>42670</c:v>
                </c:pt>
                <c:pt idx="5">
                  <c:v>42669</c:v>
                </c:pt>
                <c:pt idx="6">
                  <c:v>42668</c:v>
                </c:pt>
                <c:pt idx="7">
                  <c:v>42667</c:v>
                </c:pt>
                <c:pt idx="8">
                  <c:v>42664</c:v>
                </c:pt>
                <c:pt idx="9">
                  <c:v>42663</c:v>
                </c:pt>
                <c:pt idx="10">
                  <c:v>42662</c:v>
                </c:pt>
                <c:pt idx="11">
                  <c:v>42661</c:v>
                </c:pt>
                <c:pt idx="12">
                  <c:v>42660</c:v>
                </c:pt>
                <c:pt idx="13">
                  <c:v>42657</c:v>
                </c:pt>
                <c:pt idx="14">
                  <c:v>42656</c:v>
                </c:pt>
                <c:pt idx="15">
                  <c:v>42655</c:v>
                </c:pt>
                <c:pt idx="16">
                  <c:v>42654</c:v>
                </c:pt>
                <c:pt idx="17">
                  <c:v>42653</c:v>
                </c:pt>
                <c:pt idx="18">
                  <c:v>42650</c:v>
                </c:pt>
                <c:pt idx="19">
                  <c:v>42649</c:v>
                </c:pt>
                <c:pt idx="20">
                  <c:v>42648</c:v>
                </c:pt>
                <c:pt idx="21">
                  <c:v>42647</c:v>
                </c:pt>
                <c:pt idx="22">
                  <c:v>42646</c:v>
                </c:pt>
                <c:pt idx="23">
                  <c:v>42643</c:v>
                </c:pt>
                <c:pt idx="24">
                  <c:v>42642</c:v>
                </c:pt>
                <c:pt idx="25">
                  <c:v>42641</c:v>
                </c:pt>
                <c:pt idx="26">
                  <c:v>42640</c:v>
                </c:pt>
                <c:pt idx="27">
                  <c:v>42639</c:v>
                </c:pt>
                <c:pt idx="28">
                  <c:v>42636</c:v>
                </c:pt>
                <c:pt idx="29">
                  <c:v>42635</c:v>
                </c:pt>
                <c:pt idx="30">
                  <c:v>42634</c:v>
                </c:pt>
                <c:pt idx="31">
                  <c:v>42633</c:v>
                </c:pt>
                <c:pt idx="32">
                  <c:v>42632</c:v>
                </c:pt>
                <c:pt idx="33">
                  <c:v>42629</c:v>
                </c:pt>
                <c:pt idx="34">
                  <c:v>42628</c:v>
                </c:pt>
                <c:pt idx="35">
                  <c:v>42627</c:v>
                </c:pt>
                <c:pt idx="36">
                  <c:v>42626</c:v>
                </c:pt>
                <c:pt idx="37">
                  <c:v>42625</c:v>
                </c:pt>
                <c:pt idx="38">
                  <c:v>42622</c:v>
                </c:pt>
                <c:pt idx="39">
                  <c:v>42621</c:v>
                </c:pt>
                <c:pt idx="40">
                  <c:v>42620</c:v>
                </c:pt>
                <c:pt idx="41">
                  <c:v>42619</c:v>
                </c:pt>
                <c:pt idx="42">
                  <c:v>42615</c:v>
                </c:pt>
                <c:pt idx="43">
                  <c:v>42614</c:v>
                </c:pt>
                <c:pt idx="44">
                  <c:v>42613</c:v>
                </c:pt>
                <c:pt idx="45">
                  <c:v>42612</c:v>
                </c:pt>
                <c:pt idx="46">
                  <c:v>42611</c:v>
                </c:pt>
                <c:pt idx="47">
                  <c:v>42608</c:v>
                </c:pt>
                <c:pt idx="48">
                  <c:v>42607</c:v>
                </c:pt>
                <c:pt idx="49">
                  <c:v>42606</c:v>
                </c:pt>
                <c:pt idx="50">
                  <c:v>42605</c:v>
                </c:pt>
                <c:pt idx="51">
                  <c:v>42604</c:v>
                </c:pt>
                <c:pt idx="52">
                  <c:v>42601</c:v>
                </c:pt>
                <c:pt idx="53">
                  <c:v>42600</c:v>
                </c:pt>
                <c:pt idx="54">
                  <c:v>42599</c:v>
                </c:pt>
                <c:pt idx="55">
                  <c:v>42598</c:v>
                </c:pt>
                <c:pt idx="56">
                  <c:v>42597</c:v>
                </c:pt>
                <c:pt idx="57">
                  <c:v>42594</c:v>
                </c:pt>
                <c:pt idx="58">
                  <c:v>42593</c:v>
                </c:pt>
                <c:pt idx="59">
                  <c:v>42592</c:v>
                </c:pt>
                <c:pt idx="60">
                  <c:v>42591</c:v>
                </c:pt>
                <c:pt idx="61">
                  <c:v>42590</c:v>
                </c:pt>
                <c:pt idx="62">
                  <c:v>42587</c:v>
                </c:pt>
                <c:pt idx="63">
                  <c:v>42586</c:v>
                </c:pt>
                <c:pt idx="64">
                  <c:v>42585</c:v>
                </c:pt>
                <c:pt idx="65">
                  <c:v>42584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31.53</c:v>
                </c:pt>
                <c:pt idx="1">
                  <c:v>31.13</c:v>
                </c:pt>
                <c:pt idx="2">
                  <c:v>31.84</c:v>
                </c:pt>
                <c:pt idx="3">
                  <c:v>31.8</c:v>
                </c:pt>
                <c:pt idx="4">
                  <c:v>32</c:v>
                </c:pt>
                <c:pt idx="5">
                  <c:v>32.04</c:v>
                </c:pt>
                <c:pt idx="6">
                  <c:v>32.25</c:v>
                </c:pt>
                <c:pt idx="7">
                  <c:v>32.36</c:v>
                </c:pt>
                <c:pt idx="8">
                  <c:v>32.29</c:v>
                </c:pt>
                <c:pt idx="9">
                  <c:v>32.409999999999997</c:v>
                </c:pt>
                <c:pt idx="10">
                  <c:v>32.24</c:v>
                </c:pt>
                <c:pt idx="11">
                  <c:v>32.29</c:v>
                </c:pt>
                <c:pt idx="12">
                  <c:v>32.15</c:v>
                </c:pt>
                <c:pt idx="13">
                  <c:v>32.08</c:v>
                </c:pt>
                <c:pt idx="14">
                  <c:v>32.04</c:v>
                </c:pt>
                <c:pt idx="15">
                  <c:v>32.29</c:v>
                </c:pt>
                <c:pt idx="16">
                  <c:v>31.97</c:v>
                </c:pt>
                <c:pt idx="17">
                  <c:v>31.86</c:v>
                </c:pt>
                <c:pt idx="18">
                  <c:v>31.57</c:v>
                </c:pt>
                <c:pt idx="19">
                  <c:v>31.61</c:v>
                </c:pt>
                <c:pt idx="20">
                  <c:v>31.87</c:v>
                </c:pt>
                <c:pt idx="21">
                  <c:v>31.5</c:v>
                </c:pt>
                <c:pt idx="22">
                  <c:v>32.020000000000003</c:v>
                </c:pt>
                <c:pt idx="23">
                  <c:v>32.340000000000003</c:v>
                </c:pt>
                <c:pt idx="24">
                  <c:v>31.72</c:v>
                </c:pt>
                <c:pt idx="25">
                  <c:v>31.7</c:v>
                </c:pt>
                <c:pt idx="26">
                  <c:v>32.1</c:v>
                </c:pt>
                <c:pt idx="27">
                  <c:v>32.020000000000003</c:v>
                </c:pt>
                <c:pt idx="28">
                  <c:v>32.090000000000003</c:v>
                </c:pt>
                <c:pt idx="29">
                  <c:v>32.14</c:v>
                </c:pt>
                <c:pt idx="30">
                  <c:v>32.049999999999997</c:v>
                </c:pt>
                <c:pt idx="31">
                  <c:v>31.8</c:v>
                </c:pt>
                <c:pt idx="32">
                  <c:v>31.52</c:v>
                </c:pt>
                <c:pt idx="33">
                  <c:v>31.72</c:v>
                </c:pt>
                <c:pt idx="34">
                  <c:v>31.73</c:v>
                </c:pt>
                <c:pt idx="35">
                  <c:v>31.6</c:v>
                </c:pt>
                <c:pt idx="36">
                  <c:v>31.71</c:v>
                </c:pt>
                <c:pt idx="37">
                  <c:v>31.61</c:v>
                </c:pt>
                <c:pt idx="38">
                  <c:v>31.5</c:v>
                </c:pt>
                <c:pt idx="39">
                  <c:v>31.65</c:v>
                </c:pt>
                <c:pt idx="40">
                  <c:v>31.51</c:v>
                </c:pt>
                <c:pt idx="41">
                  <c:v>31.29</c:v>
                </c:pt>
                <c:pt idx="42">
                  <c:v>31.8</c:v>
                </c:pt>
                <c:pt idx="43">
                  <c:v>31.61</c:v>
                </c:pt>
                <c:pt idx="44">
                  <c:v>31.65</c:v>
                </c:pt>
                <c:pt idx="45">
                  <c:v>31.6</c:v>
                </c:pt>
                <c:pt idx="46">
                  <c:v>31.5</c:v>
                </c:pt>
                <c:pt idx="47">
                  <c:v>30.85</c:v>
                </c:pt>
                <c:pt idx="48">
                  <c:v>30.97</c:v>
                </c:pt>
                <c:pt idx="49">
                  <c:v>30.86</c:v>
                </c:pt>
                <c:pt idx="50">
                  <c:v>31.22</c:v>
                </c:pt>
                <c:pt idx="51">
                  <c:v>33.74</c:v>
                </c:pt>
                <c:pt idx="52">
                  <c:v>32.840000000000003</c:v>
                </c:pt>
                <c:pt idx="53">
                  <c:v>32.770000000000003</c:v>
                </c:pt>
                <c:pt idx="54">
                  <c:v>32.119999999999997</c:v>
                </c:pt>
                <c:pt idx="55">
                  <c:v>32.630000000000003</c:v>
                </c:pt>
                <c:pt idx="56">
                  <c:v>32.880000000000003</c:v>
                </c:pt>
                <c:pt idx="57">
                  <c:v>32.799999999999997</c:v>
                </c:pt>
                <c:pt idx="58">
                  <c:v>33.020000000000003</c:v>
                </c:pt>
                <c:pt idx="59">
                  <c:v>33</c:v>
                </c:pt>
                <c:pt idx="60">
                  <c:v>33.119999999999997</c:v>
                </c:pt>
                <c:pt idx="61">
                  <c:v>33.200000000000003</c:v>
                </c:pt>
                <c:pt idx="62">
                  <c:v>33.65</c:v>
                </c:pt>
                <c:pt idx="63">
                  <c:v>32.31</c:v>
                </c:pt>
                <c:pt idx="64">
                  <c:v>32.700000000000003</c:v>
                </c:pt>
                <c:pt idx="65">
                  <c:v>32.4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042952"/>
        <c:axId val="511042560"/>
      </c:lineChart>
      <c:dateAx>
        <c:axId val="5110429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042560"/>
        <c:crosses val="autoZero"/>
        <c:auto val="1"/>
        <c:lblOffset val="100"/>
        <c:baseTimeUnit val="days"/>
      </c:dateAx>
      <c:valAx>
        <c:axId val="51104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042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42676</c:v>
                </c:pt>
                <c:pt idx="1">
                  <c:v>42675</c:v>
                </c:pt>
                <c:pt idx="2">
                  <c:v>42674</c:v>
                </c:pt>
                <c:pt idx="3">
                  <c:v>42671</c:v>
                </c:pt>
                <c:pt idx="4">
                  <c:v>42670</c:v>
                </c:pt>
                <c:pt idx="5">
                  <c:v>42669</c:v>
                </c:pt>
                <c:pt idx="6">
                  <c:v>42668</c:v>
                </c:pt>
                <c:pt idx="7">
                  <c:v>42667</c:v>
                </c:pt>
                <c:pt idx="8">
                  <c:v>42664</c:v>
                </c:pt>
                <c:pt idx="9">
                  <c:v>42663</c:v>
                </c:pt>
                <c:pt idx="10">
                  <c:v>42662</c:v>
                </c:pt>
                <c:pt idx="11">
                  <c:v>42661</c:v>
                </c:pt>
                <c:pt idx="12">
                  <c:v>42660</c:v>
                </c:pt>
                <c:pt idx="13">
                  <c:v>42657</c:v>
                </c:pt>
                <c:pt idx="14">
                  <c:v>42656</c:v>
                </c:pt>
                <c:pt idx="15">
                  <c:v>42655</c:v>
                </c:pt>
                <c:pt idx="16">
                  <c:v>42654</c:v>
                </c:pt>
                <c:pt idx="17">
                  <c:v>42653</c:v>
                </c:pt>
                <c:pt idx="18">
                  <c:v>42650</c:v>
                </c:pt>
                <c:pt idx="19">
                  <c:v>42649</c:v>
                </c:pt>
                <c:pt idx="20">
                  <c:v>42648</c:v>
                </c:pt>
                <c:pt idx="21">
                  <c:v>42647</c:v>
                </c:pt>
                <c:pt idx="22">
                  <c:v>42646</c:v>
                </c:pt>
                <c:pt idx="23">
                  <c:v>42643</c:v>
                </c:pt>
                <c:pt idx="24">
                  <c:v>42642</c:v>
                </c:pt>
                <c:pt idx="25">
                  <c:v>42641</c:v>
                </c:pt>
                <c:pt idx="26">
                  <c:v>42640</c:v>
                </c:pt>
                <c:pt idx="27">
                  <c:v>42639</c:v>
                </c:pt>
                <c:pt idx="28">
                  <c:v>42636</c:v>
                </c:pt>
                <c:pt idx="29">
                  <c:v>42635</c:v>
                </c:pt>
                <c:pt idx="30">
                  <c:v>42634</c:v>
                </c:pt>
                <c:pt idx="31">
                  <c:v>42633</c:v>
                </c:pt>
                <c:pt idx="32">
                  <c:v>42632</c:v>
                </c:pt>
                <c:pt idx="33">
                  <c:v>42629</c:v>
                </c:pt>
                <c:pt idx="34">
                  <c:v>42628</c:v>
                </c:pt>
                <c:pt idx="35">
                  <c:v>42627</c:v>
                </c:pt>
                <c:pt idx="36">
                  <c:v>42626</c:v>
                </c:pt>
                <c:pt idx="37">
                  <c:v>42625</c:v>
                </c:pt>
                <c:pt idx="38">
                  <c:v>42625</c:v>
                </c:pt>
                <c:pt idx="39">
                  <c:v>42622</c:v>
                </c:pt>
                <c:pt idx="40">
                  <c:v>42621</c:v>
                </c:pt>
                <c:pt idx="41">
                  <c:v>42620</c:v>
                </c:pt>
                <c:pt idx="42">
                  <c:v>42619</c:v>
                </c:pt>
                <c:pt idx="43">
                  <c:v>42615</c:v>
                </c:pt>
                <c:pt idx="44">
                  <c:v>42614</c:v>
                </c:pt>
                <c:pt idx="45">
                  <c:v>42613</c:v>
                </c:pt>
                <c:pt idx="46">
                  <c:v>42612</c:v>
                </c:pt>
                <c:pt idx="47">
                  <c:v>42611</c:v>
                </c:pt>
                <c:pt idx="48">
                  <c:v>42608</c:v>
                </c:pt>
                <c:pt idx="49">
                  <c:v>42607</c:v>
                </c:pt>
                <c:pt idx="50">
                  <c:v>42606</c:v>
                </c:pt>
                <c:pt idx="51">
                  <c:v>42605</c:v>
                </c:pt>
                <c:pt idx="52">
                  <c:v>42604</c:v>
                </c:pt>
                <c:pt idx="53">
                  <c:v>42601</c:v>
                </c:pt>
                <c:pt idx="54">
                  <c:v>42600</c:v>
                </c:pt>
                <c:pt idx="55">
                  <c:v>42599</c:v>
                </c:pt>
                <c:pt idx="56">
                  <c:v>42598</c:v>
                </c:pt>
                <c:pt idx="57">
                  <c:v>42597</c:v>
                </c:pt>
                <c:pt idx="58">
                  <c:v>42594</c:v>
                </c:pt>
                <c:pt idx="59">
                  <c:v>42593</c:v>
                </c:pt>
                <c:pt idx="60">
                  <c:v>42592</c:v>
                </c:pt>
                <c:pt idx="61">
                  <c:v>42591</c:v>
                </c:pt>
                <c:pt idx="62">
                  <c:v>42590</c:v>
                </c:pt>
                <c:pt idx="63">
                  <c:v>42587</c:v>
                </c:pt>
                <c:pt idx="64">
                  <c:v>42586</c:v>
                </c:pt>
                <c:pt idx="65">
                  <c:v>42585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25.83</c:v>
                </c:pt>
                <c:pt idx="1">
                  <c:v>26.19</c:v>
                </c:pt>
                <c:pt idx="2">
                  <c:v>26.27</c:v>
                </c:pt>
                <c:pt idx="3">
                  <c:v>26.25</c:v>
                </c:pt>
                <c:pt idx="4">
                  <c:v>26.11</c:v>
                </c:pt>
                <c:pt idx="5">
                  <c:v>26.4</c:v>
                </c:pt>
                <c:pt idx="6">
                  <c:v>25.56</c:v>
                </c:pt>
                <c:pt idx="7">
                  <c:v>25.57</c:v>
                </c:pt>
                <c:pt idx="8">
                  <c:v>25.83</c:v>
                </c:pt>
                <c:pt idx="9">
                  <c:v>25.27</c:v>
                </c:pt>
                <c:pt idx="10">
                  <c:v>25.12</c:v>
                </c:pt>
                <c:pt idx="11">
                  <c:v>24.96</c:v>
                </c:pt>
                <c:pt idx="12">
                  <c:v>24.68</c:v>
                </c:pt>
                <c:pt idx="13">
                  <c:v>24.73</c:v>
                </c:pt>
                <c:pt idx="14">
                  <c:v>24.56</c:v>
                </c:pt>
                <c:pt idx="15">
                  <c:v>24.55</c:v>
                </c:pt>
                <c:pt idx="16">
                  <c:v>24.64</c:v>
                </c:pt>
                <c:pt idx="17">
                  <c:v>24.71</c:v>
                </c:pt>
                <c:pt idx="18">
                  <c:v>24.35</c:v>
                </c:pt>
                <c:pt idx="19">
                  <c:v>24.53</c:v>
                </c:pt>
                <c:pt idx="20">
                  <c:v>24.66</c:v>
                </c:pt>
                <c:pt idx="21">
                  <c:v>24.74</c:v>
                </c:pt>
                <c:pt idx="22">
                  <c:v>24.73</c:v>
                </c:pt>
                <c:pt idx="23">
                  <c:v>24.22</c:v>
                </c:pt>
                <c:pt idx="24">
                  <c:v>24.04</c:v>
                </c:pt>
                <c:pt idx="25">
                  <c:v>24.31</c:v>
                </c:pt>
                <c:pt idx="26">
                  <c:v>24.2</c:v>
                </c:pt>
                <c:pt idx="27">
                  <c:v>23.79</c:v>
                </c:pt>
                <c:pt idx="28">
                  <c:v>23.93</c:v>
                </c:pt>
                <c:pt idx="29">
                  <c:v>24.3</c:v>
                </c:pt>
                <c:pt idx="30">
                  <c:v>24</c:v>
                </c:pt>
                <c:pt idx="31">
                  <c:v>23.89</c:v>
                </c:pt>
                <c:pt idx="32">
                  <c:v>23.93</c:v>
                </c:pt>
                <c:pt idx="33">
                  <c:v>23.9</c:v>
                </c:pt>
                <c:pt idx="34">
                  <c:v>23.84</c:v>
                </c:pt>
                <c:pt idx="35">
                  <c:v>23.7</c:v>
                </c:pt>
                <c:pt idx="36">
                  <c:v>23.71</c:v>
                </c:pt>
                <c:pt idx="37">
                  <c:v>23.95</c:v>
                </c:pt>
                <c:pt idx="39">
                  <c:v>23.57</c:v>
                </c:pt>
                <c:pt idx="40">
                  <c:v>24.75</c:v>
                </c:pt>
                <c:pt idx="41">
                  <c:v>24.38</c:v>
                </c:pt>
                <c:pt idx="42">
                  <c:v>24.42</c:v>
                </c:pt>
                <c:pt idx="43">
                  <c:v>24.55</c:v>
                </c:pt>
                <c:pt idx="44">
                  <c:v>24.54</c:v>
                </c:pt>
                <c:pt idx="45">
                  <c:v>24.54</c:v>
                </c:pt>
                <c:pt idx="46">
                  <c:v>24.55</c:v>
                </c:pt>
                <c:pt idx="47">
                  <c:v>24.74</c:v>
                </c:pt>
                <c:pt idx="48">
                  <c:v>24.54</c:v>
                </c:pt>
                <c:pt idx="49">
                  <c:v>24.57</c:v>
                </c:pt>
                <c:pt idx="50">
                  <c:v>24.8</c:v>
                </c:pt>
                <c:pt idx="51">
                  <c:v>24.89</c:v>
                </c:pt>
                <c:pt idx="52">
                  <c:v>25.12</c:v>
                </c:pt>
                <c:pt idx="53">
                  <c:v>25.15</c:v>
                </c:pt>
                <c:pt idx="54">
                  <c:v>25.08</c:v>
                </c:pt>
                <c:pt idx="55">
                  <c:v>25.48</c:v>
                </c:pt>
                <c:pt idx="56">
                  <c:v>25.46</c:v>
                </c:pt>
                <c:pt idx="57">
                  <c:v>25.85</c:v>
                </c:pt>
                <c:pt idx="58">
                  <c:v>26.02</c:v>
                </c:pt>
                <c:pt idx="59">
                  <c:v>26.16</c:v>
                </c:pt>
                <c:pt idx="60">
                  <c:v>25.58</c:v>
                </c:pt>
                <c:pt idx="61">
                  <c:v>25.48</c:v>
                </c:pt>
                <c:pt idx="62">
                  <c:v>25.41</c:v>
                </c:pt>
                <c:pt idx="63">
                  <c:v>25.64</c:v>
                </c:pt>
                <c:pt idx="64">
                  <c:v>25.59</c:v>
                </c:pt>
                <c:pt idx="65">
                  <c:v>27.04</c:v>
                </c:pt>
                <c:pt idx="66">
                  <c:v>26.7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040992"/>
        <c:axId val="511044520"/>
      </c:lineChart>
      <c:dateAx>
        <c:axId val="511040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044520"/>
        <c:crosses val="autoZero"/>
        <c:auto val="1"/>
        <c:lblOffset val="100"/>
        <c:baseTimeUnit val="days"/>
      </c:dateAx>
      <c:valAx>
        <c:axId val="51104452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040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SWHC!$AA$1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SWHC!$W$2:$W$67</c:f>
              <c:numCache>
                <c:formatCode>d\-mmm\-yy</c:formatCode>
                <c:ptCount val="66"/>
                <c:pt idx="0">
                  <c:v>42676</c:v>
                </c:pt>
                <c:pt idx="1">
                  <c:v>42675</c:v>
                </c:pt>
                <c:pt idx="2">
                  <c:v>42674</c:v>
                </c:pt>
                <c:pt idx="3">
                  <c:v>42671</c:v>
                </c:pt>
                <c:pt idx="4">
                  <c:v>42670</c:v>
                </c:pt>
                <c:pt idx="5">
                  <c:v>42669</c:v>
                </c:pt>
                <c:pt idx="6">
                  <c:v>42668</c:v>
                </c:pt>
                <c:pt idx="7">
                  <c:v>42667</c:v>
                </c:pt>
                <c:pt idx="8">
                  <c:v>42664</c:v>
                </c:pt>
                <c:pt idx="9">
                  <c:v>42663</c:v>
                </c:pt>
                <c:pt idx="10">
                  <c:v>42662</c:v>
                </c:pt>
                <c:pt idx="11">
                  <c:v>42661</c:v>
                </c:pt>
                <c:pt idx="12">
                  <c:v>42660</c:v>
                </c:pt>
                <c:pt idx="13">
                  <c:v>42657</c:v>
                </c:pt>
                <c:pt idx="14">
                  <c:v>42656</c:v>
                </c:pt>
                <c:pt idx="15">
                  <c:v>42655</c:v>
                </c:pt>
                <c:pt idx="16">
                  <c:v>42654</c:v>
                </c:pt>
                <c:pt idx="17">
                  <c:v>42653</c:v>
                </c:pt>
                <c:pt idx="18">
                  <c:v>42650</c:v>
                </c:pt>
                <c:pt idx="19">
                  <c:v>42649</c:v>
                </c:pt>
                <c:pt idx="20">
                  <c:v>42648</c:v>
                </c:pt>
                <c:pt idx="21">
                  <c:v>42647</c:v>
                </c:pt>
                <c:pt idx="22">
                  <c:v>42646</c:v>
                </c:pt>
                <c:pt idx="23">
                  <c:v>42643</c:v>
                </c:pt>
                <c:pt idx="24">
                  <c:v>42642</c:v>
                </c:pt>
                <c:pt idx="25">
                  <c:v>42641</c:v>
                </c:pt>
                <c:pt idx="26">
                  <c:v>42640</c:v>
                </c:pt>
                <c:pt idx="27">
                  <c:v>42639</c:v>
                </c:pt>
                <c:pt idx="28">
                  <c:v>42636</c:v>
                </c:pt>
                <c:pt idx="29">
                  <c:v>42635</c:v>
                </c:pt>
                <c:pt idx="30">
                  <c:v>42634</c:v>
                </c:pt>
                <c:pt idx="31">
                  <c:v>42633</c:v>
                </c:pt>
                <c:pt idx="32">
                  <c:v>42632</c:v>
                </c:pt>
                <c:pt idx="33">
                  <c:v>42629</c:v>
                </c:pt>
                <c:pt idx="34">
                  <c:v>42628</c:v>
                </c:pt>
                <c:pt idx="35">
                  <c:v>42627</c:v>
                </c:pt>
                <c:pt idx="36">
                  <c:v>42626</c:v>
                </c:pt>
                <c:pt idx="37">
                  <c:v>42625</c:v>
                </c:pt>
                <c:pt idx="38">
                  <c:v>42622</c:v>
                </c:pt>
                <c:pt idx="39">
                  <c:v>42621</c:v>
                </c:pt>
                <c:pt idx="40">
                  <c:v>42620</c:v>
                </c:pt>
                <c:pt idx="41">
                  <c:v>42619</c:v>
                </c:pt>
                <c:pt idx="42">
                  <c:v>42615</c:v>
                </c:pt>
                <c:pt idx="43">
                  <c:v>42614</c:v>
                </c:pt>
                <c:pt idx="44">
                  <c:v>42613</c:v>
                </c:pt>
                <c:pt idx="45">
                  <c:v>42612</c:v>
                </c:pt>
                <c:pt idx="46">
                  <c:v>42611</c:v>
                </c:pt>
                <c:pt idx="47">
                  <c:v>42608</c:v>
                </c:pt>
                <c:pt idx="48">
                  <c:v>42607</c:v>
                </c:pt>
                <c:pt idx="49">
                  <c:v>42606</c:v>
                </c:pt>
                <c:pt idx="50">
                  <c:v>42605</c:v>
                </c:pt>
                <c:pt idx="51">
                  <c:v>42604</c:v>
                </c:pt>
                <c:pt idx="52">
                  <c:v>42601</c:v>
                </c:pt>
                <c:pt idx="53">
                  <c:v>42600</c:v>
                </c:pt>
                <c:pt idx="54">
                  <c:v>42599</c:v>
                </c:pt>
                <c:pt idx="55">
                  <c:v>42598</c:v>
                </c:pt>
                <c:pt idx="56">
                  <c:v>42597</c:v>
                </c:pt>
                <c:pt idx="57">
                  <c:v>42594</c:v>
                </c:pt>
                <c:pt idx="58">
                  <c:v>42593</c:v>
                </c:pt>
                <c:pt idx="59">
                  <c:v>42592</c:v>
                </c:pt>
                <c:pt idx="60">
                  <c:v>42591</c:v>
                </c:pt>
                <c:pt idx="61">
                  <c:v>42590</c:v>
                </c:pt>
                <c:pt idx="62">
                  <c:v>42587</c:v>
                </c:pt>
                <c:pt idx="63">
                  <c:v>42586</c:v>
                </c:pt>
                <c:pt idx="64">
                  <c:v>42585</c:v>
                </c:pt>
                <c:pt idx="65">
                  <c:v>42584</c:v>
                </c:pt>
              </c:numCache>
            </c:numRef>
          </c:cat>
          <c:val>
            <c:numRef>
              <c:f>SWHC!$AA$2:$AA$69</c:f>
              <c:numCache>
                <c:formatCode>General</c:formatCode>
                <c:ptCount val="68"/>
                <c:pt idx="0">
                  <c:v>26.32</c:v>
                </c:pt>
                <c:pt idx="1">
                  <c:v>26.06</c:v>
                </c:pt>
                <c:pt idx="2">
                  <c:v>26.43</c:v>
                </c:pt>
                <c:pt idx="3">
                  <c:v>25.71</c:v>
                </c:pt>
                <c:pt idx="4">
                  <c:v>25.73</c:v>
                </c:pt>
                <c:pt idx="5">
                  <c:v>26.27</c:v>
                </c:pt>
                <c:pt idx="6">
                  <c:v>26.69</c:v>
                </c:pt>
                <c:pt idx="7">
                  <c:v>26.8</c:v>
                </c:pt>
                <c:pt idx="8">
                  <c:v>26.59</c:v>
                </c:pt>
                <c:pt idx="9">
                  <c:v>26.64</c:v>
                </c:pt>
                <c:pt idx="10">
                  <c:v>26.5</c:v>
                </c:pt>
                <c:pt idx="11">
                  <c:v>26.25</c:v>
                </c:pt>
                <c:pt idx="12">
                  <c:v>25.97</c:v>
                </c:pt>
                <c:pt idx="13">
                  <c:v>25.31</c:v>
                </c:pt>
                <c:pt idx="14">
                  <c:v>25.38</c:v>
                </c:pt>
                <c:pt idx="15">
                  <c:v>25.29</c:v>
                </c:pt>
                <c:pt idx="16">
                  <c:v>25.03</c:v>
                </c:pt>
                <c:pt idx="17">
                  <c:v>25.59</c:v>
                </c:pt>
                <c:pt idx="18">
                  <c:v>25.33</c:v>
                </c:pt>
                <c:pt idx="19">
                  <c:v>25.21</c:v>
                </c:pt>
                <c:pt idx="20">
                  <c:v>26.16</c:v>
                </c:pt>
                <c:pt idx="21">
                  <c:v>26.24</c:v>
                </c:pt>
                <c:pt idx="22">
                  <c:v>26.58</c:v>
                </c:pt>
                <c:pt idx="23">
                  <c:v>26.59</c:v>
                </c:pt>
                <c:pt idx="24">
                  <c:v>25.82</c:v>
                </c:pt>
                <c:pt idx="25">
                  <c:v>26</c:v>
                </c:pt>
                <c:pt idx="26">
                  <c:v>25.86</c:v>
                </c:pt>
                <c:pt idx="27">
                  <c:v>25.53</c:v>
                </c:pt>
                <c:pt idx="28">
                  <c:v>27.56</c:v>
                </c:pt>
                <c:pt idx="29">
                  <c:v>27.61</c:v>
                </c:pt>
                <c:pt idx="30">
                  <c:v>27.8</c:v>
                </c:pt>
                <c:pt idx="31">
                  <c:v>27.31</c:v>
                </c:pt>
                <c:pt idx="32">
                  <c:v>27.97</c:v>
                </c:pt>
                <c:pt idx="33">
                  <c:v>27.33</c:v>
                </c:pt>
                <c:pt idx="34">
                  <c:v>27.32</c:v>
                </c:pt>
                <c:pt idx="35">
                  <c:v>26.61</c:v>
                </c:pt>
                <c:pt idx="36">
                  <c:v>26.71</c:v>
                </c:pt>
                <c:pt idx="37">
                  <c:v>26.92</c:v>
                </c:pt>
                <c:pt idx="38">
                  <c:v>27.54</c:v>
                </c:pt>
                <c:pt idx="39">
                  <c:v>27.89</c:v>
                </c:pt>
                <c:pt idx="40">
                  <c:v>28.03</c:v>
                </c:pt>
                <c:pt idx="41">
                  <c:v>27.96</c:v>
                </c:pt>
                <c:pt idx="42">
                  <c:v>27.69</c:v>
                </c:pt>
                <c:pt idx="43">
                  <c:v>29.58</c:v>
                </c:pt>
                <c:pt idx="44">
                  <c:v>28.15</c:v>
                </c:pt>
                <c:pt idx="45">
                  <c:v>29.58</c:v>
                </c:pt>
                <c:pt idx="46">
                  <c:v>29.43</c:v>
                </c:pt>
                <c:pt idx="47">
                  <c:v>28.84</c:v>
                </c:pt>
                <c:pt idx="48">
                  <c:v>29.83</c:v>
                </c:pt>
                <c:pt idx="49">
                  <c:v>29.25</c:v>
                </c:pt>
                <c:pt idx="50">
                  <c:v>28.82</c:v>
                </c:pt>
                <c:pt idx="51">
                  <c:v>28.6</c:v>
                </c:pt>
                <c:pt idx="52">
                  <c:v>28.53</c:v>
                </c:pt>
                <c:pt idx="53">
                  <c:v>28.81</c:v>
                </c:pt>
                <c:pt idx="54">
                  <c:v>28.53</c:v>
                </c:pt>
                <c:pt idx="55">
                  <c:v>28.83</c:v>
                </c:pt>
                <c:pt idx="56">
                  <c:v>29.43</c:v>
                </c:pt>
                <c:pt idx="57">
                  <c:v>29.68</c:v>
                </c:pt>
                <c:pt idx="58">
                  <c:v>29.88</c:v>
                </c:pt>
                <c:pt idx="59">
                  <c:v>29.88</c:v>
                </c:pt>
                <c:pt idx="60">
                  <c:v>29.72</c:v>
                </c:pt>
                <c:pt idx="61">
                  <c:v>29.54</c:v>
                </c:pt>
                <c:pt idx="62">
                  <c:v>29.72</c:v>
                </c:pt>
                <c:pt idx="63">
                  <c:v>29.58</c:v>
                </c:pt>
                <c:pt idx="64">
                  <c:v>29.73</c:v>
                </c:pt>
                <c:pt idx="65">
                  <c:v>29.8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015904"/>
        <c:axId val="511022960"/>
      </c:lineChart>
      <c:dateAx>
        <c:axId val="5110159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022960"/>
        <c:crosses val="autoZero"/>
        <c:auto val="1"/>
        <c:lblOffset val="100"/>
        <c:baseTimeUnit val="days"/>
      </c:dateAx>
      <c:valAx>
        <c:axId val="51102296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015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42676</c:v>
                </c:pt>
                <c:pt idx="1">
                  <c:v>42675</c:v>
                </c:pt>
                <c:pt idx="2">
                  <c:v>42674</c:v>
                </c:pt>
                <c:pt idx="3">
                  <c:v>42671</c:v>
                </c:pt>
                <c:pt idx="4">
                  <c:v>42670</c:v>
                </c:pt>
                <c:pt idx="5">
                  <c:v>42669</c:v>
                </c:pt>
                <c:pt idx="6">
                  <c:v>42668</c:v>
                </c:pt>
                <c:pt idx="7">
                  <c:v>42667</c:v>
                </c:pt>
                <c:pt idx="8">
                  <c:v>42664</c:v>
                </c:pt>
                <c:pt idx="9">
                  <c:v>42663</c:v>
                </c:pt>
                <c:pt idx="10">
                  <c:v>42662</c:v>
                </c:pt>
                <c:pt idx="11">
                  <c:v>42661</c:v>
                </c:pt>
                <c:pt idx="12">
                  <c:v>42660</c:v>
                </c:pt>
                <c:pt idx="13">
                  <c:v>42657</c:v>
                </c:pt>
                <c:pt idx="14">
                  <c:v>42656</c:v>
                </c:pt>
                <c:pt idx="15">
                  <c:v>42655</c:v>
                </c:pt>
                <c:pt idx="16">
                  <c:v>42654</c:v>
                </c:pt>
                <c:pt idx="17">
                  <c:v>42653</c:v>
                </c:pt>
                <c:pt idx="18">
                  <c:v>42650</c:v>
                </c:pt>
                <c:pt idx="19">
                  <c:v>42649</c:v>
                </c:pt>
                <c:pt idx="20">
                  <c:v>42648</c:v>
                </c:pt>
                <c:pt idx="21">
                  <c:v>42647</c:v>
                </c:pt>
                <c:pt idx="22">
                  <c:v>42646</c:v>
                </c:pt>
                <c:pt idx="23">
                  <c:v>42643</c:v>
                </c:pt>
                <c:pt idx="24">
                  <c:v>42642</c:v>
                </c:pt>
                <c:pt idx="25">
                  <c:v>42641</c:v>
                </c:pt>
                <c:pt idx="26">
                  <c:v>42640</c:v>
                </c:pt>
                <c:pt idx="27">
                  <c:v>42639</c:v>
                </c:pt>
                <c:pt idx="28">
                  <c:v>42636</c:v>
                </c:pt>
                <c:pt idx="29">
                  <c:v>42635</c:v>
                </c:pt>
                <c:pt idx="30">
                  <c:v>42634</c:v>
                </c:pt>
                <c:pt idx="31">
                  <c:v>42633</c:v>
                </c:pt>
                <c:pt idx="32">
                  <c:v>42632</c:v>
                </c:pt>
                <c:pt idx="33">
                  <c:v>42629</c:v>
                </c:pt>
                <c:pt idx="34">
                  <c:v>42628</c:v>
                </c:pt>
                <c:pt idx="35">
                  <c:v>42627</c:v>
                </c:pt>
                <c:pt idx="36">
                  <c:v>42626</c:v>
                </c:pt>
                <c:pt idx="37">
                  <c:v>42625</c:v>
                </c:pt>
                <c:pt idx="38">
                  <c:v>42622</c:v>
                </c:pt>
                <c:pt idx="39">
                  <c:v>42621</c:v>
                </c:pt>
                <c:pt idx="40">
                  <c:v>42620</c:v>
                </c:pt>
                <c:pt idx="41">
                  <c:v>42619</c:v>
                </c:pt>
                <c:pt idx="42">
                  <c:v>42615</c:v>
                </c:pt>
                <c:pt idx="43">
                  <c:v>42614</c:v>
                </c:pt>
                <c:pt idx="44">
                  <c:v>42613</c:v>
                </c:pt>
                <c:pt idx="45">
                  <c:v>42612</c:v>
                </c:pt>
                <c:pt idx="46">
                  <c:v>42611</c:v>
                </c:pt>
                <c:pt idx="47">
                  <c:v>42608</c:v>
                </c:pt>
                <c:pt idx="48">
                  <c:v>42607</c:v>
                </c:pt>
                <c:pt idx="49">
                  <c:v>42606</c:v>
                </c:pt>
                <c:pt idx="50">
                  <c:v>42605</c:v>
                </c:pt>
                <c:pt idx="51">
                  <c:v>42604</c:v>
                </c:pt>
                <c:pt idx="52">
                  <c:v>42601</c:v>
                </c:pt>
                <c:pt idx="53">
                  <c:v>42600</c:v>
                </c:pt>
                <c:pt idx="54">
                  <c:v>42599</c:v>
                </c:pt>
                <c:pt idx="55">
                  <c:v>42598</c:v>
                </c:pt>
                <c:pt idx="56">
                  <c:v>42597</c:v>
                </c:pt>
                <c:pt idx="57">
                  <c:v>42594</c:v>
                </c:pt>
                <c:pt idx="58">
                  <c:v>42593</c:v>
                </c:pt>
                <c:pt idx="59">
                  <c:v>42593</c:v>
                </c:pt>
                <c:pt idx="60">
                  <c:v>42592</c:v>
                </c:pt>
                <c:pt idx="61">
                  <c:v>42591</c:v>
                </c:pt>
                <c:pt idx="62">
                  <c:v>42590</c:v>
                </c:pt>
                <c:pt idx="63">
                  <c:v>42587</c:v>
                </c:pt>
                <c:pt idx="64">
                  <c:v>42586</c:v>
                </c:pt>
                <c:pt idx="65">
                  <c:v>42585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24.7</c:v>
                </c:pt>
                <c:pt idx="1">
                  <c:v>24.89</c:v>
                </c:pt>
                <c:pt idx="2">
                  <c:v>24.01</c:v>
                </c:pt>
                <c:pt idx="3">
                  <c:v>24.52</c:v>
                </c:pt>
                <c:pt idx="4">
                  <c:v>24.53</c:v>
                </c:pt>
                <c:pt idx="5">
                  <c:v>25.55</c:v>
                </c:pt>
                <c:pt idx="6">
                  <c:v>25.54</c:v>
                </c:pt>
                <c:pt idx="7">
                  <c:v>25.35</c:v>
                </c:pt>
                <c:pt idx="8">
                  <c:v>25.92</c:v>
                </c:pt>
                <c:pt idx="9">
                  <c:v>24.98</c:v>
                </c:pt>
                <c:pt idx="10">
                  <c:v>24.15</c:v>
                </c:pt>
                <c:pt idx="11">
                  <c:v>23.46</c:v>
                </c:pt>
                <c:pt idx="12">
                  <c:v>22.6</c:v>
                </c:pt>
                <c:pt idx="13">
                  <c:v>22.28</c:v>
                </c:pt>
                <c:pt idx="14">
                  <c:v>23.04</c:v>
                </c:pt>
                <c:pt idx="15">
                  <c:v>22.92</c:v>
                </c:pt>
                <c:pt idx="16">
                  <c:v>23.46</c:v>
                </c:pt>
                <c:pt idx="17">
                  <c:v>23.86</c:v>
                </c:pt>
                <c:pt idx="18">
                  <c:v>23.95</c:v>
                </c:pt>
                <c:pt idx="19">
                  <c:v>24.66</c:v>
                </c:pt>
                <c:pt idx="20">
                  <c:v>24.86</c:v>
                </c:pt>
                <c:pt idx="21">
                  <c:v>24.4</c:v>
                </c:pt>
                <c:pt idx="22">
                  <c:v>24.21</c:v>
                </c:pt>
                <c:pt idx="23">
                  <c:v>24.35</c:v>
                </c:pt>
                <c:pt idx="24">
                  <c:v>24.2</c:v>
                </c:pt>
                <c:pt idx="25">
                  <c:v>23.95</c:v>
                </c:pt>
                <c:pt idx="26">
                  <c:v>22.89</c:v>
                </c:pt>
                <c:pt idx="27">
                  <c:v>22.64</c:v>
                </c:pt>
                <c:pt idx="28">
                  <c:v>22.63</c:v>
                </c:pt>
                <c:pt idx="29">
                  <c:v>23.23</c:v>
                </c:pt>
                <c:pt idx="30">
                  <c:v>23.03</c:v>
                </c:pt>
                <c:pt idx="31">
                  <c:v>23.3</c:v>
                </c:pt>
                <c:pt idx="32">
                  <c:v>23.68</c:v>
                </c:pt>
                <c:pt idx="33">
                  <c:v>24.02</c:v>
                </c:pt>
                <c:pt idx="34">
                  <c:v>24.09</c:v>
                </c:pt>
                <c:pt idx="35">
                  <c:v>24.03</c:v>
                </c:pt>
                <c:pt idx="36">
                  <c:v>24.01</c:v>
                </c:pt>
                <c:pt idx="37">
                  <c:v>25.51</c:v>
                </c:pt>
                <c:pt idx="38">
                  <c:v>25</c:v>
                </c:pt>
                <c:pt idx="39">
                  <c:v>25.96</c:v>
                </c:pt>
                <c:pt idx="40">
                  <c:v>25.53</c:v>
                </c:pt>
                <c:pt idx="41">
                  <c:v>25.65</c:v>
                </c:pt>
                <c:pt idx="42">
                  <c:v>25.94</c:v>
                </c:pt>
                <c:pt idx="43">
                  <c:v>25.6</c:v>
                </c:pt>
                <c:pt idx="44">
                  <c:v>26</c:v>
                </c:pt>
                <c:pt idx="45">
                  <c:v>26.17</c:v>
                </c:pt>
                <c:pt idx="46">
                  <c:v>24.98</c:v>
                </c:pt>
                <c:pt idx="47">
                  <c:v>23.98</c:v>
                </c:pt>
                <c:pt idx="48">
                  <c:v>24.23</c:v>
                </c:pt>
                <c:pt idx="49">
                  <c:v>24.04</c:v>
                </c:pt>
                <c:pt idx="50">
                  <c:v>24.83</c:v>
                </c:pt>
                <c:pt idx="51">
                  <c:v>23.69</c:v>
                </c:pt>
                <c:pt idx="52">
                  <c:v>23.02</c:v>
                </c:pt>
                <c:pt idx="53">
                  <c:v>22.74</c:v>
                </c:pt>
                <c:pt idx="54">
                  <c:v>23.31</c:v>
                </c:pt>
                <c:pt idx="55">
                  <c:v>23.2</c:v>
                </c:pt>
                <c:pt idx="56">
                  <c:v>23.2</c:v>
                </c:pt>
                <c:pt idx="57">
                  <c:v>22.35</c:v>
                </c:pt>
                <c:pt idx="58">
                  <c:v>22.26</c:v>
                </c:pt>
                <c:pt idx="60">
                  <c:v>21.57</c:v>
                </c:pt>
                <c:pt idx="61">
                  <c:v>22.12</c:v>
                </c:pt>
                <c:pt idx="62">
                  <c:v>23.19</c:v>
                </c:pt>
                <c:pt idx="63">
                  <c:v>22.09</c:v>
                </c:pt>
                <c:pt idx="64">
                  <c:v>21.43</c:v>
                </c:pt>
                <c:pt idx="65">
                  <c:v>24.52</c:v>
                </c:pt>
                <c:pt idx="66">
                  <c:v>24.49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019432"/>
        <c:axId val="511019040"/>
      </c:lineChart>
      <c:dateAx>
        <c:axId val="5110194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019040"/>
        <c:crosses val="autoZero"/>
        <c:auto val="1"/>
        <c:lblOffset val="100"/>
        <c:baseTimeUnit val="days"/>
      </c:dateAx>
      <c:valAx>
        <c:axId val="51101904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019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42676</c:v>
                </c:pt>
                <c:pt idx="1">
                  <c:v>42675</c:v>
                </c:pt>
                <c:pt idx="2">
                  <c:v>42674</c:v>
                </c:pt>
                <c:pt idx="3">
                  <c:v>42671</c:v>
                </c:pt>
                <c:pt idx="4">
                  <c:v>42670</c:v>
                </c:pt>
                <c:pt idx="5">
                  <c:v>42669</c:v>
                </c:pt>
                <c:pt idx="6">
                  <c:v>42668</c:v>
                </c:pt>
                <c:pt idx="7">
                  <c:v>42667</c:v>
                </c:pt>
                <c:pt idx="8">
                  <c:v>42664</c:v>
                </c:pt>
                <c:pt idx="9">
                  <c:v>42663</c:v>
                </c:pt>
                <c:pt idx="10">
                  <c:v>42662</c:v>
                </c:pt>
                <c:pt idx="11">
                  <c:v>42661</c:v>
                </c:pt>
                <c:pt idx="12">
                  <c:v>42660</c:v>
                </c:pt>
                <c:pt idx="13">
                  <c:v>42657</c:v>
                </c:pt>
                <c:pt idx="14">
                  <c:v>42656</c:v>
                </c:pt>
                <c:pt idx="15">
                  <c:v>42655</c:v>
                </c:pt>
                <c:pt idx="16">
                  <c:v>42654</c:v>
                </c:pt>
                <c:pt idx="17">
                  <c:v>42653</c:v>
                </c:pt>
                <c:pt idx="18">
                  <c:v>42650</c:v>
                </c:pt>
                <c:pt idx="19">
                  <c:v>42649</c:v>
                </c:pt>
                <c:pt idx="20">
                  <c:v>42648</c:v>
                </c:pt>
                <c:pt idx="21">
                  <c:v>42647</c:v>
                </c:pt>
                <c:pt idx="22">
                  <c:v>42646</c:v>
                </c:pt>
                <c:pt idx="23">
                  <c:v>42643</c:v>
                </c:pt>
                <c:pt idx="24">
                  <c:v>42642</c:v>
                </c:pt>
                <c:pt idx="25">
                  <c:v>42641</c:v>
                </c:pt>
                <c:pt idx="26">
                  <c:v>42640</c:v>
                </c:pt>
                <c:pt idx="27">
                  <c:v>42639</c:v>
                </c:pt>
                <c:pt idx="28">
                  <c:v>42636</c:v>
                </c:pt>
                <c:pt idx="29">
                  <c:v>42635</c:v>
                </c:pt>
                <c:pt idx="30">
                  <c:v>42634</c:v>
                </c:pt>
                <c:pt idx="31">
                  <c:v>42633</c:v>
                </c:pt>
                <c:pt idx="32">
                  <c:v>42632</c:v>
                </c:pt>
                <c:pt idx="33">
                  <c:v>42629</c:v>
                </c:pt>
                <c:pt idx="34">
                  <c:v>42628</c:v>
                </c:pt>
                <c:pt idx="35">
                  <c:v>42627</c:v>
                </c:pt>
                <c:pt idx="36">
                  <c:v>42626</c:v>
                </c:pt>
                <c:pt idx="37">
                  <c:v>42625</c:v>
                </c:pt>
                <c:pt idx="38">
                  <c:v>42622</c:v>
                </c:pt>
                <c:pt idx="39">
                  <c:v>42621</c:v>
                </c:pt>
                <c:pt idx="40">
                  <c:v>42620</c:v>
                </c:pt>
                <c:pt idx="41">
                  <c:v>42619</c:v>
                </c:pt>
                <c:pt idx="42">
                  <c:v>42615</c:v>
                </c:pt>
                <c:pt idx="43">
                  <c:v>42614</c:v>
                </c:pt>
                <c:pt idx="44">
                  <c:v>42613</c:v>
                </c:pt>
                <c:pt idx="45">
                  <c:v>42612</c:v>
                </c:pt>
                <c:pt idx="46">
                  <c:v>42611</c:v>
                </c:pt>
                <c:pt idx="47">
                  <c:v>42608</c:v>
                </c:pt>
                <c:pt idx="48">
                  <c:v>42607</c:v>
                </c:pt>
                <c:pt idx="49">
                  <c:v>42606</c:v>
                </c:pt>
                <c:pt idx="50">
                  <c:v>42605</c:v>
                </c:pt>
                <c:pt idx="51">
                  <c:v>42604</c:v>
                </c:pt>
                <c:pt idx="52">
                  <c:v>42601</c:v>
                </c:pt>
                <c:pt idx="53">
                  <c:v>42600</c:v>
                </c:pt>
                <c:pt idx="54">
                  <c:v>42599</c:v>
                </c:pt>
                <c:pt idx="55">
                  <c:v>42598</c:v>
                </c:pt>
                <c:pt idx="56">
                  <c:v>42598</c:v>
                </c:pt>
                <c:pt idx="57">
                  <c:v>42597</c:v>
                </c:pt>
                <c:pt idx="58">
                  <c:v>42594</c:v>
                </c:pt>
                <c:pt idx="59">
                  <c:v>42593</c:v>
                </c:pt>
                <c:pt idx="60">
                  <c:v>42592</c:v>
                </c:pt>
                <c:pt idx="61">
                  <c:v>42591</c:v>
                </c:pt>
                <c:pt idx="62">
                  <c:v>42590</c:v>
                </c:pt>
                <c:pt idx="63">
                  <c:v>42587</c:v>
                </c:pt>
                <c:pt idx="64">
                  <c:v>42586</c:v>
                </c:pt>
                <c:pt idx="65">
                  <c:v>42585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39.61</c:v>
                </c:pt>
                <c:pt idx="1">
                  <c:v>39.68</c:v>
                </c:pt>
                <c:pt idx="2">
                  <c:v>40.049999999999997</c:v>
                </c:pt>
                <c:pt idx="3">
                  <c:v>39.18</c:v>
                </c:pt>
                <c:pt idx="4">
                  <c:v>39.24</c:v>
                </c:pt>
                <c:pt idx="5">
                  <c:v>38.4</c:v>
                </c:pt>
                <c:pt idx="6">
                  <c:v>41.95</c:v>
                </c:pt>
                <c:pt idx="7">
                  <c:v>42.33</c:v>
                </c:pt>
                <c:pt idx="8">
                  <c:v>42.43</c:v>
                </c:pt>
                <c:pt idx="9">
                  <c:v>42.29</c:v>
                </c:pt>
                <c:pt idx="10">
                  <c:v>42.25</c:v>
                </c:pt>
                <c:pt idx="11">
                  <c:v>41.68</c:v>
                </c:pt>
                <c:pt idx="12">
                  <c:v>41.24</c:v>
                </c:pt>
                <c:pt idx="13">
                  <c:v>41.32</c:v>
                </c:pt>
                <c:pt idx="14">
                  <c:v>41.38</c:v>
                </c:pt>
                <c:pt idx="15">
                  <c:v>40.01</c:v>
                </c:pt>
                <c:pt idx="16">
                  <c:v>39.79</c:v>
                </c:pt>
                <c:pt idx="17">
                  <c:v>39.770000000000003</c:v>
                </c:pt>
                <c:pt idx="18">
                  <c:v>38.47</c:v>
                </c:pt>
                <c:pt idx="19">
                  <c:v>39.17</c:v>
                </c:pt>
                <c:pt idx="20">
                  <c:v>39.1</c:v>
                </c:pt>
                <c:pt idx="21">
                  <c:v>39.159999999999997</c:v>
                </c:pt>
                <c:pt idx="22">
                  <c:v>39.74</c:v>
                </c:pt>
                <c:pt idx="23">
                  <c:v>38.89</c:v>
                </c:pt>
                <c:pt idx="24">
                  <c:v>38.15</c:v>
                </c:pt>
                <c:pt idx="25">
                  <c:v>38.07</c:v>
                </c:pt>
                <c:pt idx="26">
                  <c:v>38.54</c:v>
                </c:pt>
                <c:pt idx="27">
                  <c:v>36.869999999999997</c:v>
                </c:pt>
                <c:pt idx="28">
                  <c:v>37.24</c:v>
                </c:pt>
                <c:pt idx="29">
                  <c:v>37.33</c:v>
                </c:pt>
                <c:pt idx="30">
                  <c:v>36.909999999999997</c:v>
                </c:pt>
                <c:pt idx="31">
                  <c:v>36.82</c:v>
                </c:pt>
                <c:pt idx="32">
                  <c:v>36.700000000000003</c:v>
                </c:pt>
                <c:pt idx="33">
                  <c:v>36.590000000000003</c:v>
                </c:pt>
                <c:pt idx="34">
                  <c:v>36.99</c:v>
                </c:pt>
                <c:pt idx="35">
                  <c:v>36.840000000000003</c:v>
                </c:pt>
                <c:pt idx="36">
                  <c:v>37.14</c:v>
                </c:pt>
                <c:pt idx="37">
                  <c:v>37.82</c:v>
                </c:pt>
                <c:pt idx="38">
                  <c:v>37.340000000000003</c:v>
                </c:pt>
                <c:pt idx="39">
                  <c:v>38.76</c:v>
                </c:pt>
                <c:pt idx="40">
                  <c:v>38.68</c:v>
                </c:pt>
                <c:pt idx="41">
                  <c:v>36.950000000000003</c:v>
                </c:pt>
                <c:pt idx="42">
                  <c:v>36.89</c:v>
                </c:pt>
                <c:pt idx="43">
                  <c:v>36.590000000000003</c:v>
                </c:pt>
                <c:pt idx="44">
                  <c:v>36.880000000000003</c:v>
                </c:pt>
                <c:pt idx="45">
                  <c:v>37.18</c:v>
                </c:pt>
                <c:pt idx="46">
                  <c:v>36.450000000000003</c:v>
                </c:pt>
                <c:pt idx="47">
                  <c:v>36.270000000000003</c:v>
                </c:pt>
                <c:pt idx="48">
                  <c:v>36.69</c:v>
                </c:pt>
                <c:pt idx="49">
                  <c:v>36.659999999999997</c:v>
                </c:pt>
                <c:pt idx="50">
                  <c:v>36.69</c:v>
                </c:pt>
                <c:pt idx="51">
                  <c:v>36.28</c:v>
                </c:pt>
                <c:pt idx="52">
                  <c:v>36.35</c:v>
                </c:pt>
                <c:pt idx="53">
                  <c:v>36.840000000000003</c:v>
                </c:pt>
                <c:pt idx="54">
                  <c:v>36.85</c:v>
                </c:pt>
                <c:pt idx="55">
                  <c:v>36.520000000000003</c:v>
                </c:pt>
                <c:pt idx="57">
                  <c:v>36.880000000000003</c:v>
                </c:pt>
                <c:pt idx="58">
                  <c:v>36.520000000000003</c:v>
                </c:pt>
                <c:pt idx="59">
                  <c:v>37.24</c:v>
                </c:pt>
                <c:pt idx="60">
                  <c:v>36.99</c:v>
                </c:pt>
                <c:pt idx="61">
                  <c:v>37.46</c:v>
                </c:pt>
                <c:pt idx="62">
                  <c:v>37.450000000000003</c:v>
                </c:pt>
                <c:pt idx="63">
                  <c:v>37.85</c:v>
                </c:pt>
                <c:pt idx="64">
                  <c:v>36.42</c:v>
                </c:pt>
                <c:pt idx="65">
                  <c:v>35.880000000000003</c:v>
                </c:pt>
                <c:pt idx="66">
                  <c:v>35.54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012376"/>
        <c:axId val="511021000"/>
      </c:lineChart>
      <c:dateAx>
        <c:axId val="5110123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021000"/>
        <c:crosses val="autoZero"/>
        <c:auto val="1"/>
        <c:lblOffset val="100"/>
        <c:baseTimeUnit val="days"/>
      </c:dateAx>
      <c:valAx>
        <c:axId val="511021000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012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42676</c:v>
                </c:pt>
                <c:pt idx="1">
                  <c:v>42675</c:v>
                </c:pt>
                <c:pt idx="2">
                  <c:v>42674</c:v>
                </c:pt>
                <c:pt idx="3">
                  <c:v>42671</c:v>
                </c:pt>
                <c:pt idx="4">
                  <c:v>42670</c:v>
                </c:pt>
                <c:pt idx="5">
                  <c:v>42669</c:v>
                </c:pt>
                <c:pt idx="6">
                  <c:v>42668</c:v>
                </c:pt>
                <c:pt idx="7">
                  <c:v>42667</c:v>
                </c:pt>
                <c:pt idx="8">
                  <c:v>42664</c:v>
                </c:pt>
                <c:pt idx="9">
                  <c:v>42663</c:v>
                </c:pt>
                <c:pt idx="10">
                  <c:v>42662</c:v>
                </c:pt>
                <c:pt idx="11">
                  <c:v>42661</c:v>
                </c:pt>
                <c:pt idx="12">
                  <c:v>42660</c:v>
                </c:pt>
                <c:pt idx="13">
                  <c:v>42657</c:v>
                </c:pt>
                <c:pt idx="14">
                  <c:v>42656</c:v>
                </c:pt>
                <c:pt idx="15">
                  <c:v>42655</c:v>
                </c:pt>
                <c:pt idx="16">
                  <c:v>42654</c:v>
                </c:pt>
                <c:pt idx="17">
                  <c:v>42653</c:v>
                </c:pt>
                <c:pt idx="18">
                  <c:v>42650</c:v>
                </c:pt>
                <c:pt idx="19">
                  <c:v>42649</c:v>
                </c:pt>
                <c:pt idx="20">
                  <c:v>42648</c:v>
                </c:pt>
                <c:pt idx="21">
                  <c:v>42648</c:v>
                </c:pt>
                <c:pt idx="22">
                  <c:v>42647</c:v>
                </c:pt>
                <c:pt idx="23">
                  <c:v>42646</c:v>
                </c:pt>
                <c:pt idx="24">
                  <c:v>42643</c:v>
                </c:pt>
                <c:pt idx="25">
                  <c:v>42642</c:v>
                </c:pt>
                <c:pt idx="26">
                  <c:v>42641</c:v>
                </c:pt>
                <c:pt idx="27">
                  <c:v>42640</c:v>
                </c:pt>
                <c:pt idx="28">
                  <c:v>42639</c:v>
                </c:pt>
                <c:pt idx="29">
                  <c:v>42636</c:v>
                </c:pt>
                <c:pt idx="30">
                  <c:v>42635</c:v>
                </c:pt>
                <c:pt idx="31">
                  <c:v>42634</c:v>
                </c:pt>
                <c:pt idx="32">
                  <c:v>42633</c:v>
                </c:pt>
                <c:pt idx="33">
                  <c:v>42632</c:v>
                </c:pt>
                <c:pt idx="34">
                  <c:v>42629</c:v>
                </c:pt>
                <c:pt idx="35">
                  <c:v>42628</c:v>
                </c:pt>
                <c:pt idx="36">
                  <c:v>42627</c:v>
                </c:pt>
                <c:pt idx="37">
                  <c:v>42626</c:v>
                </c:pt>
                <c:pt idx="38">
                  <c:v>42625</c:v>
                </c:pt>
                <c:pt idx="39">
                  <c:v>42622</c:v>
                </c:pt>
                <c:pt idx="40">
                  <c:v>42621</c:v>
                </c:pt>
                <c:pt idx="41">
                  <c:v>42620</c:v>
                </c:pt>
                <c:pt idx="42">
                  <c:v>42619</c:v>
                </c:pt>
                <c:pt idx="43">
                  <c:v>42615</c:v>
                </c:pt>
                <c:pt idx="44">
                  <c:v>42614</c:v>
                </c:pt>
                <c:pt idx="45">
                  <c:v>42613</c:v>
                </c:pt>
                <c:pt idx="46">
                  <c:v>42612</c:v>
                </c:pt>
                <c:pt idx="47">
                  <c:v>42611</c:v>
                </c:pt>
                <c:pt idx="48">
                  <c:v>42608</c:v>
                </c:pt>
                <c:pt idx="49">
                  <c:v>42607</c:v>
                </c:pt>
                <c:pt idx="50">
                  <c:v>42606</c:v>
                </c:pt>
                <c:pt idx="51">
                  <c:v>42605</c:v>
                </c:pt>
                <c:pt idx="52">
                  <c:v>42604</c:v>
                </c:pt>
                <c:pt idx="53">
                  <c:v>42601</c:v>
                </c:pt>
                <c:pt idx="54">
                  <c:v>42600</c:v>
                </c:pt>
                <c:pt idx="55">
                  <c:v>42599</c:v>
                </c:pt>
                <c:pt idx="56">
                  <c:v>42598</c:v>
                </c:pt>
                <c:pt idx="57">
                  <c:v>42597</c:v>
                </c:pt>
                <c:pt idx="58">
                  <c:v>42594</c:v>
                </c:pt>
                <c:pt idx="59">
                  <c:v>42593</c:v>
                </c:pt>
                <c:pt idx="60">
                  <c:v>42592</c:v>
                </c:pt>
                <c:pt idx="61">
                  <c:v>42591</c:v>
                </c:pt>
                <c:pt idx="62">
                  <c:v>42590</c:v>
                </c:pt>
                <c:pt idx="63">
                  <c:v>42587</c:v>
                </c:pt>
                <c:pt idx="64">
                  <c:v>42586</c:v>
                </c:pt>
                <c:pt idx="65">
                  <c:v>42585</c:v>
                </c:pt>
              </c:numCache>
            </c:numRef>
          </c:cat>
          <c:val>
            <c:numRef>
              <c:f>BMY!$AA$2:$AA$70</c:f>
              <c:numCache>
                <c:formatCode>General</c:formatCode>
                <c:ptCount val="69"/>
                <c:pt idx="0">
                  <c:v>50.57</c:v>
                </c:pt>
                <c:pt idx="1">
                  <c:v>50.8</c:v>
                </c:pt>
                <c:pt idx="2">
                  <c:v>50.91</c:v>
                </c:pt>
                <c:pt idx="3">
                  <c:v>51</c:v>
                </c:pt>
                <c:pt idx="4">
                  <c:v>51.96</c:v>
                </c:pt>
                <c:pt idx="5">
                  <c:v>49.29</c:v>
                </c:pt>
                <c:pt idx="6">
                  <c:v>49.55</c:v>
                </c:pt>
                <c:pt idx="7">
                  <c:v>49.23</c:v>
                </c:pt>
                <c:pt idx="8">
                  <c:v>50.02</c:v>
                </c:pt>
                <c:pt idx="9">
                  <c:v>50.36</c:v>
                </c:pt>
                <c:pt idx="10">
                  <c:v>49.87</c:v>
                </c:pt>
                <c:pt idx="11">
                  <c:v>50.05</c:v>
                </c:pt>
                <c:pt idx="12">
                  <c:v>49.34</c:v>
                </c:pt>
                <c:pt idx="13">
                  <c:v>49.77</c:v>
                </c:pt>
                <c:pt idx="14">
                  <c:v>50.24</c:v>
                </c:pt>
                <c:pt idx="15">
                  <c:v>50.01</c:v>
                </c:pt>
                <c:pt idx="16">
                  <c:v>49.55</c:v>
                </c:pt>
                <c:pt idx="17">
                  <c:v>49.81</c:v>
                </c:pt>
                <c:pt idx="18">
                  <c:v>55.43</c:v>
                </c:pt>
                <c:pt idx="19">
                  <c:v>55.05</c:v>
                </c:pt>
                <c:pt idx="20">
                  <c:v>54.79</c:v>
                </c:pt>
                <c:pt idx="22">
                  <c:v>55.21</c:v>
                </c:pt>
                <c:pt idx="23">
                  <c:v>54.66</c:v>
                </c:pt>
                <c:pt idx="24">
                  <c:v>53.92</c:v>
                </c:pt>
                <c:pt idx="25">
                  <c:v>53.87</c:v>
                </c:pt>
                <c:pt idx="26">
                  <c:v>55.09</c:v>
                </c:pt>
                <c:pt idx="27">
                  <c:v>55.74</c:v>
                </c:pt>
                <c:pt idx="28">
                  <c:v>55.48</c:v>
                </c:pt>
                <c:pt idx="29">
                  <c:v>56.48</c:v>
                </c:pt>
                <c:pt idx="30">
                  <c:v>56.42</c:v>
                </c:pt>
                <c:pt idx="31">
                  <c:v>55.93</c:v>
                </c:pt>
                <c:pt idx="32">
                  <c:v>55.56</c:v>
                </c:pt>
                <c:pt idx="33">
                  <c:v>55.08</c:v>
                </c:pt>
                <c:pt idx="34">
                  <c:v>55.6</c:v>
                </c:pt>
                <c:pt idx="35">
                  <c:v>55.97</c:v>
                </c:pt>
                <c:pt idx="36">
                  <c:v>55.23</c:v>
                </c:pt>
                <c:pt idx="37">
                  <c:v>55.6</c:v>
                </c:pt>
                <c:pt idx="38">
                  <c:v>56.32</c:v>
                </c:pt>
                <c:pt idx="39">
                  <c:v>55.66</c:v>
                </c:pt>
                <c:pt idx="40">
                  <c:v>56.81</c:v>
                </c:pt>
                <c:pt idx="41">
                  <c:v>56.57</c:v>
                </c:pt>
                <c:pt idx="42">
                  <c:v>56.96</c:v>
                </c:pt>
                <c:pt idx="43">
                  <c:v>56.35</c:v>
                </c:pt>
                <c:pt idx="44">
                  <c:v>56.76</c:v>
                </c:pt>
                <c:pt idx="45">
                  <c:v>57.39</c:v>
                </c:pt>
                <c:pt idx="46">
                  <c:v>57.24</c:v>
                </c:pt>
                <c:pt idx="47">
                  <c:v>58.76</c:v>
                </c:pt>
                <c:pt idx="48">
                  <c:v>58.77</c:v>
                </c:pt>
                <c:pt idx="49">
                  <c:v>58.76</c:v>
                </c:pt>
                <c:pt idx="50">
                  <c:v>58.59</c:v>
                </c:pt>
                <c:pt idx="51">
                  <c:v>59.86</c:v>
                </c:pt>
                <c:pt idx="52">
                  <c:v>59.26</c:v>
                </c:pt>
                <c:pt idx="53">
                  <c:v>59.29</c:v>
                </c:pt>
                <c:pt idx="54">
                  <c:v>58.68</c:v>
                </c:pt>
                <c:pt idx="55">
                  <c:v>58.3</c:v>
                </c:pt>
                <c:pt idx="56">
                  <c:v>59.41</c:v>
                </c:pt>
                <c:pt idx="57">
                  <c:v>60.03</c:v>
                </c:pt>
                <c:pt idx="58">
                  <c:v>60.63</c:v>
                </c:pt>
                <c:pt idx="59">
                  <c:v>60.97</c:v>
                </c:pt>
                <c:pt idx="60">
                  <c:v>60.58</c:v>
                </c:pt>
                <c:pt idx="61">
                  <c:v>61.61</c:v>
                </c:pt>
                <c:pt idx="62">
                  <c:v>60.3</c:v>
                </c:pt>
                <c:pt idx="63">
                  <c:v>63.28</c:v>
                </c:pt>
                <c:pt idx="64">
                  <c:v>75.319999999999993</c:v>
                </c:pt>
                <c:pt idx="65">
                  <c:v>74.8</c:v>
                </c:pt>
                <c:pt idx="66">
                  <c:v>75.05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021784"/>
        <c:axId val="511020216"/>
      </c:lineChart>
      <c:dateAx>
        <c:axId val="511021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020216"/>
        <c:crosses val="autoZero"/>
        <c:auto val="1"/>
        <c:lblOffset val="100"/>
        <c:baseTimeUnit val="days"/>
      </c:dateAx>
      <c:valAx>
        <c:axId val="51102021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021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42676</c:v>
                </c:pt>
                <c:pt idx="1">
                  <c:v>42675</c:v>
                </c:pt>
                <c:pt idx="2">
                  <c:v>42674</c:v>
                </c:pt>
                <c:pt idx="3">
                  <c:v>42671</c:v>
                </c:pt>
                <c:pt idx="4">
                  <c:v>42670</c:v>
                </c:pt>
                <c:pt idx="5">
                  <c:v>42669</c:v>
                </c:pt>
                <c:pt idx="6">
                  <c:v>42668</c:v>
                </c:pt>
                <c:pt idx="7">
                  <c:v>42667</c:v>
                </c:pt>
                <c:pt idx="8">
                  <c:v>42664</c:v>
                </c:pt>
                <c:pt idx="9">
                  <c:v>42663</c:v>
                </c:pt>
                <c:pt idx="10">
                  <c:v>42662</c:v>
                </c:pt>
                <c:pt idx="11">
                  <c:v>42661</c:v>
                </c:pt>
                <c:pt idx="12">
                  <c:v>42660</c:v>
                </c:pt>
                <c:pt idx="13">
                  <c:v>42657</c:v>
                </c:pt>
                <c:pt idx="14">
                  <c:v>42656</c:v>
                </c:pt>
                <c:pt idx="15">
                  <c:v>42655</c:v>
                </c:pt>
                <c:pt idx="16">
                  <c:v>42654</c:v>
                </c:pt>
                <c:pt idx="17">
                  <c:v>42653</c:v>
                </c:pt>
                <c:pt idx="18">
                  <c:v>42650</c:v>
                </c:pt>
                <c:pt idx="19">
                  <c:v>42649</c:v>
                </c:pt>
                <c:pt idx="20">
                  <c:v>42648</c:v>
                </c:pt>
                <c:pt idx="21">
                  <c:v>42647</c:v>
                </c:pt>
                <c:pt idx="22">
                  <c:v>42646</c:v>
                </c:pt>
                <c:pt idx="23">
                  <c:v>42643</c:v>
                </c:pt>
                <c:pt idx="24">
                  <c:v>42642</c:v>
                </c:pt>
                <c:pt idx="25">
                  <c:v>42641</c:v>
                </c:pt>
                <c:pt idx="26">
                  <c:v>42640</c:v>
                </c:pt>
                <c:pt idx="27">
                  <c:v>42639</c:v>
                </c:pt>
                <c:pt idx="28">
                  <c:v>42636</c:v>
                </c:pt>
                <c:pt idx="29">
                  <c:v>42635</c:v>
                </c:pt>
                <c:pt idx="30">
                  <c:v>42634</c:v>
                </c:pt>
                <c:pt idx="31">
                  <c:v>42633</c:v>
                </c:pt>
                <c:pt idx="32">
                  <c:v>42632</c:v>
                </c:pt>
                <c:pt idx="33">
                  <c:v>42629</c:v>
                </c:pt>
                <c:pt idx="34">
                  <c:v>42628</c:v>
                </c:pt>
                <c:pt idx="35">
                  <c:v>42627</c:v>
                </c:pt>
                <c:pt idx="36">
                  <c:v>42626</c:v>
                </c:pt>
                <c:pt idx="37">
                  <c:v>42625</c:v>
                </c:pt>
                <c:pt idx="38">
                  <c:v>42622</c:v>
                </c:pt>
                <c:pt idx="39">
                  <c:v>42621</c:v>
                </c:pt>
                <c:pt idx="40">
                  <c:v>42620</c:v>
                </c:pt>
                <c:pt idx="41">
                  <c:v>42619</c:v>
                </c:pt>
                <c:pt idx="42">
                  <c:v>42615</c:v>
                </c:pt>
                <c:pt idx="43">
                  <c:v>42614</c:v>
                </c:pt>
                <c:pt idx="44">
                  <c:v>42613</c:v>
                </c:pt>
                <c:pt idx="45">
                  <c:v>42612</c:v>
                </c:pt>
                <c:pt idx="46">
                  <c:v>42611</c:v>
                </c:pt>
                <c:pt idx="47">
                  <c:v>42608</c:v>
                </c:pt>
                <c:pt idx="48">
                  <c:v>42607</c:v>
                </c:pt>
                <c:pt idx="49">
                  <c:v>42606</c:v>
                </c:pt>
                <c:pt idx="50">
                  <c:v>42605</c:v>
                </c:pt>
                <c:pt idx="51">
                  <c:v>42604</c:v>
                </c:pt>
                <c:pt idx="52">
                  <c:v>42601</c:v>
                </c:pt>
                <c:pt idx="53">
                  <c:v>42600</c:v>
                </c:pt>
                <c:pt idx="54">
                  <c:v>42599</c:v>
                </c:pt>
                <c:pt idx="55">
                  <c:v>42598</c:v>
                </c:pt>
                <c:pt idx="56">
                  <c:v>42597</c:v>
                </c:pt>
                <c:pt idx="57">
                  <c:v>42594</c:v>
                </c:pt>
                <c:pt idx="58">
                  <c:v>42593</c:v>
                </c:pt>
                <c:pt idx="59">
                  <c:v>42592</c:v>
                </c:pt>
                <c:pt idx="60">
                  <c:v>42591</c:v>
                </c:pt>
                <c:pt idx="61">
                  <c:v>42590</c:v>
                </c:pt>
                <c:pt idx="62">
                  <c:v>42587</c:v>
                </c:pt>
                <c:pt idx="63">
                  <c:v>42586</c:v>
                </c:pt>
                <c:pt idx="64">
                  <c:v>42585</c:v>
                </c:pt>
                <c:pt idx="65">
                  <c:v>42584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67.31</c:v>
                </c:pt>
                <c:pt idx="1">
                  <c:v>68.099999999999994</c:v>
                </c:pt>
                <c:pt idx="2">
                  <c:v>69.47</c:v>
                </c:pt>
                <c:pt idx="3">
                  <c:v>69.91</c:v>
                </c:pt>
                <c:pt idx="4">
                  <c:v>68.81</c:v>
                </c:pt>
                <c:pt idx="5">
                  <c:v>67.7</c:v>
                </c:pt>
                <c:pt idx="6">
                  <c:v>59.07</c:v>
                </c:pt>
                <c:pt idx="7">
                  <c:v>58.84</c:v>
                </c:pt>
                <c:pt idx="8">
                  <c:v>57.67</c:v>
                </c:pt>
                <c:pt idx="9">
                  <c:v>56.73</c:v>
                </c:pt>
                <c:pt idx="10">
                  <c:v>56.62</c:v>
                </c:pt>
                <c:pt idx="11">
                  <c:v>55.92</c:v>
                </c:pt>
                <c:pt idx="12">
                  <c:v>54.94</c:v>
                </c:pt>
                <c:pt idx="13">
                  <c:v>54.66</c:v>
                </c:pt>
                <c:pt idx="14">
                  <c:v>54.45</c:v>
                </c:pt>
                <c:pt idx="15">
                  <c:v>54.28</c:v>
                </c:pt>
                <c:pt idx="16">
                  <c:v>54.13</c:v>
                </c:pt>
                <c:pt idx="17">
                  <c:v>55.31</c:v>
                </c:pt>
                <c:pt idx="18">
                  <c:v>54.95</c:v>
                </c:pt>
                <c:pt idx="19">
                  <c:v>54.86</c:v>
                </c:pt>
                <c:pt idx="20">
                  <c:v>55.98</c:v>
                </c:pt>
                <c:pt idx="21">
                  <c:v>54.64</c:v>
                </c:pt>
                <c:pt idx="22">
                  <c:v>53.71</c:v>
                </c:pt>
                <c:pt idx="23">
                  <c:v>52.99</c:v>
                </c:pt>
                <c:pt idx="24">
                  <c:v>52.41</c:v>
                </c:pt>
                <c:pt idx="25">
                  <c:v>52.28</c:v>
                </c:pt>
                <c:pt idx="26">
                  <c:v>52.65</c:v>
                </c:pt>
                <c:pt idx="27">
                  <c:v>51.76</c:v>
                </c:pt>
                <c:pt idx="28">
                  <c:v>52.25</c:v>
                </c:pt>
                <c:pt idx="29">
                  <c:v>52.43</c:v>
                </c:pt>
                <c:pt idx="30">
                  <c:v>52.21</c:v>
                </c:pt>
                <c:pt idx="31">
                  <c:v>51.36</c:v>
                </c:pt>
                <c:pt idx="32">
                  <c:v>51.62</c:v>
                </c:pt>
                <c:pt idx="33">
                  <c:v>50.98</c:v>
                </c:pt>
                <c:pt idx="34">
                  <c:v>51.38</c:v>
                </c:pt>
                <c:pt idx="35">
                  <c:v>51.65</c:v>
                </c:pt>
                <c:pt idx="36">
                  <c:v>51.87</c:v>
                </c:pt>
                <c:pt idx="37">
                  <c:v>53.09</c:v>
                </c:pt>
                <c:pt idx="38">
                  <c:v>52.5</c:v>
                </c:pt>
                <c:pt idx="39">
                  <c:v>53.5</c:v>
                </c:pt>
                <c:pt idx="40">
                  <c:v>54.08</c:v>
                </c:pt>
                <c:pt idx="41">
                  <c:v>55.5</c:v>
                </c:pt>
                <c:pt idx="42">
                  <c:v>55.33</c:v>
                </c:pt>
                <c:pt idx="43">
                  <c:v>55.07</c:v>
                </c:pt>
                <c:pt idx="44">
                  <c:v>54.9</c:v>
                </c:pt>
                <c:pt idx="45">
                  <c:v>54.89</c:v>
                </c:pt>
                <c:pt idx="46">
                  <c:v>55.04</c:v>
                </c:pt>
                <c:pt idx="47">
                  <c:v>55.31</c:v>
                </c:pt>
                <c:pt idx="48">
                  <c:v>54.56</c:v>
                </c:pt>
                <c:pt idx="49">
                  <c:v>53.98</c:v>
                </c:pt>
                <c:pt idx="50">
                  <c:v>53.6</c:v>
                </c:pt>
                <c:pt idx="51">
                  <c:v>52.98</c:v>
                </c:pt>
                <c:pt idx="52">
                  <c:v>52.95</c:v>
                </c:pt>
                <c:pt idx="53">
                  <c:v>52.35</c:v>
                </c:pt>
                <c:pt idx="54">
                  <c:v>52.34</c:v>
                </c:pt>
                <c:pt idx="55">
                  <c:v>52</c:v>
                </c:pt>
                <c:pt idx="56">
                  <c:v>52.05</c:v>
                </c:pt>
                <c:pt idx="57">
                  <c:v>51.97</c:v>
                </c:pt>
                <c:pt idx="58">
                  <c:v>51.41</c:v>
                </c:pt>
                <c:pt idx="59">
                  <c:v>52.02</c:v>
                </c:pt>
                <c:pt idx="60">
                  <c:v>50.22</c:v>
                </c:pt>
                <c:pt idx="61">
                  <c:v>50.21</c:v>
                </c:pt>
                <c:pt idx="62">
                  <c:v>50.66</c:v>
                </c:pt>
                <c:pt idx="63">
                  <c:v>49.43</c:v>
                </c:pt>
                <c:pt idx="64">
                  <c:v>49.44</c:v>
                </c:pt>
                <c:pt idx="65">
                  <c:v>49.96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023352"/>
        <c:axId val="511013944"/>
      </c:lineChart>
      <c:dateAx>
        <c:axId val="511023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013944"/>
        <c:crosses val="autoZero"/>
        <c:auto val="1"/>
        <c:lblOffset val="100"/>
        <c:baseTimeUnit val="days"/>
      </c:dateAx>
      <c:valAx>
        <c:axId val="51101394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023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42676</c:v>
                </c:pt>
                <c:pt idx="1">
                  <c:v>42675</c:v>
                </c:pt>
                <c:pt idx="2">
                  <c:v>42674</c:v>
                </c:pt>
                <c:pt idx="3">
                  <c:v>42671</c:v>
                </c:pt>
                <c:pt idx="4">
                  <c:v>42670</c:v>
                </c:pt>
                <c:pt idx="5">
                  <c:v>42669</c:v>
                </c:pt>
                <c:pt idx="6">
                  <c:v>42668</c:v>
                </c:pt>
                <c:pt idx="7">
                  <c:v>42667</c:v>
                </c:pt>
                <c:pt idx="8">
                  <c:v>42664</c:v>
                </c:pt>
                <c:pt idx="9">
                  <c:v>42663</c:v>
                </c:pt>
                <c:pt idx="10">
                  <c:v>42663</c:v>
                </c:pt>
                <c:pt idx="11">
                  <c:v>42662</c:v>
                </c:pt>
                <c:pt idx="12">
                  <c:v>42661</c:v>
                </c:pt>
                <c:pt idx="13">
                  <c:v>42660</c:v>
                </c:pt>
                <c:pt idx="14">
                  <c:v>42657</c:v>
                </c:pt>
                <c:pt idx="15">
                  <c:v>42656</c:v>
                </c:pt>
                <c:pt idx="16">
                  <c:v>42655</c:v>
                </c:pt>
                <c:pt idx="17">
                  <c:v>42654</c:v>
                </c:pt>
                <c:pt idx="18">
                  <c:v>42653</c:v>
                </c:pt>
                <c:pt idx="19">
                  <c:v>42650</c:v>
                </c:pt>
                <c:pt idx="20">
                  <c:v>42649</c:v>
                </c:pt>
                <c:pt idx="21">
                  <c:v>42648</c:v>
                </c:pt>
                <c:pt idx="22">
                  <c:v>42647</c:v>
                </c:pt>
                <c:pt idx="23">
                  <c:v>42646</c:v>
                </c:pt>
                <c:pt idx="24">
                  <c:v>42643</c:v>
                </c:pt>
                <c:pt idx="25">
                  <c:v>42642</c:v>
                </c:pt>
                <c:pt idx="26">
                  <c:v>42641</c:v>
                </c:pt>
                <c:pt idx="27">
                  <c:v>42640</c:v>
                </c:pt>
                <c:pt idx="28">
                  <c:v>42639</c:v>
                </c:pt>
                <c:pt idx="29">
                  <c:v>42636</c:v>
                </c:pt>
                <c:pt idx="30">
                  <c:v>42635</c:v>
                </c:pt>
                <c:pt idx="31">
                  <c:v>42634</c:v>
                </c:pt>
                <c:pt idx="32">
                  <c:v>42633</c:v>
                </c:pt>
                <c:pt idx="33">
                  <c:v>42632</c:v>
                </c:pt>
                <c:pt idx="34">
                  <c:v>42629</c:v>
                </c:pt>
                <c:pt idx="35">
                  <c:v>42628</c:v>
                </c:pt>
                <c:pt idx="36">
                  <c:v>42627</c:v>
                </c:pt>
                <c:pt idx="37">
                  <c:v>42626</c:v>
                </c:pt>
                <c:pt idx="38">
                  <c:v>42625</c:v>
                </c:pt>
                <c:pt idx="39">
                  <c:v>42622</c:v>
                </c:pt>
                <c:pt idx="40">
                  <c:v>42621</c:v>
                </c:pt>
                <c:pt idx="41">
                  <c:v>42620</c:v>
                </c:pt>
                <c:pt idx="42">
                  <c:v>42619</c:v>
                </c:pt>
                <c:pt idx="43">
                  <c:v>42615</c:v>
                </c:pt>
                <c:pt idx="44">
                  <c:v>42614</c:v>
                </c:pt>
                <c:pt idx="45">
                  <c:v>42613</c:v>
                </c:pt>
                <c:pt idx="46">
                  <c:v>42612</c:v>
                </c:pt>
                <c:pt idx="47">
                  <c:v>42611</c:v>
                </c:pt>
                <c:pt idx="48">
                  <c:v>42608</c:v>
                </c:pt>
                <c:pt idx="49">
                  <c:v>42607</c:v>
                </c:pt>
                <c:pt idx="50">
                  <c:v>42606</c:v>
                </c:pt>
                <c:pt idx="51">
                  <c:v>42605</c:v>
                </c:pt>
                <c:pt idx="52">
                  <c:v>42604</c:v>
                </c:pt>
                <c:pt idx="53">
                  <c:v>42601</c:v>
                </c:pt>
                <c:pt idx="54">
                  <c:v>42600</c:v>
                </c:pt>
                <c:pt idx="55">
                  <c:v>42599</c:v>
                </c:pt>
                <c:pt idx="56">
                  <c:v>42598</c:v>
                </c:pt>
                <c:pt idx="57">
                  <c:v>42597</c:v>
                </c:pt>
                <c:pt idx="58">
                  <c:v>42594</c:v>
                </c:pt>
                <c:pt idx="59">
                  <c:v>42593</c:v>
                </c:pt>
                <c:pt idx="60">
                  <c:v>42592</c:v>
                </c:pt>
                <c:pt idx="61">
                  <c:v>42591</c:v>
                </c:pt>
                <c:pt idx="62">
                  <c:v>42590</c:v>
                </c:pt>
                <c:pt idx="63">
                  <c:v>42587</c:v>
                </c:pt>
                <c:pt idx="64">
                  <c:v>42586</c:v>
                </c:pt>
                <c:pt idx="65">
                  <c:v>42585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83.95</c:v>
                </c:pt>
                <c:pt idx="1">
                  <c:v>83.45</c:v>
                </c:pt>
                <c:pt idx="2">
                  <c:v>84.1</c:v>
                </c:pt>
                <c:pt idx="3">
                  <c:v>83.36</c:v>
                </c:pt>
                <c:pt idx="4">
                  <c:v>87.19</c:v>
                </c:pt>
                <c:pt idx="5">
                  <c:v>87.57</c:v>
                </c:pt>
                <c:pt idx="6">
                  <c:v>87.41</c:v>
                </c:pt>
                <c:pt idx="7">
                  <c:v>88</c:v>
                </c:pt>
                <c:pt idx="8">
                  <c:v>87.41</c:v>
                </c:pt>
                <c:pt idx="9">
                  <c:v>87.3</c:v>
                </c:pt>
                <c:pt idx="11">
                  <c:v>86.4</c:v>
                </c:pt>
                <c:pt idx="12">
                  <c:v>87.19</c:v>
                </c:pt>
                <c:pt idx="13">
                  <c:v>86.66</c:v>
                </c:pt>
                <c:pt idx="14">
                  <c:v>88.8</c:v>
                </c:pt>
                <c:pt idx="15">
                  <c:v>88</c:v>
                </c:pt>
                <c:pt idx="16">
                  <c:v>87.47</c:v>
                </c:pt>
                <c:pt idx="17">
                  <c:v>86.4</c:v>
                </c:pt>
                <c:pt idx="18">
                  <c:v>86.83</c:v>
                </c:pt>
                <c:pt idx="19">
                  <c:v>86.4</c:v>
                </c:pt>
                <c:pt idx="20">
                  <c:v>86.49</c:v>
                </c:pt>
                <c:pt idx="21">
                  <c:v>86.2</c:v>
                </c:pt>
                <c:pt idx="22">
                  <c:v>86.22</c:v>
                </c:pt>
                <c:pt idx="23">
                  <c:v>87.09</c:v>
                </c:pt>
                <c:pt idx="24">
                  <c:v>88.99</c:v>
                </c:pt>
                <c:pt idx="25">
                  <c:v>89.55</c:v>
                </c:pt>
                <c:pt idx="26">
                  <c:v>90.18</c:v>
                </c:pt>
                <c:pt idx="27">
                  <c:v>90.56</c:v>
                </c:pt>
                <c:pt idx="28">
                  <c:v>89.92</c:v>
                </c:pt>
                <c:pt idx="29">
                  <c:v>90.6</c:v>
                </c:pt>
                <c:pt idx="30">
                  <c:v>90.57</c:v>
                </c:pt>
                <c:pt idx="31">
                  <c:v>90.26</c:v>
                </c:pt>
                <c:pt idx="32">
                  <c:v>89.99</c:v>
                </c:pt>
                <c:pt idx="33">
                  <c:v>89.17</c:v>
                </c:pt>
                <c:pt idx="34">
                  <c:v>90.12</c:v>
                </c:pt>
                <c:pt idx="35">
                  <c:v>90.15</c:v>
                </c:pt>
                <c:pt idx="36">
                  <c:v>89.44</c:v>
                </c:pt>
                <c:pt idx="37">
                  <c:v>90.93</c:v>
                </c:pt>
                <c:pt idx="38">
                  <c:v>92.04</c:v>
                </c:pt>
                <c:pt idx="39">
                  <c:v>91.52</c:v>
                </c:pt>
                <c:pt idx="40">
                  <c:v>93.11</c:v>
                </c:pt>
                <c:pt idx="41">
                  <c:v>93.61</c:v>
                </c:pt>
                <c:pt idx="42">
                  <c:v>93.36</c:v>
                </c:pt>
                <c:pt idx="43">
                  <c:v>93.84</c:v>
                </c:pt>
                <c:pt idx="44">
                  <c:v>93.37</c:v>
                </c:pt>
                <c:pt idx="45">
                  <c:v>93.4</c:v>
                </c:pt>
                <c:pt idx="46">
                  <c:v>92.79</c:v>
                </c:pt>
                <c:pt idx="47">
                  <c:v>93.08</c:v>
                </c:pt>
                <c:pt idx="48">
                  <c:v>93.26</c:v>
                </c:pt>
                <c:pt idx="49">
                  <c:v>93.78</c:v>
                </c:pt>
                <c:pt idx="50">
                  <c:v>97.17</c:v>
                </c:pt>
                <c:pt idx="51">
                  <c:v>97.27</c:v>
                </c:pt>
                <c:pt idx="52">
                  <c:v>98</c:v>
                </c:pt>
                <c:pt idx="53">
                  <c:v>97</c:v>
                </c:pt>
                <c:pt idx="54">
                  <c:v>97.18</c:v>
                </c:pt>
                <c:pt idx="55">
                  <c:v>97.55</c:v>
                </c:pt>
                <c:pt idx="56">
                  <c:v>97.56</c:v>
                </c:pt>
                <c:pt idx="57">
                  <c:v>97.58</c:v>
                </c:pt>
                <c:pt idx="58">
                  <c:v>97.43</c:v>
                </c:pt>
                <c:pt idx="59">
                  <c:v>97</c:v>
                </c:pt>
                <c:pt idx="60">
                  <c:v>97.11</c:v>
                </c:pt>
                <c:pt idx="61">
                  <c:v>97.45</c:v>
                </c:pt>
                <c:pt idx="62">
                  <c:v>97.18</c:v>
                </c:pt>
                <c:pt idx="63">
                  <c:v>97.37</c:v>
                </c:pt>
                <c:pt idx="64">
                  <c:v>96.97</c:v>
                </c:pt>
                <c:pt idx="65">
                  <c:v>97.43</c:v>
                </c:pt>
                <c:pt idx="66">
                  <c:v>98.06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014728"/>
        <c:axId val="500313296"/>
      </c:lineChart>
      <c:dateAx>
        <c:axId val="5110147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313296"/>
        <c:crosses val="autoZero"/>
        <c:auto val="1"/>
        <c:lblOffset val="100"/>
        <c:baseTimeUnit val="days"/>
      </c:dateAx>
      <c:valAx>
        <c:axId val="500313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014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42676</c:v>
                </c:pt>
                <c:pt idx="1">
                  <c:v>42675</c:v>
                </c:pt>
                <c:pt idx="2">
                  <c:v>42674</c:v>
                </c:pt>
                <c:pt idx="3">
                  <c:v>42671</c:v>
                </c:pt>
                <c:pt idx="4">
                  <c:v>42670</c:v>
                </c:pt>
                <c:pt idx="5">
                  <c:v>42669</c:v>
                </c:pt>
                <c:pt idx="6">
                  <c:v>42668</c:v>
                </c:pt>
                <c:pt idx="7">
                  <c:v>42667</c:v>
                </c:pt>
                <c:pt idx="8">
                  <c:v>42664</c:v>
                </c:pt>
                <c:pt idx="9">
                  <c:v>42663</c:v>
                </c:pt>
                <c:pt idx="10">
                  <c:v>42662</c:v>
                </c:pt>
                <c:pt idx="11">
                  <c:v>42661</c:v>
                </c:pt>
                <c:pt idx="12">
                  <c:v>42660</c:v>
                </c:pt>
                <c:pt idx="13">
                  <c:v>42657</c:v>
                </c:pt>
                <c:pt idx="14">
                  <c:v>42656</c:v>
                </c:pt>
                <c:pt idx="15">
                  <c:v>42655</c:v>
                </c:pt>
                <c:pt idx="16">
                  <c:v>42654</c:v>
                </c:pt>
                <c:pt idx="17">
                  <c:v>42653</c:v>
                </c:pt>
                <c:pt idx="18">
                  <c:v>42650</c:v>
                </c:pt>
                <c:pt idx="19">
                  <c:v>42649</c:v>
                </c:pt>
                <c:pt idx="20">
                  <c:v>42648</c:v>
                </c:pt>
                <c:pt idx="21">
                  <c:v>42647</c:v>
                </c:pt>
                <c:pt idx="22">
                  <c:v>42646</c:v>
                </c:pt>
                <c:pt idx="23">
                  <c:v>42643</c:v>
                </c:pt>
                <c:pt idx="24">
                  <c:v>42642</c:v>
                </c:pt>
                <c:pt idx="25">
                  <c:v>42641</c:v>
                </c:pt>
                <c:pt idx="26">
                  <c:v>42640</c:v>
                </c:pt>
                <c:pt idx="27">
                  <c:v>42639</c:v>
                </c:pt>
                <c:pt idx="28">
                  <c:v>42636</c:v>
                </c:pt>
                <c:pt idx="29">
                  <c:v>42635</c:v>
                </c:pt>
                <c:pt idx="30">
                  <c:v>42634</c:v>
                </c:pt>
                <c:pt idx="31">
                  <c:v>42633</c:v>
                </c:pt>
                <c:pt idx="32">
                  <c:v>42632</c:v>
                </c:pt>
                <c:pt idx="33">
                  <c:v>42629</c:v>
                </c:pt>
                <c:pt idx="34">
                  <c:v>42628</c:v>
                </c:pt>
                <c:pt idx="35">
                  <c:v>42627</c:v>
                </c:pt>
                <c:pt idx="36">
                  <c:v>42626</c:v>
                </c:pt>
                <c:pt idx="37">
                  <c:v>42625</c:v>
                </c:pt>
                <c:pt idx="38">
                  <c:v>42622</c:v>
                </c:pt>
                <c:pt idx="39">
                  <c:v>42621</c:v>
                </c:pt>
                <c:pt idx="40">
                  <c:v>42620</c:v>
                </c:pt>
                <c:pt idx="41">
                  <c:v>42619</c:v>
                </c:pt>
                <c:pt idx="42">
                  <c:v>42615</c:v>
                </c:pt>
                <c:pt idx="43">
                  <c:v>42614</c:v>
                </c:pt>
                <c:pt idx="44">
                  <c:v>42613</c:v>
                </c:pt>
                <c:pt idx="45">
                  <c:v>42612</c:v>
                </c:pt>
                <c:pt idx="46">
                  <c:v>42611</c:v>
                </c:pt>
                <c:pt idx="47">
                  <c:v>42608</c:v>
                </c:pt>
                <c:pt idx="48">
                  <c:v>42607</c:v>
                </c:pt>
                <c:pt idx="49">
                  <c:v>42606</c:v>
                </c:pt>
                <c:pt idx="50">
                  <c:v>42605</c:v>
                </c:pt>
                <c:pt idx="51">
                  <c:v>42604</c:v>
                </c:pt>
                <c:pt idx="52">
                  <c:v>42601</c:v>
                </c:pt>
                <c:pt idx="53">
                  <c:v>42600</c:v>
                </c:pt>
                <c:pt idx="54">
                  <c:v>42599</c:v>
                </c:pt>
                <c:pt idx="55">
                  <c:v>42598</c:v>
                </c:pt>
                <c:pt idx="56">
                  <c:v>42597</c:v>
                </c:pt>
                <c:pt idx="57">
                  <c:v>42597</c:v>
                </c:pt>
                <c:pt idx="58">
                  <c:v>42594</c:v>
                </c:pt>
                <c:pt idx="59">
                  <c:v>42593</c:v>
                </c:pt>
                <c:pt idx="60">
                  <c:v>42592</c:v>
                </c:pt>
                <c:pt idx="61">
                  <c:v>42591</c:v>
                </c:pt>
                <c:pt idx="62">
                  <c:v>42590</c:v>
                </c:pt>
                <c:pt idx="63">
                  <c:v>42587</c:v>
                </c:pt>
                <c:pt idx="64">
                  <c:v>42586</c:v>
                </c:pt>
                <c:pt idx="65">
                  <c:v>42585</c:v>
                </c:pt>
                <c:pt idx="66">
                  <c:v>42584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12.78</c:v>
                </c:pt>
                <c:pt idx="1">
                  <c:v>13.27</c:v>
                </c:pt>
                <c:pt idx="2">
                  <c:v>13.18</c:v>
                </c:pt>
                <c:pt idx="3">
                  <c:v>13.72</c:v>
                </c:pt>
                <c:pt idx="4">
                  <c:v>13.95</c:v>
                </c:pt>
                <c:pt idx="5">
                  <c:v>14.25</c:v>
                </c:pt>
                <c:pt idx="6">
                  <c:v>14.18</c:v>
                </c:pt>
                <c:pt idx="7">
                  <c:v>14.59</c:v>
                </c:pt>
                <c:pt idx="8">
                  <c:v>14.64</c:v>
                </c:pt>
                <c:pt idx="9">
                  <c:v>14.7</c:v>
                </c:pt>
                <c:pt idx="10">
                  <c:v>14.65</c:v>
                </c:pt>
                <c:pt idx="11">
                  <c:v>14.2</c:v>
                </c:pt>
                <c:pt idx="12">
                  <c:v>14.18</c:v>
                </c:pt>
                <c:pt idx="13">
                  <c:v>14.58</c:v>
                </c:pt>
                <c:pt idx="14">
                  <c:v>14.78</c:v>
                </c:pt>
                <c:pt idx="15">
                  <c:v>14.94</c:v>
                </c:pt>
                <c:pt idx="16">
                  <c:v>15.08</c:v>
                </c:pt>
                <c:pt idx="17">
                  <c:v>15.72</c:v>
                </c:pt>
                <c:pt idx="18">
                  <c:v>15.56</c:v>
                </c:pt>
                <c:pt idx="19">
                  <c:v>16.079999999999998</c:v>
                </c:pt>
                <c:pt idx="20">
                  <c:v>16.12</c:v>
                </c:pt>
                <c:pt idx="21">
                  <c:v>15.63</c:v>
                </c:pt>
                <c:pt idx="22">
                  <c:v>15.98</c:v>
                </c:pt>
                <c:pt idx="23">
                  <c:v>15.81</c:v>
                </c:pt>
                <c:pt idx="24">
                  <c:v>15.9</c:v>
                </c:pt>
                <c:pt idx="25">
                  <c:v>15.18</c:v>
                </c:pt>
                <c:pt idx="26">
                  <c:v>14.06</c:v>
                </c:pt>
                <c:pt idx="27">
                  <c:v>14.41</c:v>
                </c:pt>
                <c:pt idx="28">
                  <c:v>14.49</c:v>
                </c:pt>
                <c:pt idx="29">
                  <c:v>14.87</c:v>
                </c:pt>
                <c:pt idx="30">
                  <c:v>14.65</c:v>
                </c:pt>
                <c:pt idx="31">
                  <c:v>13.87</c:v>
                </c:pt>
                <c:pt idx="32">
                  <c:v>14.09</c:v>
                </c:pt>
                <c:pt idx="33">
                  <c:v>14.24</c:v>
                </c:pt>
                <c:pt idx="34">
                  <c:v>14.26</c:v>
                </c:pt>
                <c:pt idx="35">
                  <c:v>14.01</c:v>
                </c:pt>
                <c:pt idx="36">
                  <c:v>14.34</c:v>
                </c:pt>
                <c:pt idx="37">
                  <c:v>15.47</c:v>
                </c:pt>
                <c:pt idx="38">
                  <c:v>15.67</c:v>
                </c:pt>
                <c:pt idx="39">
                  <c:v>16.739999999999998</c:v>
                </c:pt>
                <c:pt idx="40">
                  <c:v>15.69</c:v>
                </c:pt>
                <c:pt idx="41">
                  <c:v>15.64</c:v>
                </c:pt>
                <c:pt idx="42">
                  <c:v>15.49</c:v>
                </c:pt>
                <c:pt idx="43">
                  <c:v>15.11</c:v>
                </c:pt>
                <c:pt idx="44">
                  <c:v>15.02</c:v>
                </c:pt>
                <c:pt idx="45">
                  <c:v>15.55</c:v>
                </c:pt>
                <c:pt idx="46">
                  <c:v>15.99</c:v>
                </c:pt>
                <c:pt idx="47">
                  <c:v>15.95</c:v>
                </c:pt>
                <c:pt idx="48">
                  <c:v>16.010000000000002</c:v>
                </c:pt>
                <c:pt idx="49">
                  <c:v>16.059999999999999</c:v>
                </c:pt>
                <c:pt idx="50">
                  <c:v>16.43</c:v>
                </c:pt>
                <c:pt idx="51">
                  <c:v>15.64</c:v>
                </c:pt>
                <c:pt idx="52">
                  <c:v>16.8</c:v>
                </c:pt>
                <c:pt idx="53">
                  <c:v>16.68</c:v>
                </c:pt>
                <c:pt idx="54">
                  <c:v>15.7</c:v>
                </c:pt>
                <c:pt idx="55">
                  <c:v>15.17</c:v>
                </c:pt>
                <c:pt idx="56">
                  <c:v>14.9</c:v>
                </c:pt>
                <c:pt idx="58">
                  <c:v>14.72</c:v>
                </c:pt>
                <c:pt idx="59">
                  <c:v>14.45</c:v>
                </c:pt>
                <c:pt idx="60">
                  <c:v>13.98</c:v>
                </c:pt>
                <c:pt idx="61">
                  <c:v>14.42</c:v>
                </c:pt>
                <c:pt idx="62">
                  <c:v>14.25</c:v>
                </c:pt>
                <c:pt idx="63">
                  <c:v>13.87</c:v>
                </c:pt>
                <c:pt idx="64">
                  <c:v>13.41</c:v>
                </c:pt>
                <c:pt idx="65">
                  <c:v>13.42</c:v>
                </c:pt>
                <c:pt idx="66">
                  <c:v>12.9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433800"/>
        <c:axId val="513436152"/>
      </c:lineChart>
      <c:dateAx>
        <c:axId val="51343380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436152"/>
        <c:crosses val="autoZero"/>
        <c:auto val="1"/>
        <c:lblOffset val="100"/>
        <c:baseTimeUnit val="days"/>
      </c:dateAx>
      <c:valAx>
        <c:axId val="513436152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433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42676</c:v>
                </c:pt>
                <c:pt idx="1">
                  <c:v>42675</c:v>
                </c:pt>
                <c:pt idx="2">
                  <c:v>42674</c:v>
                </c:pt>
                <c:pt idx="3">
                  <c:v>42671</c:v>
                </c:pt>
                <c:pt idx="4">
                  <c:v>42670</c:v>
                </c:pt>
                <c:pt idx="5">
                  <c:v>42669</c:v>
                </c:pt>
                <c:pt idx="6">
                  <c:v>42668</c:v>
                </c:pt>
                <c:pt idx="7">
                  <c:v>42667</c:v>
                </c:pt>
                <c:pt idx="8">
                  <c:v>42664</c:v>
                </c:pt>
                <c:pt idx="9">
                  <c:v>42663</c:v>
                </c:pt>
                <c:pt idx="10">
                  <c:v>42662</c:v>
                </c:pt>
                <c:pt idx="11">
                  <c:v>42661</c:v>
                </c:pt>
                <c:pt idx="12">
                  <c:v>42660</c:v>
                </c:pt>
                <c:pt idx="13">
                  <c:v>42657</c:v>
                </c:pt>
                <c:pt idx="14">
                  <c:v>42656</c:v>
                </c:pt>
                <c:pt idx="15">
                  <c:v>42655</c:v>
                </c:pt>
                <c:pt idx="16">
                  <c:v>42654</c:v>
                </c:pt>
                <c:pt idx="17">
                  <c:v>42653</c:v>
                </c:pt>
                <c:pt idx="18">
                  <c:v>42650</c:v>
                </c:pt>
                <c:pt idx="19">
                  <c:v>42649</c:v>
                </c:pt>
                <c:pt idx="20">
                  <c:v>42648</c:v>
                </c:pt>
                <c:pt idx="21">
                  <c:v>42647</c:v>
                </c:pt>
                <c:pt idx="22">
                  <c:v>42646</c:v>
                </c:pt>
                <c:pt idx="23">
                  <c:v>42643</c:v>
                </c:pt>
                <c:pt idx="24">
                  <c:v>42642</c:v>
                </c:pt>
                <c:pt idx="25">
                  <c:v>42641</c:v>
                </c:pt>
                <c:pt idx="26">
                  <c:v>42640</c:v>
                </c:pt>
                <c:pt idx="27">
                  <c:v>42639</c:v>
                </c:pt>
                <c:pt idx="28">
                  <c:v>42636</c:v>
                </c:pt>
                <c:pt idx="29">
                  <c:v>42635</c:v>
                </c:pt>
                <c:pt idx="30">
                  <c:v>42634</c:v>
                </c:pt>
                <c:pt idx="31">
                  <c:v>42633</c:v>
                </c:pt>
                <c:pt idx="32">
                  <c:v>42632</c:v>
                </c:pt>
                <c:pt idx="33">
                  <c:v>42629</c:v>
                </c:pt>
                <c:pt idx="34">
                  <c:v>42628</c:v>
                </c:pt>
                <c:pt idx="35">
                  <c:v>42627</c:v>
                </c:pt>
                <c:pt idx="36">
                  <c:v>42626</c:v>
                </c:pt>
                <c:pt idx="37">
                  <c:v>42625</c:v>
                </c:pt>
                <c:pt idx="38">
                  <c:v>42622</c:v>
                </c:pt>
                <c:pt idx="39">
                  <c:v>42621</c:v>
                </c:pt>
                <c:pt idx="40">
                  <c:v>42620</c:v>
                </c:pt>
                <c:pt idx="41">
                  <c:v>42619</c:v>
                </c:pt>
                <c:pt idx="42">
                  <c:v>42615</c:v>
                </c:pt>
                <c:pt idx="43">
                  <c:v>42614</c:v>
                </c:pt>
                <c:pt idx="44">
                  <c:v>42613</c:v>
                </c:pt>
                <c:pt idx="45">
                  <c:v>42612</c:v>
                </c:pt>
                <c:pt idx="46">
                  <c:v>42611</c:v>
                </c:pt>
                <c:pt idx="47">
                  <c:v>42608</c:v>
                </c:pt>
                <c:pt idx="48">
                  <c:v>42607</c:v>
                </c:pt>
                <c:pt idx="49">
                  <c:v>42606</c:v>
                </c:pt>
                <c:pt idx="50">
                  <c:v>42605</c:v>
                </c:pt>
                <c:pt idx="51">
                  <c:v>42604</c:v>
                </c:pt>
                <c:pt idx="52">
                  <c:v>42601</c:v>
                </c:pt>
                <c:pt idx="53">
                  <c:v>42600</c:v>
                </c:pt>
                <c:pt idx="54">
                  <c:v>42599</c:v>
                </c:pt>
                <c:pt idx="55">
                  <c:v>42598</c:v>
                </c:pt>
                <c:pt idx="56">
                  <c:v>42597</c:v>
                </c:pt>
                <c:pt idx="57">
                  <c:v>42594</c:v>
                </c:pt>
                <c:pt idx="58">
                  <c:v>42593</c:v>
                </c:pt>
                <c:pt idx="59">
                  <c:v>42593</c:v>
                </c:pt>
                <c:pt idx="60">
                  <c:v>42592</c:v>
                </c:pt>
                <c:pt idx="61">
                  <c:v>42591</c:v>
                </c:pt>
                <c:pt idx="62">
                  <c:v>42590</c:v>
                </c:pt>
                <c:pt idx="63">
                  <c:v>42587</c:v>
                </c:pt>
                <c:pt idx="64">
                  <c:v>42586</c:v>
                </c:pt>
                <c:pt idx="65">
                  <c:v>42585</c:v>
                </c:pt>
                <c:pt idx="66">
                  <c:v>42584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32.22</c:v>
                </c:pt>
                <c:pt idx="1">
                  <c:v>30.79</c:v>
                </c:pt>
                <c:pt idx="2">
                  <c:v>30.98</c:v>
                </c:pt>
                <c:pt idx="3">
                  <c:v>31.26</c:v>
                </c:pt>
                <c:pt idx="4">
                  <c:v>31.02</c:v>
                </c:pt>
                <c:pt idx="5">
                  <c:v>30.9</c:v>
                </c:pt>
                <c:pt idx="6">
                  <c:v>30.91</c:v>
                </c:pt>
                <c:pt idx="7">
                  <c:v>31.18</c:v>
                </c:pt>
                <c:pt idx="8">
                  <c:v>30.76</c:v>
                </c:pt>
                <c:pt idx="9">
                  <c:v>30.92</c:v>
                </c:pt>
                <c:pt idx="10">
                  <c:v>31.01</c:v>
                </c:pt>
                <c:pt idx="11">
                  <c:v>30.64</c:v>
                </c:pt>
                <c:pt idx="12">
                  <c:v>30.83</c:v>
                </c:pt>
                <c:pt idx="13">
                  <c:v>31.27</c:v>
                </c:pt>
                <c:pt idx="14">
                  <c:v>31.13</c:v>
                </c:pt>
                <c:pt idx="15">
                  <c:v>31.17</c:v>
                </c:pt>
                <c:pt idx="16">
                  <c:v>30.11</c:v>
                </c:pt>
                <c:pt idx="17">
                  <c:v>29.05</c:v>
                </c:pt>
                <c:pt idx="18">
                  <c:v>29</c:v>
                </c:pt>
                <c:pt idx="19">
                  <c:v>29.37</c:v>
                </c:pt>
                <c:pt idx="20">
                  <c:v>28.84</c:v>
                </c:pt>
                <c:pt idx="21">
                  <c:v>29</c:v>
                </c:pt>
                <c:pt idx="22">
                  <c:v>29.28</c:v>
                </c:pt>
                <c:pt idx="23">
                  <c:v>29.68</c:v>
                </c:pt>
                <c:pt idx="24">
                  <c:v>29.5</c:v>
                </c:pt>
                <c:pt idx="25">
                  <c:v>29.84</c:v>
                </c:pt>
                <c:pt idx="26">
                  <c:v>29.9</c:v>
                </c:pt>
                <c:pt idx="27">
                  <c:v>30.08</c:v>
                </c:pt>
                <c:pt idx="28">
                  <c:v>30.45</c:v>
                </c:pt>
                <c:pt idx="29">
                  <c:v>30.75</c:v>
                </c:pt>
                <c:pt idx="30">
                  <c:v>30.84</c:v>
                </c:pt>
                <c:pt idx="31">
                  <c:v>31.09</c:v>
                </c:pt>
                <c:pt idx="32">
                  <c:v>30.79</c:v>
                </c:pt>
                <c:pt idx="33">
                  <c:v>31.08</c:v>
                </c:pt>
                <c:pt idx="34">
                  <c:v>31.25</c:v>
                </c:pt>
                <c:pt idx="35">
                  <c:v>30.71</c:v>
                </c:pt>
                <c:pt idx="36">
                  <c:v>30.95</c:v>
                </c:pt>
                <c:pt idx="37">
                  <c:v>30.89</c:v>
                </c:pt>
                <c:pt idx="38">
                  <c:v>31.51</c:v>
                </c:pt>
                <c:pt idx="39">
                  <c:v>31.31</c:v>
                </c:pt>
                <c:pt idx="40">
                  <c:v>31.32</c:v>
                </c:pt>
                <c:pt idx="41">
                  <c:v>32.67</c:v>
                </c:pt>
                <c:pt idx="42">
                  <c:v>32.5</c:v>
                </c:pt>
                <c:pt idx="43">
                  <c:v>31.96</c:v>
                </c:pt>
                <c:pt idx="44">
                  <c:v>31.99</c:v>
                </c:pt>
                <c:pt idx="45">
                  <c:v>32.159999999999997</c:v>
                </c:pt>
                <c:pt idx="46">
                  <c:v>32.33</c:v>
                </c:pt>
                <c:pt idx="47">
                  <c:v>32.68</c:v>
                </c:pt>
                <c:pt idx="48">
                  <c:v>32.76</c:v>
                </c:pt>
                <c:pt idx="49">
                  <c:v>32.99</c:v>
                </c:pt>
                <c:pt idx="50">
                  <c:v>32.25</c:v>
                </c:pt>
                <c:pt idx="51">
                  <c:v>32.86</c:v>
                </c:pt>
                <c:pt idx="52">
                  <c:v>32.61</c:v>
                </c:pt>
                <c:pt idx="53">
                  <c:v>32.46</c:v>
                </c:pt>
                <c:pt idx="54">
                  <c:v>31.88</c:v>
                </c:pt>
                <c:pt idx="55">
                  <c:v>32.1</c:v>
                </c:pt>
                <c:pt idx="56">
                  <c:v>32.729999999999997</c:v>
                </c:pt>
                <c:pt idx="57">
                  <c:v>32.58</c:v>
                </c:pt>
                <c:pt idx="58">
                  <c:v>32.299999999999997</c:v>
                </c:pt>
                <c:pt idx="60">
                  <c:v>32.5</c:v>
                </c:pt>
                <c:pt idx="61">
                  <c:v>32.29</c:v>
                </c:pt>
                <c:pt idx="62">
                  <c:v>32.31</c:v>
                </c:pt>
                <c:pt idx="63">
                  <c:v>32.619999999999997</c:v>
                </c:pt>
                <c:pt idx="64">
                  <c:v>32.549999999999997</c:v>
                </c:pt>
                <c:pt idx="65">
                  <c:v>33.200000000000003</c:v>
                </c:pt>
                <c:pt idx="66">
                  <c:v>32.61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439680"/>
        <c:axId val="513440464"/>
      </c:lineChart>
      <c:dateAx>
        <c:axId val="513439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440464"/>
        <c:crosses val="autoZero"/>
        <c:auto val="1"/>
        <c:lblOffset val="100"/>
        <c:baseTimeUnit val="days"/>
      </c:dateAx>
      <c:valAx>
        <c:axId val="51344046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439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42676</c:v>
                </c:pt>
                <c:pt idx="1">
                  <c:v>42675</c:v>
                </c:pt>
                <c:pt idx="2">
                  <c:v>42674</c:v>
                </c:pt>
                <c:pt idx="3">
                  <c:v>42671</c:v>
                </c:pt>
                <c:pt idx="4">
                  <c:v>42670</c:v>
                </c:pt>
                <c:pt idx="5">
                  <c:v>42669</c:v>
                </c:pt>
                <c:pt idx="6">
                  <c:v>42668</c:v>
                </c:pt>
                <c:pt idx="7">
                  <c:v>42668</c:v>
                </c:pt>
                <c:pt idx="8">
                  <c:v>42667</c:v>
                </c:pt>
                <c:pt idx="9">
                  <c:v>42664</c:v>
                </c:pt>
                <c:pt idx="10">
                  <c:v>42663</c:v>
                </c:pt>
                <c:pt idx="11">
                  <c:v>42662</c:v>
                </c:pt>
                <c:pt idx="12">
                  <c:v>42661</c:v>
                </c:pt>
                <c:pt idx="13">
                  <c:v>42660</c:v>
                </c:pt>
                <c:pt idx="14">
                  <c:v>42657</c:v>
                </c:pt>
                <c:pt idx="15">
                  <c:v>42656</c:v>
                </c:pt>
                <c:pt idx="16">
                  <c:v>42655</c:v>
                </c:pt>
                <c:pt idx="17">
                  <c:v>42654</c:v>
                </c:pt>
                <c:pt idx="18">
                  <c:v>42653</c:v>
                </c:pt>
                <c:pt idx="19">
                  <c:v>42650</c:v>
                </c:pt>
                <c:pt idx="20">
                  <c:v>42649</c:v>
                </c:pt>
                <c:pt idx="21">
                  <c:v>42648</c:v>
                </c:pt>
                <c:pt idx="22">
                  <c:v>42647</c:v>
                </c:pt>
                <c:pt idx="23">
                  <c:v>42646</c:v>
                </c:pt>
                <c:pt idx="24">
                  <c:v>42643</c:v>
                </c:pt>
                <c:pt idx="25">
                  <c:v>42642</c:v>
                </c:pt>
                <c:pt idx="26">
                  <c:v>42641</c:v>
                </c:pt>
                <c:pt idx="27">
                  <c:v>42640</c:v>
                </c:pt>
                <c:pt idx="28">
                  <c:v>42639</c:v>
                </c:pt>
                <c:pt idx="29">
                  <c:v>42636</c:v>
                </c:pt>
                <c:pt idx="30">
                  <c:v>42635</c:v>
                </c:pt>
                <c:pt idx="31">
                  <c:v>42634</c:v>
                </c:pt>
                <c:pt idx="32">
                  <c:v>42633</c:v>
                </c:pt>
                <c:pt idx="33">
                  <c:v>42632</c:v>
                </c:pt>
                <c:pt idx="34">
                  <c:v>42629</c:v>
                </c:pt>
                <c:pt idx="35">
                  <c:v>42628</c:v>
                </c:pt>
                <c:pt idx="36">
                  <c:v>42627</c:v>
                </c:pt>
                <c:pt idx="37">
                  <c:v>42626</c:v>
                </c:pt>
                <c:pt idx="38">
                  <c:v>42625</c:v>
                </c:pt>
                <c:pt idx="39">
                  <c:v>42622</c:v>
                </c:pt>
                <c:pt idx="40">
                  <c:v>42621</c:v>
                </c:pt>
                <c:pt idx="41">
                  <c:v>42620</c:v>
                </c:pt>
                <c:pt idx="42">
                  <c:v>42619</c:v>
                </c:pt>
                <c:pt idx="43">
                  <c:v>42615</c:v>
                </c:pt>
                <c:pt idx="44">
                  <c:v>42614</c:v>
                </c:pt>
                <c:pt idx="45">
                  <c:v>42613</c:v>
                </c:pt>
                <c:pt idx="46">
                  <c:v>42612</c:v>
                </c:pt>
                <c:pt idx="47">
                  <c:v>42611</c:v>
                </c:pt>
                <c:pt idx="48">
                  <c:v>42608</c:v>
                </c:pt>
                <c:pt idx="49">
                  <c:v>42607</c:v>
                </c:pt>
                <c:pt idx="50">
                  <c:v>42606</c:v>
                </c:pt>
                <c:pt idx="51">
                  <c:v>42605</c:v>
                </c:pt>
                <c:pt idx="52">
                  <c:v>42604</c:v>
                </c:pt>
                <c:pt idx="53">
                  <c:v>42601</c:v>
                </c:pt>
                <c:pt idx="54">
                  <c:v>42600</c:v>
                </c:pt>
                <c:pt idx="55">
                  <c:v>42599</c:v>
                </c:pt>
                <c:pt idx="56">
                  <c:v>42598</c:v>
                </c:pt>
                <c:pt idx="57">
                  <c:v>42597</c:v>
                </c:pt>
                <c:pt idx="58">
                  <c:v>42594</c:v>
                </c:pt>
                <c:pt idx="59">
                  <c:v>42593</c:v>
                </c:pt>
                <c:pt idx="60">
                  <c:v>42592</c:v>
                </c:pt>
                <c:pt idx="61">
                  <c:v>42591</c:v>
                </c:pt>
                <c:pt idx="62">
                  <c:v>42590</c:v>
                </c:pt>
                <c:pt idx="63">
                  <c:v>42587</c:v>
                </c:pt>
                <c:pt idx="64">
                  <c:v>42586</c:v>
                </c:pt>
                <c:pt idx="65">
                  <c:v>42585</c:v>
                </c:pt>
                <c:pt idx="66">
                  <c:v>42584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11.4</c:v>
                </c:pt>
                <c:pt idx="1">
                  <c:v>11.61</c:v>
                </c:pt>
                <c:pt idx="2">
                  <c:v>11.74</c:v>
                </c:pt>
                <c:pt idx="3">
                  <c:v>11.72</c:v>
                </c:pt>
                <c:pt idx="4">
                  <c:v>11.74</c:v>
                </c:pt>
                <c:pt idx="5">
                  <c:v>11.88</c:v>
                </c:pt>
                <c:pt idx="6">
                  <c:v>11.85</c:v>
                </c:pt>
                <c:pt idx="8">
                  <c:v>12.19</c:v>
                </c:pt>
                <c:pt idx="9">
                  <c:v>12.02</c:v>
                </c:pt>
                <c:pt idx="10">
                  <c:v>11.97</c:v>
                </c:pt>
                <c:pt idx="11">
                  <c:v>12.01</c:v>
                </c:pt>
                <c:pt idx="12">
                  <c:v>11.89</c:v>
                </c:pt>
                <c:pt idx="13">
                  <c:v>11.88</c:v>
                </c:pt>
                <c:pt idx="14">
                  <c:v>11.91</c:v>
                </c:pt>
                <c:pt idx="15">
                  <c:v>11.91</c:v>
                </c:pt>
                <c:pt idx="16">
                  <c:v>11.96</c:v>
                </c:pt>
                <c:pt idx="17">
                  <c:v>11.99</c:v>
                </c:pt>
                <c:pt idx="18">
                  <c:v>12.12</c:v>
                </c:pt>
                <c:pt idx="19">
                  <c:v>12.29</c:v>
                </c:pt>
                <c:pt idx="20">
                  <c:v>12.39</c:v>
                </c:pt>
                <c:pt idx="21">
                  <c:v>12.48</c:v>
                </c:pt>
                <c:pt idx="22">
                  <c:v>12.2</c:v>
                </c:pt>
                <c:pt idx="23">
                  <c:v>12.1</c:v>
                </c:pt>
                <c:pt idx="24">
                  <c:v>12.07</c:v>
                </c:pt>
                <c:pt idx="25">
                  <c:v>11.97</c:v>
                </c:pt>
                <c:pt idx="26">
                  <c:v>12.09</c:v>
                </c:pt>
                <c:pt idx="27">
                  <c:v>11.98</c:v>
                </c:pt>
                <c:pt idx="28">
                  <c:v>12.01</c:v>
                </c:pt>
                <c:pt idx="29">
                  <c:v>12.17</c:v>
                </c:pt>
                <c:pt idx="30">
                  <c:v>12.18</c:v>
                </c:pt>
                <c:pt idx="31">
                  <c:v>12.09</c:v>
                </c:pt>
                <c:pt idx="32">
                  <c:v>12</c:v>
                </c:pt>
                <c:pt idx="33">
                  <c:v>12.11</c:v>
                </c:pt>
                <c:pt idx="34">
                  <c:v>12.11</c:v>
                </c:pt>
                <c:pt idx="35">
                  <c:v>12.11</c:v>
                </c:pt>
                <c:pt idx="36">
                  <c:v>12.14</c:v>
                </c:pt>
                <c:pt idx="37">
                  <c:v>12.38</c:v>
                </c:pt>
                <c:pt idx="38">
                  <c:v>12.7</c:v>
                </c:pt>
                <c:pt idx="39">
                  <c:v>12.38</c:v>
                </c:pt>
                <c:pt idx="40">
                  <c:v>12.73</c:v>
                </c:pt>
                <c:pt idx="41">
                  <c:v>12.7</c:v>
                </c:pt>
                <c:pt idx="42">
                  <c:v>12.67</c:v>
                </c:pt>
                <c:pt idx="43">
                  <c:v>12.5</c:v>
                </c:pt>
                <c:pt idx="44">
                  <c:v>12.44</c:v>
                </c:pt>
                <c:pt idx="45">
                  <c:v>12.6</c:v>
                </c:pt>
                <c:pt idx="46">
                  <c:v>12.55</c:v>
                </c:pt>
                <c:pt idx="47">
                  <c:v>12.47</c:v>
                </c:pt>
                <c:pt idx="48">
                  <c:v>12.38</c:v>
                </c:pt>
                <c:pt idx="49">
                  <c:v>12.47</c:v>
                </c:pt>
                <c:pt idx="50">
                  <c:v>12.3</c:v>
                </c:pt>
                <c:pt idx="51">
                  <c:v>12.42</c:v>
                </c:pt>
                <c:pt idx="52">
                  <c:v>12.36</c:v>
                </c:pt>
                <c:pt idx="53">
                  <c:v>12.39</c:v>
                </c:pt>
                <c:pt idx="54">
                  <c:v>12.33</c:v>
                </c:pt>
                <c:pt idx="55">
                  <c:v>12.39</c:v>
                </c:pt>
                <c:pt idx="56">
                  <c:v>12.34</c:v>
                </c:pt>
                <c:pt idx="57">
                  <c:v>12.43</c:v>
                </c:pt>
                <c:pt idx="58">
                  <c:v>12.33</c:v>
                </c:pt>
                <c:pt idx="59">
                  <c:v>12.31</c:v>
                </c:pt>
                <c:pt idx="60">
                  <c:v>12.25</c:v>
                </c:pt>
                <c:pt idx="61">
                  <c:v>12.31</c:v>
                </c:pt>
                <c:pt idx="62">
                  <c:v>12.18</c:v>
                </c:pt>
                <c:pt idx="63">
                  <c:v>12.19</c:v>
                </c:pt>
                <c:pt idx="64">
                  <c:v>12.08</c:v>
                </c:pt>
                <c:pt idx="65">
                  <c:v>12.13</c:v>
                </c:pt>
                <c:pt idx="66">
                  <c:v>11.94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441248"/>
        <c:axId val="513441640"/>
      </c:lineChart>
      <c:dateAx>
        <c:axId val="513441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441640"/>
        <c:crosses val="autoZero"/>
        <c:auto val="1"/>
        <c:lblOffset val="100"/>
        <c:baseTimeUnit val="days"/>
      </c:dateAx>
      <c:valAx>
        <c:axId val="513441640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441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42676</c:v>
                </c:pt>
                <c:pt idx="1">
                  <c:v>42675</c:v>
                </c:pt>
                <c:pt idx="2">
                  <c:v>42674</c:v>
                </c:pt>
                <c:pt idx="3">
                  <c:v>42671</c:v>
                </c:pt>
                <c:pt idx="4">
                  <c:v>42670</c:v>
                </c:pt>
                <c:pt idx="5">
                  <c:v>42669</c:v>
                </c:pt>
                <c:pt idx="6">
                  <c:v>42668</c:v>
                </c:pt>
                <c:pt idx="7">
                  <c:v>42667</c:v>
                </c:pt>
                <c:pt idx="8">
                  <c:v>42664</c:v>
                </c:pt>
                <c:pt idx="9">
                  <c:v>42663</c:v>
                </c:pt>
                <c:pt idx="10">
                  <c:v>42662</c:v>
                </c:pt>
                <c:pt idx="11">
                  <c:v>42661</c:v>
                </c:pt>
                <c:pt idx="12">
                  <c:v>42660</c:v>
                </c:pt>
                <c:pt idx="13">
                  <c:v>42657</c:v>
                </c:pt>
                <c:pt idx="14">
                  <c:v>42656</c:v>
                </c:pt>
                <c:pt idx="15">
                  <c:v>42655</c:v>
                </c:pt>
                <c:pt idx="16">
                  <c:v>42654</c:v>
                </c:pt>
                <c:pt idx="17">
                  <c:v>42653</c:v>
                </c:pt>
                <c:pt idx="18">
                  <c:v>42650</c:v>
                </c:pt>
                <c:pt idx="19">
                  <c:v>42649</c:v>
                </c:pt>
                <c:pt idx="20">
                  <c:v>42648</c:v>
                </c:pt>
                <c:pt idx="21">
                  <c:v>42647</c:v>
                </c:pt>
                <c:pt idx="22">
                  <c:v>42646</c:v>
                </c:pt>
                <c:pt idx="23">
                  <c:v>42643</c:v>
                </c:pt>
                <c:pt idx="24">
                  <c:v>42642</c:v>
                </c:pt>
                <c:pt idx="25">
                  <c:v>42641</c:v>
                </c:pt>
                <c:pt idx="26">
                  <c:v>42640</c:v>
                </c:pt>
                <c:pt idx="27">
                  <c:v>42639</c:v>
                </c:pt>
                <c:pt idx="28">
                  <c:v>42636</c:v>
                </c:pt>
                <c:pt idx="29">
                  <c:v>42635</c:v>
                </c:pt>
                <c:pt idx="30">
                  <c:v>42634</c:v>
                </c:pt>
                <c:pt idx="31">
                  <c:v>42633</c:v>
                </c:pt>
                <c:pt idx="32">
                  <c:v>42632</c:v>
                </c:pt>
                <c:pt idx="33">
                  <c:v>42629</c:v>
                </c:pt>
                <c:pt idx="34">
                  <c:v>42628</c:v>
                </c:pt>
                <c:pt idx="35">
                  <c:v>42627</c:v>
                </c:pt>
                <c:pt idx="36">
                  <c:v>42626</c:v>
                </c:pt>
                <c:pt idx="37">
                  <c:v>42625</c:v>
                </c:pt>
                <c:pt idx="38">
                  <c:v>42622</c:v>
                </c:pt>
                <c:pt idx="39">
                  <c:v>42621</c:v>
                </c:pt>
                <c:pt idx="40">
                  <c:v>42620</c:v>
                </c:pt>
                <c:pt idx="41">
                  <c:v>42619</c:v>
                </c:pt>
                <c:pt idx="42">
                  <c:v>42615</c:v>
                </c:pt>
                <c:pt idx="43">
                  <c:v>42614</c:v>
                </c:pt>
                <c:pt idx="44">
                  <c:v>42613</c:v>
                </c:pt>
                <c:pt idx="45">
                  <c:v>42612</c:v>
                </c:pt>
                <c:pt idx="46">
                  <c:v>42611</c:v>
                </c:pt>
                <c:pt idx="47">
                  <c:v>42608</c:v>
                </c:pt>
                <c:pt idx="48">
                  <c:v>42607</c:v>
                </c:pt>
                <c:pt idx="49">
                  <c:v>42606</c:v>
                </c:pt>
                <c:pt idx="50">
                  <c:v>42605</c:v>
                </c:pt>
                <c:pt idx="51">
                  <c:v>42604</c:v>
                </c:pt>
                <c:pt idx="52">
                  <c:v>42601</c:v>
                </c:pt>
                <c:pt idx="53">
                  <c:v>42601</c:v>
                </c:pt>
                <c:pt idx="54">
                  <c:v>42600</c:v>
                </c:pt>
                <c:pt idx="55">
                  <c:v>42599</c:v>
                </c:pt>
                <c:pt idx="56">
                  <c:v>42598</c:v>
                </c:pt>
                <c:pt idx="57">
                  <c:v>42597</c:v>
                </c:pt>
                <c:pt idx="58">
                  <c:v>42594</c:v>
                </c:pt>
                <c:pt idx="59">
                  <c:v>42593</c:v>
                </c:pt>
                <c:pt idx="60">
                  <c:v>42592</c:v>
                </c:pt>
                <c:pt idx="61">
                  <c:v>42591</c:v>
                </c:pt>
                <c:pt idx="62">
                  <c:v>42590</c:v>
                </c:pt>
                <c:pt idx="63">
                  <c:v>42587</c:v>
                </c:pt>
                <c:pt idx="64">
                  <c:v>42586</c:v>
                </c:pt>
                <c:pt idx="65">
                  <c:v>42585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114.86</c:v>
                </c:pt>
                <c:pt idx="1">
                  <c:v>115.34</c:v>
                </c:pt>
                <c:pt idx="2">
                  <c:v>115.99</c:v>
                </c:pt>
                <c:pt idx="3">
                  <c:v>115.33</c:v>
                </c:pt>
                <c:pt idx="4">
                  <c:v>115.7</c:v>
                </c:pt>
                <c:pt idx="5">
                  <c:v>114.56</c:v>
                </c:pt>
                <c:pt idx="6">
                  <c:v>113.96</c:v>
                </c:pt>
                <c:pt idx="7">
                  <c:v>113.61</c:v>
                </c:pt>
                <c:pt idx="8">
                  <c:v>113.44</c:v>
                </c:pt>
                <c:pt idx="9">
                  <c:v>114.87</c:v>
                </c:pt>
                <c:pt idx="10">
                  <c:v>114.59</c:v>
                </c:pt>
                <c:pt idx="11">
                  <c:v>115.41</c:v>
                </c:pt>
                <c:pt idx="12">
                  <c:v>118.49</c:v>
                </c:pt>
                <c:pt idx="13">
                  <c:v>117.56</c:v>
                </c:pt>
                <c:pt idx="14">
                  <c:v>118.26</c:v>
                </c:pt>
                <c:pt idx="15">
                  <c:v>117.97</c:v>
                </c:pt>
                <c:pt idx="16">
                  <c:v>117.64</c:v>
                </c:pt>
                <c:pt idx="17">
                  <c:v>119.8</c:v>
                </c:pt>
                <c:pt idx="18">
                  <c:v>119.24</c:v>
                </c:pt>
                <c:pt idx="19">
                  <c:v>118.75</c:v>
                </c:pt>
                <c:pt idx="20">
                  <c:v>119.18</c:v>
                </c:pt>
                <c:pt idx="21">
                  <c:v>118.82</c:v>
                </c:pt>
                <c:pt idx="22">
                  <c:v>118.81</c:v>
                </c:pt>
                <c:pt idx="23">
                  <c:v>118.13</c:v>
                </c:pt>
                <c:pt idx="24">
                  <c:v>117.27</c:v>
                </c:pt>
                <c:pt idx="25">
                  <c:v>119.39</c:v>
                </c:pt>
                <c:pt idx="26">
                  <c:v>119.22</c:v>
                </c:pt>
                <c:pt idx="27">
                  <c:v>117.78</c:v>
                </c:pt>
                <c:pt idx="28">
                  <c:v>118.81</c:v>
                </c:pt>
                <c:pt idx="29">
                  <c:v>119.46</c:v>
                </c:pt>
                <c:pt idx="30">
                  <c:v>118.91</c:v>
                </c:pt>
                <c:pt idx="31">
                  <c:v>117.95</c:v>
                </c:pt>
                <c:pt idx="32">
                  <c:v>117.66</c:v>
                </c:pt>
                <c:pt idx="33">
                  <c:v>118.25</c:v>
                </c:pt>
                <c:pt idx="34">
                  <c:v>118.63</c:v>
                </c:pt>
                <c:pt idx="35">
                  <c:v>117.86</c:v>
                </c:pt>
                <c:pt idx="36">
                  <c:v>117.61</c:v>
                </c:pt>
                <c:pt idx="37">
                  <c:v>119.16</c:v>
                </c:pt>
                <c:pt idx="38">
                  <c:v>118.23</c:v>
                </c:pt>
                <c:pt idx="39">
                  <c:v>119.47</c:v>
                </c:pt>
                <c:pt idx="40">
                  <c:v>119.61</c:v>
                </c:pt>
                <c:pt idx="41">
                  <c:v>119.75</c:v>
                </c:pt>
                <c:pt idx="42">
                  <c:v>119.32</c:v>
                </c:pt>
                <c:pt idx="43">
                  <c:v>119.08</c:v>
                </c:pt>
                <c:pt idx="44">
                  <c:v>119.34</c:v>
                </c:pt>
                <c:pt idx="45">
                  <c:v>119.47</c:v>
                </c:pt>
                <c:pt idx="46">
                  <c:v>119.92</c:v>
                </c:pt>
                <c:pt idx="47">
                  <c:v>119.04</c:v>
                </c:pt>
                <c:pt idx="48">
                  <c:v>118.57</c:v>
                </c:pt>
                <c:pt idx="49">
                  <c:v>118.71</c:v>
                </c:pt>
                <c:pt idx="50">
                  <c:v>119.44</c:v>
                </c:pt>
                <c:pt idx="51">
                  <c:v>119.13</c:v>
                </c:pt>
                <c:pt idx="52">
                  <c:v>119.92</c:v>
                </c:pt>
                <c:pt idx="54">
                  <c:v>120.72</c:v>
                </c:pt>
                <c:pt idx="55">
                  <c:v>121.31</c:v>
                </c:pt>
                <c:pt idx="56">
                  <c:v>120.33</c:v>
                </c:pt>
                <c:pt idx="57">
                  <c:v>122.31</c:v>
                </c:pt>
                <c:pt idx="58">
                  <c:v>123.22</c:v>
                </c:pt>
                <c:pt idx="59">
                  <c:v>123.77</c:v>
                </c:pt>
                <c:pt idx="60">
                  <c:v>123.36</c:v>
                </c:pt>
                <c:pt idx="61">
                  <c:v>123.43</c:v>
                </c:pt>
                <c:pt idx="62">
                  <c:v>123.65</c:v>
                </c:pt>
                <c:pt idx="63">
                  <c:v>124.24</c:v>
                </c:pt>
                <c:pt idx="64">
                  <c:v>123.86</c:v>
                </c:pt>
                <c:pt idx="65">
                  <c:v>123.9</c:v>
                </c:pt>
                <c:pt idx="66">
                  <c:v>124.85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443208"/>
        <c:axId val="513444384"/>
      </c:lineChart>
      <c:dateAx>
        <c:axId val="513443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444384"/>
        <c:crosses val="autoZero"/>
        <c:auto val="1"/>
        <c:lblOffset val="100"/>
        <c:baseTimeUnit val="days"/>
      </c:dateAx>
      <c:valAx>
        <c:axId val="513444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443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42676</c:v>
                </c:pt>
                <c:pt idx="1">
                  <c:v>42675</c:v>
                </c:pt>
                <c:pt idx="2">
                  <c:v>42674</c:v>
                </c:pt>
                <c:pt idx="3">
                  <c:v>42671</c:v>
                </c:pt>
                <c:pt idx="4">
                  <c:v>42670</c:v>
                </c:pt>
                <c:pt idx="5">
                  <c:v>42669</c:v>
                </c:pt>
                <c:pt idx="6">
                  <c:v>42668</c:v>
                </c:pt>
                <c:pt idx="7">
                  <c:v>42667</c:v>
                </c:pt>
                <c:pt idx="8">
                  <c:v>42664</c:v>
                </c:pt>
                <c:pt idx="9">
                  <c:v>42663</c:v>
                </c:pt>
                <c:pt idx="10">
                  <c:v>42662</c:v>
                </c:pt>
                <c:pt idx="11">
                  <c:v>42661</c:v>
                </c:pt>
                <c:pt idx="12">
                  <c:v>42660</c:v>
                </c:pt>
                <c:pt idx="13">
                  <c:v>42657</c:v>
                </c:pt>
                <c:pt idx="14">
                  <c:v>42656</c:v>
                </c:pt>
                <c:pt idx="15">
                  <c:v>42655</c:v>
                </c:pt>
                <c:pt idx="16">
                  <c:v>42654</c:v>
                </c:pt>
                <c:pt idx="17">
                  <c:v>42653</c:v>
                </c:pt>
                <c:pt idx="18">
                  <c:v>42650</c:v>
                </c:pt>
                <c:pt idx="19">
                  <c:v>42649</c:v>
                </c:pt>
                <c:pt idx="20">
                  <c:v>42648</c:v>
                </c:pt>
                <c:pt idx="21">
                  <c:v>42647</c:v>
                </c:pt>
                <c:pt idx="22">
                  <c:v>42646</c:v>
                </c:pt>
                <c:pt idx="23">
                  <c:v>42643</c:v>
                </c:pt>
                <c:pt idx="24">
                  <c:v>42642</c:v>
                </c:pt>
                <c:pt idx="25">
                  <c:v>42641</c:v>
                </c:pt>
                <c:pt idx="26">
                  <c:v>42640</c:v>
                </c:pt>
                <c:pt idx="27">
                  <c:v>42639</c:v>
                </c:pt>
                <c:pt idx="28">
                  <c:v>42636</c:v>
                </c:pt>
                <c:pt idx="29">
                  <c:v>42635</c:v>
                </c:pt>
                <c:pt idx="30">
                  <c:v>42634</c:v>
                </c:pt>
                <c:pt idx="31">
                  <c:v>42633</c:v>
                </c:pt>
                <c:pt idx="32">
                  <c:v>42632</c:v>
                </c:pt>
                <c:pt idx="33">
                  <c:v>42629</c:v>
                </c:pt>
                <c:pt idx="34">
                  <c:v>42628</c:v>
                </c:pt>
                <c:pt idx="35">
                  <c:v>42627</c:v>
                </c:pt>
                <c:pt idx="36">
                  <c:v>42626</c:v>
                </c:pt>
                <c:pt idx="37">
                  <c:v>42625</c:v>
                </c:pt>
                <c:pt idx="38">
                  <c:v>42622</c:v>
                </c:pt>
                <c:pt idx="39">
                  <c:v>42621</c:v>
                </c:pt>
                <c:pt idx="40">
                  <c:v>42620</c:v>
                </c:pt>
                <c:pt idx="41">
                  <c:v>42619</c:v>
                </c:pt>
                <c:pt idx="42">
                  <c:v>42615</c:v>
                </c:pt>
                <c:pt idx="43">
                  <c:v>42614</c:v>
                </c:pt>
                <c:pt idx="44">
                  <c:v>42613</c:v>
                </c:pt>
                <c:pt idx="45">
                  <c:v>42612</c:v>
                </c:pt>
                <c:pt idx="46">
                  <c:v>42611</c:v>
                </c:pt>
                <c:pt idx="47">
                  <c:v>42608</c:v>
                </c:pt>
                <c:pt idx="48">
                  <c:v>42607</c:v>
                </c:pt>
                <c:pt idx="49">
                  <c:v>42606</c:v>
                </c:pt>
                <c:pt idx="50">
                  <c:v>42605</c:v>
                </c:pt>
                <c:pt idx="51">
                  <c:v>42604</c:v>
                </c:pt>
                <c:pt idx="52">
                  <c:v>42601</c:v>
                </c:pt>
                <c:pt idx="53">
                  <c:v>42600</c:v>
                </c:pt>
                <c:pt idx="54">
                  <c:v>42599</c:v>
                </c:pt>
                <c:pt idx="55">
                  <c:v>42598</c:v>
                </c:pt>
                <c:pt idx="56">
                  <c:v>42597</c:v>
                </c:pt>
                <c:pt idx="57">
                  <c:v>42594</c:v>
                </c:pt>
                <c:pt idx="58">
                  <c:v>42593</c:v>
                </c:pt>
                <c:pt idx="59">
                  <c:v>42592</c:v>
                </c:pt>
                <c:pt idx="60">
                  <c:v>42591</c:v>
                </c:pt>
                <c:pt idx="61">
                  <c:v>42590</c:v>
                </c:pt>
                <c:pt idx="62">
                  <c:v>42587</c:v>
                </c:pt>
                <c:pt idx="63">
                  <c:v>42586</c:v>
                </c:pt>
                <c:pt idx="64">
                  <c:v>42585</c:v>
                </c:pt>
                <c:pt idx="65">
                  <c:v>42584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10.89</c:v>
                </c:pt>
                <c:pt idx="1">
                  <c:v>11.8</c:v>
                </c:pt>
                <c:pt idx="2">
                  <c:v>11.9</c:v>
                </c:pt>
                <c:pt idx="3">
                  <c:v>11.76</c:v>
                </c:pt>
                <c:pt idx="4">
                  <c:v>11.93</c:v>
                </c:pt>
                <c:pt idx="5">
                  <c:v>11.9</c:v>
                </c:pt>
                <c:pt idx="6">
                  <c:v>12.16</c:v>
                </c:pt>
                <c:pt idx="7">
                  <c:v>12.42</c:v>
                </c:pt>
                <c:pt idx="8">
                  <c:v>12.66</c:v>
                </c:pt>
                <c:pt idx="9">
                  <c:v>12.98</c:v>
                </c:pt>
                <c:pt idx="10">
                  <c:v>13.07</c:v>
                </c:pt>
                <c:pt idx="11">
                  <c:v>12.83</c:v>
                </c:pt>
                <c:pt idx="12">
                  <c:v>12.63</c:v>
                </c:pt>
                <c:pt idx="13">
                  <c:v>12.91</c:v>
                </c:pt>
                <c:pt idx="14">
                  <c:v>13.02</c:v>
                </c:pt>
                <c:pt idx="15">
                  <c:v>12.95</c:v>
                </c:pt>
                <c:pt idx="16">
                  <c:v>12.96</c:v>
                </c:pt>
                <c:pt idx="17">
                  <c:v>13.15</c:v>
                </c:pt>
                <c:pt idx="18">
                  <c:v>12.55</c:v>
                </c:pt>
                <c:pt idx="19">
                  <c:v>12.34</c:v>
                </c:pt>
                <c:pt idx="20">
                  <c:v>12.33</c:v>
                </c:pt>
                <c:pt idx="21">
                  <c:v>12.2</c:v>
                </c:pt>
                <c:pt idx="22">
                  <c:v>12.5</c:v>
                </c:pt>
                <c:pt idx="23">
                  <c:v>12.64</c:v>
                </c:pt>
                <c:pt idx="24">
                  <c:v>12.76</c:v>
                </c:pt>
                <c:pt idx="25">
                  <c:v>13.31</c:v>
                </c:pt>
                <c:pt idx="26">
                  <c:v>13.47</c:v>
                </c:pt>
                <c:pt idx="27">
                  <c:v>13.67</c:v>
                </c:pt>
                <c:pt idx="28">
                  <c:v>13.9</c:v>
                </c:pt>
                <c:pt idx="29">
                  <c:v>13.91</c:v>
                </c:pt>
                <c:pt idx="30">
                  <c:v>13.79</c:v>
                </c:pt>
                <c:pt idx="31">
                  <c:v>13.62</c:v>
                </c:pt>
                <c:pt idx="32">
                  <c:v>13.26</c:v>
                </c:pt>
                <c:pt idx="33">
                  <c:v>13.29</c:v>
                </c:pt>
                <c:pt idx="34">
                  <c:v>13.12</c:v>
                </c:pt>
                <c:pt idx="35">
                  <c:v>12.91</c:v>
                </c:pt>
                <c:pt idx="36">
                  <c:v>13.03</c:v>
                </c:pt>
                <c:pt idx="37">
                  <c:v>13.62</c:v>
                </c:pt>
                <c:pt idx="38">
                  <c:v>13.4</c:v>
                </c:pt>
                <c:pt idx="39">
                  <c:v>13.86</c:v>
                </c:pt>
                <c:pt idx="40">
                  <c:v>13.42</c:v>
                </c:pt>
                <c:pt idx="41">
                  <c:v>12.72</c:v>
                </c:pt>
                <c:pt idx="42">
                  <c:v>12.48</c:v>
                </c:pt>
                <c:pt idx="43">
                  <c:v>12.13</c:v>
                </c:pt>
                <c:pt idx="44">
                  <c:v>12.48</c:v>
                </c:pt>
                <c:pt idx="45">
                  <c:v>12.41</c:v>
                </c:pt>
                <c:pt idx="46">
                  <c:v>12.59</c:v>
                </c:pt>
                <c:pt idx="47">
                  <c:v>12.46</c:v>
                </c:pt>
                <c:pt idx="48">
                  <c:v>12.42</c:v>
                </c:pt>
                <c:pt idx="49">
                  <c:v>12.46</c:v>
                </c:pt>
                <c:pt idx="50">
                  <c:v>12.57</c:v>
                </c:pt>
                <c:pt idx="51">
                  <c:v>12.24</c:v>
                </c:pt>
                <c:pt idx="52">
                  <c:v>12.26</c:v>
                </c:pt>
                <c:pt idx="53">
                  <c:v>12.57</c:v>
                </c:pt>
                <c:pt idx="54">
                  <c:v>12.61</c:v>
                </c:pt>
                <c:pt idx="55">
                  <c:v>12.77</c:v>
                </c:pt>
                <c:pt idx="56">
                  <c:v>12.66</c:v>
                </c:pt>
                <c:pt idx="57">
                  <c:v>12.73</c:v>
                </c:pt>
                <c:pt idx="58">
                  <c:v>12.63</c:v>
                </c:pt>
                <c:pt idx="59">
                  <c:v>12.51</c:v>
                </c:pt>
                <c:pt idx="60">
                  <c:v>12.67</c:v>
                </c:pt>
                <c:pt idx="61">
                  <c:v>13.09</c:v>
                </c:pt>
                <c:pt idx="62">
                  <c:v>13.01</c:v>
                </c:pt>
                <c:pt idx="63">
                  <c:v>12.97</c:v>
                </c:pt>
                <c:pt idx="64">
                  <c:v>13.52</c:v>
                </c:pt>
                <c:pt idx="65">
                  <c:v>13.45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439288"/>
        <c:axId val="513445168"/>
      </c:lineChart>
      <c:dateAx>
        <c:axId val="5134392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445168"/>
        <c:crosses val="autoZero"/>
        <c:auto val="1"/>
        <c:lblOffset val="100"/>
        <c:baseTimeUnit val="days"/>
      </c:dateAx>
      <c:valAx>
        <c:axId val="513445168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439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42676</c:v>
                </c:pt>
                <c:pt idx="1">
                  <c:v>42675</c:v>
                </c:pt>
                <c:pt idx="2">
                  <c:v>42674</c:v>
                </c:pt>
                <c:pt idx="3">
                  <c:v>42671</c:v>
                </c:pt>
                <c:pt idx="4">
                  <c:v>42670</c:v>
                </c:pt>
                <c:pt idx="5">
                  <c:v>42669</c:v>
                </c:pt>
                <c:pt idx="6">
                  <c:v>42668</c:v>
                </c:pt>
                <c:pt idx="7">
                  <c:v>42667</c:v>
                </c:pt>
                <c:pt idx="8">
                  <c:v>42664</c:v>
                </c:pt>
                <c:pt idx="9">
                  <c:v>42663</c:v>
                </c:pt>
                <c:pt idx="10">
                  <c:v>42662</c:v>
                </c:pt>
                <c:pt idx="11">
                  <c:v>42661</c:v>
                </c:pt>
                <c:pt idx="12">
                  <c:v>42660</c:v>
                </c:pt>
                <c:pt idx="13">
                  <c:v>42657</c:v>
                </c:pt>
                <c:pt idx="14">
                  <c:v>42656</c:v>
                </c:pt>
                <c:pt idx="15">
                  <c:v>42655</c:v>
                </c:pt>
                <c:pt idx="16">
                  <c:v>42654</c:v>
                </c:pt>
                <c:pt idx="17">
                  <c:v>42653</c:v>
                </c:pt>
                <c:pt idx="18">
                  <c:v>42650</c:v>
                </c:pt>
                <c:pt idx="19">
                  <c:v>42649</c:v>
                </c:pt>
                <c:pt idx="20">
                  <c:v>42648</c:v>
                </c:pt>
                <c:pt idx="21">
                  <c:v>42647</c:v>
                </c:pt>
                <c:pt idx="22">
                  <c:v>42646</c:v>
                </c:pt>
                <c:pt idx="23">
                  <c:v>42643</c:v>
                </c:pt>
                <c:pt idx="24">
                  <c:v>42642</c:v>
                </c:pt>
                <c:pt idx="25">
                  <c:v>42641</c:v>
                </c:pt>
                <c:pt idx="26">
                  <c:v>42640</c:v>
                </c:pt>
                <c:pt idx="27">
                  <c:v>42639</c:v>
                </c:pt>
                <c:pt idx="28">
                  <c:v>42636</c:v>
                </c:pt>
                <c:pt idx="29">
                  <c:v>42635</c:v>
                </c:pt>
                <c:pt idx="30">
                  <c:v>42634</c:v>
                </c:pt>
                <c:pt idx="31">
                  <c:v>42633</c:v>
                </c:pt>
                <c:pt idx="32">
                  <c:v>42632</c:v>
                </c:pt>
                <c:pt idx="33">
                  <c:v>42629</c:v>
                </c:pt>
                <c:pt idx="34">
                  <c:v>42628</c:v>
                </c:pt>
                <c:pt idx="35">
                  <c:v>42627</c:v>
                </c:pt>
                <c:pt idx="36">
                  <c:v>42626</c:v>
                </c:pt>
                <c:pt idx="37">
                  <c:v>42625</c:v>
                </c:pt>
                <c:pt idx="38">
                  <c:v>42622</c:v>
                </c:pt>
                <c:pt idx="39">
                  <c:v>42621</c:v>
                </c:pt>
                <c:pt idx="40">
                  <c:v>42620</c:v>
                </c:pt>
                <c:pt idx="41">
                  <c:v>42619</c:v>
                </c:pt>
                <c:pt idx="42">
                  <c:v>42615</c:v>
                </c:pt>
                <c:pt idx="43">
                  <c:v>42614</c:v>
                </c:pt>
                <c:pt idx="44">
                  <c:v>42614</c:v>
                </c:pt>
                <c:pt idx="45">
                  <c:v>42613</c:v>
                </c:pt>
                <c:pt idx="46">
                  <c:v>42612</c:v>
                </c:pt>
                <c:pt idx="47">
                  <c:v>42611</c:v>
                </c:pt>
                <c:pt idx="48">
                  <c:v>42608</c:v>
                </c:pt>
                <c:pt idx="49">
                  <c:v>42607</c:v>
                </c:pt>
                <c:pt idx="50">
                  <c:v>42606</c:v>
                </c:pt>
                <c:pt idx="51">
                  <c:v>42605</c:v>
                </c:pt>
                <c:pt idx="52">
                  <c:v>42604</c:v>
                </c:pt>
                <c:pt idx="53">
                  <c:v>42601</c:v>
                </c:pt>
                <c:pt idx="54">
                  <c:v>42600</c:v>
                </c:pt>
                <c:pt idx="55">
                  <c:v>42599</c:v>
                </c:pt>
                <c:pt idx="56">
                  <c:v>42598</c:v>
                </c:pt>
                <c:pt idx="57">
                  <c:v>42597</c:v>
                </c:pt>
                <c:pt idx="58">
                  <c:v>42594</c:v>
                </c:pt>
                <c:pt idx="59">
                  <c:v>42593</c:v>
                </c:pt>
                <c:pt idx="60">
                  <c:v>42592</c:v>
                </c:pt>
                <c:pt idx="61">
                  <c:v>42591</c:v>
                </c:pt>
                <c:pt idx="62">
                  <c:v>42590</c:v>
                </c:pt>
                <c:pt idx="63">
                  <c:v>42587</c:v>
                </c:pt>
                <c:pt idx="64">
                  <c:v>42586</c:v>
                </c:pt>
                <c:pt idx="65">
                  <c:v>42585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49.72</c:v>
                </c:pt>
                <c:pt idx="1">
                  <c:v>49.62</c:v>
                </c:pt>
                <c:pt idx="2">
                  <c:v>50.18</c:v>
                </c:pt>
                <c:pt idx="3">
                  <c:v>52.02</c:v>
                </c:pt>
                <c:pt idx="4">
                  <c:v>51.89</c:v>
                </c:pt>
                <c:pt idx="5">
                  <c:v>51.97</c:v>
                </c:pt>
                <c:pt idx="6">
                  <c:v>51.05</c:v>
                </c:pt>
                <c:pt idx="7">
                  <c:v>51.87</c:v>
                </c:pt>
                <c:pt idx="8">
                  <c:v>51.77</c:v>
                </c:pt>
                <c:pt idx="9">
                  <c:v>51.89</c:v>
                </c:pt>
                <c:pt idx="10">
                  <c:v>51.8</c:v>
                </c:pt>
                <c:pt idx="11">
                  <c:v>51.22</c:v>
                </c:pt>
                <c:pt idx="12">
                  <c:v>51.03</c:v>
                </c:pt>
                <c:pt idx="13">
                  <c:v>51.62</c:v>
                </c:pt>
                <c:pt idx="14">
                  <c:v>52.03</c:v>
                </c:pt>
                <c:pt idx="15">
                  <c:v>52.44</c:v>
                </c:pt>
                <c:pt idx="16">
                  <c:v>51.82</c:v>
                </c:pt>
                <c:pt idx="17">
                  <c:v>51.79</c:v>
                </c:pt>
                <c:pt idx="18">
                  <c:v>51.79</c:v>
                </c:pt>
                <c:pt idx="19">
                  <c:v>52.03</c:v>
                </c:pt>
                <c:pt idx="20">
                  <c:v>52.12</c:v>
                </c:pt>
                <c:pt idx="21">
                  <c:v>52.14</c:v>
                </c:pt>
                <c:pt idx="22">
                  <c:v>52.67</c:v>
                </c:pt>
                <c:pt idx="23">
                  <c:v>52.65</c:v>
                </c:pt>
                <c:pt idx="24">
                  <c:v>52.16</c:v>
                </c:pt>
                <c:pt idx="25">
                  <c:v>53.25</c:v>
                </c:pt>
                <c:pt idx="26">
                  <c:v>55.34</c:v>
                </c:pt>
                <c:pt idx="27">
                  <c:v>54.4</c:v>
                </c:pt>
                <c:pt idx="28">
                  <c:v>55.15</c:v>
                </c:pt>
                <c:pt idx="29">
                  <c:v>55.41</c:v>
                </c:pt>
                <c:pt idx="30">
                  <c:v>55.34</c:v>
                </c:pt>
                <c:pt idx="31">
                  <c:v>54.87</c:v>
                </c:pt>
                <c:pt idx="32">
                  <c:v>54.95</c:v>
                </c:pt>
                <c:pt idx="33">
                  <c:v>55.18</c:v>
                </c:pt>
                <c:pt idx="34">
                  <c:v>55.47</c:v>
                </c:pt>
                <c:pt idx="35">
                  <c:v>55.13</c:v>
                </c:pt>
                <c:pt idx="36">
                  <c:v>55.37</c:v>
                </c:pt>
                <c:pt idx="37">
                  <c:v>56.01</c:v>
                </c:pt>
                <c:pt idx="38">
                  <c:v>55.33</c:v>
                </c:pt>
                <c:pt idx="39">
                  <c:v>56.17</c:v>
                </c:pt>
                <c:pt idx="40">
                  <c:v>57.72</c:v>
                </c:pt>
                <c:pt idx="41">
                  <c:v>57.41</c:v>
                </c:pt>
                <c:pt idx="42">
                  <c:v>58.02</c:v>
                </c:pt>
                <c:pt idx="43">
                  <c:v>58.54</c:v>
                </c:pt>
                <c:pt idx="45">
                  <c:v>57.64</c:v>
                </c:pt>
                <c:pt idx="46">
                  <c:v>58</c:v>
                </c:pt>
                <c:pt idx="47">
                  <c:v>58.63</c:v>
                </c:pt>
                <c:pt idx="48">
                  <c:v>59</c:v>
                </c:pt>
                <c:pt idx="49">
                  <c:v>59.24</c:v>
                </c:pt>
                <c:pt idx="50">
                  <c:v>60.22</c:v>
                </c:pt>
                <c:pt idx="51">
                  <c:v>59.62</c:v>
                </c:pt>
                <c:pt idx="52">
                  <c:v>58.66</c:v>
                </c:pt>
                <c:pt idx="53">
                  <c:v>58.9</c:v>
                </c:pt>
                <c:pt idx="54">
                  <c:v>57.21</c:v>
                </c:pt>
                <c:pt idx="55">
                  <c:v>56.86</c:v>
                </c:pt>
                <c:pt idx="56">
                  <c:v>56.88</c:v>
                </c:pt>
                <c:pt idx="57">
                  <c:v>56.77</c:v>
                </c:pt>
                <c:pt idx="58">
                  <c:v>56.45</c:v>
                </c:pt>
                <c:pt idx="59">
                  <c:v>56.73</c:v>
                </c:pt>
                <c:pt idx="60">
                  <c:v>55.13</c:v>
                </c:pt>
                <c:pt idx="61">
                  <c:v>55.77</c:v>
                </c:pt>
                <c:pt idx="62">
                  <c:v>55.98</c:v>
                </c:pt>
                <c:pt idx="63">
                  <c:v>55.85</c:v>
                </c:pt>
                <c:pt idx="64">
                  <c:v>54.79</c:v>
                </c:pt>
                <c:pt idx="65">
                  <c:v>54.75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436544"/>
        <c:axId val="513437328"/>
      </c:lineChart>
      <c:dateAx>
        <c:axId val="513436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437328"/>
        <c:crosses val="autoZero"/>
        <c:auto val="1"/>
        <c:lblOffset val="100"/>
        <c:baseTimeUnit val="days"/>
      </c:dateAx>
      <c:valAx>
        <c:axId val="51343732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436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42676</c:v>
                </c:pt>
                <c:pt idx="1">
                  <c:v>42675</c:v>
                </c:pt>
                <c:pt idx="2">
                  <c:v>42674</c:v>
                </c:pt>
                <c:pt idx="3">
                  <c:v>42671</c:v>
                </c:pt>
                <c:pt idx="4">
                  <c:v>42670</c:v>
                </c:pt>
                <c:pt idx="5">
                  <c:v>42669</c:v>
                </c:pt>
                <c:pt idx="6">
                  <c:v>42668</c:v>
                </c:pt>
                <c:pt idx="7">
                  <c:v>42667</c:v>
                </c:pt>
                <c:pt idx="8">
                  <c:v>42664</c:v>
                </c:pt>
                <c:pt idx="9">
                  <c:v>42663</c:v>
                </c:pt>
                <c:pt idx="10">
                  <c:v>42662</c:v>
                </c:pt>
                <c:pt idx="11">
                  <c:v>42661</c:v>
                </c:pt>
                <c:pt idx="12">
                  <c:v>42660</c:v>
                </c:pt>
                <c:pt idx="13">
                  <c:v>42657</c:v>
                </c:pt>
                <c:pt idx="14">
                  <c:v>42656</c:v>
                </c:pt>
                <c:pt idx="15">
                  <c:v>42655</c:v>
                </c:pt>
                <c:pt idx="16">
                  <c:v>42654</c:v>
                </c:pt>
                <c:pt idx="17">
                  <c:v>42653</c:v>
                </c:pt>
                <c:pt idx="18">
                  <c:v>42650</c:v>
                </c:pt>
                <c:pt idx="19">
                  <c:v>42649</c:v>
                </c:pt>
                <c:pt idx="20">
                  <c:v>42648</c:v>
                </c:pt>
                <c:pt idx="21">
                  <c:v>42647</c:v>
                </c:pt>
                <c:pt idx="22">
                  <c:v>42646</c:v>
                </c:pt>
                <c:pt idx="23">
                  <c:v>42643</c:v>
                </c:pt>
                <c:pt idx="24">
                  <c:v>42642</c:v>
                </c:pt>
                <c:pt idx="25">
                  <c:v>42641</c:v>
                </c:pt>
                <c:pt idx="26">
                  <c:v>42640</c:v>
                </c:pt>
                <c:pt idx="27">
                  <c:v>42639</c:v>
                </c:pt>
                <c:pt idx="28">
                  <c:v>42636</c:v>
                </c:pt>
                <c:pt idx="29">
                  <c:v>42635</c:v>
                </c:pt>
                <c:pt idx="30">
                  <c:v>42634</c:v>
                </c:pt>
                <c:pt idx="31">
                  <c:v>42633</c:v>
                </c:pt>
                <c:pt idx="32">
                  <c:v>42632</c:v>
                </c:pt>
                <c:pt idx="33">
                  <c:v>42629</c:v>
                </c:pt>
                <c:pt idx="34">
                  <c:v>42628</c:v>
                </c:pt>
                <c:pt idx="35">
                  <c:v>42627</c:v>
                </c:pt>
                <c:pt idx="36">
                  <c:v>42626</c:v>
                </c:pt>
                <c:pt idx="37">
                  <c:v>42625</c:v>
                </c:pt>
                <c:pt idx="38">
                  <c:v>42622</c:v>
                </c:pt>
                <c:pt idx="39">
                  <c:v>42621</c:v>
                </c:pt>
                <c:pt idx="40">
                  <c:v>42620</c:v>
                </c:pt>
                <c:pt idx="41">
                  <c:v>42619</c:v>
                </c:pt>
                <c:pt idx="42">
                  <c:v>42619</c:v>
                </c:pt>
                <c:pt idx="43">
                  <c:v>42615</c:v>
                </c:pt>
                <c:pt idx="44">
                  <c:v>42614</c:v>
                </c:pt>
                <c:pt idx="45">
                  <c:v>42613</c:v>
                </c:pt>
                <c:pt idx="46">
                  <c:v>42612</c:v>
                </c:pt>
                <c:pt idx="47">
                  <c:v>42611</c:v>
                </c:pt>
                <c:pt idx="48">
                  <c:v>42608</c:v>
                </c:pt>
                <c:pt idx="49">
                  <c:v>42607</c:v>
                </c:pt>
                <c:pt idx="50">
                  <c:v>42606</c:v>
                </c:pt>
                <c:pt idx="51">
                  <c:v>42605</c:v>
                </c:pt>
                <c:pt idx="52">
                  <c:v>42604</c:v>
                </c:pt>
                <c:pt idx="53">
                  <c:v>42601</c:v>
                </c:pt>
                <c:pt idx="54">
                  <c:v>42600</c:v>
                </c:pt>
                <c:pt idx="55">
                  <c:v>42599</c:v>
                </c:pt>
                <c:pt idx="56">
                  <c:v>42598</c:v>
                </c:pt>
                <c:pt idx="57">
                  <c:v>42597</c:v>
                </c:pt>
                <c:pt idx="58">
                  <c:v>42594</c:v>
                </c:pt>
                <c:pt idx="59">
                  <c:v>42593</c:v>
                </c:pt>
                <c:pt idx="60">
                  <c:v>42592</c:v>
                </c:pt>
                <c:pt idx="61">
                  <c:v>42591</c:v>
                </c:pt>
                <c:pt idx="62">
                  <c:v>42590</c:v>
                </c:pt>
                <c:pt idx="63">
                  <c:v>42587</c:v>
                </c:pt>
                <c:pt idx="64">
                  <c:v>42586</c:v>
                </c:pt>
                <c:pt idx="65">
                  <c:v>42585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24.73</c:v>
                </c:pt>
                <c:pt idx="1">
                  <c:v>24.32</c:v>
                </c:pt>
                <c:pt idx="2">
                  <c:v>23.53</c:v>
                </c:pt>
                <c:pt idx="3">
                  <c:v>23.79</c:v>
                </c:pt>
                <c:pt idx="4">
                  <c:v>23.93</c:v>
                </c:pt>
                <c:pt idx="5">
                  <c:v>24.82</c:v>
                </c:pt>
                <c:pt idx="6">
                  <c:v>24.6</c:v>
                </c:pt>
                <c:pt idx="7">
                  <c:v>24.51</c:v>
                </c:pt>
                <c:pt idx="8">
                  <c:v>24.31</c:v>
                </c:pt>
                <c:pt idx="9">
                  <c:v>24.69</c:v>
                </c:pt>
                <c:pt idx="10">
                  <c:v>23.84</c:v>
                </c:pt>
                <c:pt idx="11">
                  <c:v>23.39</c:v>
                </c:pt>
                <c:pt idx="12">
                  <c:v>22.83</c:v>
                </c:pt>
                <c:pt idx="13">
                  <c:v>23.15</c:v>
                </c:pt>
                <c:pt idx="14">
                  <c:v>23.24</c:v>
                </c:pt>
                <c:pt idx="15">
                  <c:v>23.79</c:v>
                </c:pt>
                <c:pt idx="16">
                  <c:v>24.86</c:v>
                </c:pt>
                <c:pt idx="17">
                  <c:v>24.83</c:v>
                </c:pt>
                <c:pt idx="18">
                  <c:v>24.58</c:v>
                </c:pt>
                <c:pt idx="19">
                  <c:v>24.85</c:v>
                </c:pt>
                <c:pt idx="20">
                  <c:v>25.07</c:v>
                </c:pt>
                <c:pt idx="21">
                  <c:v>24.64</c:v>
                </c:pt>
                <c:pt idx="22">
                  <c:v>24.89</c:v>
                </c:pt>
                <c:pt idx="23">
                  <c:v>24.46</c:v>
                </c:pt>
                <c:pt idx="24">
                  <c:v>24.25</c:v>
                </c:pt>
                <c:pt idx="25">
                  <c:v>24.46</c:v>
                </c:pt>
                <c:pt idx="26">
                  <c:v>23.99</c:v>
                </c:pt>
                <c:pt idx="27">
                  <c:v>24.14</c:v>
                </c:pt>
                <c:pt idx="28">
                  <c:v>24.82</c:v>
                </c:pt>
                <c:pt idx="29">
                  <c:v>25.55</c:v>
                </c:pt>
                <c:pt idx="30">
                  <c:v>25.32</c:v>
                </c:pt>
                <c:pt idx="31">
                  <c:v>25.09</c:v>
                </c:pt>
                <c:pt idx="32">
                  <c:v>25.28</c:v>
                </c:pt>
                <c:pt idx="33">
                  <c:v>25.54</c:v>
                </c:pt>
                <c:pt idx="34">
                  <c:v>25.95</c:v>
                </c:pt>
                <c:pt idx="35">
                  <c:v>25.83</c:v>
                </c:pt>
                <c:pt idx="36">
                  <c:v>26.49</c:v>
                </c:pt>
                <c:pt idx="37">
                  <c:v>27.25</c:v>
                </c:pt>
                <c:pt idx="38">
                  <c:v>27.01</c:v>
                </c:pt>
                <c:pt idx="39">
                  <c:v>28.25</c:v>
                </c:pt>
                <c:pt idx="40">
                  <c:v>28.57</c:v>
                </c:pt>
                <c:pt idx="41">
                  <c:v>28.65</c:v>
                </c:pt>
                <c:pt idx="43">
                  <c:v>29.49</c:v>
                </c:pt>
                <c:pt idx="44">
                  <c:v>29.17</c:v>
                </c:pt>
                <c:pt idx="45">
                  <c:v>30.07</c:v>
                </c:pt>
                <c:pt idx="46">
                  <c:v>30.45</c:v>
                </c:pt>
                <c:pt idx="47">
                  <c:v>27.95</c:v>
                </c:pt>
                <c:pt idx="48">
                  <c:v>27.6</c:v>
                </c:pt>
                <c:pt idx="49">
                  <c:v>28.5</c:v>
                </c:pt>
                <c:pt idx="50">
                  <c:v>28.44</c:v>
                </c:pt>
                <c:pt idx="51">
                  <c:v>29.27</c:v>
                </c:pt>
                <c:pt idx="52">
                  <c:v>28.39</c:v>
                </c:pt>
                <c:pt idx="53">
                  <c:v>28.07</c:v>
                </c:pt>
                <c:pt idx="54">
                  <c:v>27.96</c:v>
                </c:pt>
                <c:pt idx="55">
                  <c:v>27.8</c:v>
                </c:pt>
                <c:pt idx="56">
                  <c:v>28.07</c:v>
                </c:pt>
                <c:pt idx="57">
                  <c:v>28.43</c:v>
                </c:pt>
                <c:pt idx="58">
                  <c:v>27.18</c:v>
                </c:pt>
                <c:pt idx="59">
                  <c:v>28.11</c:v>
                </c:pt>
                <c:pt idx="60">
                  <c:v>27.88</c:v>
                </c:pt>
                <c:pt idx="61">
                  <c:v>28.21</c:v>
                </c:pt>
                <c:pt idx="62">
                  <c:v>28.32</c:v>
                </c:pt>
                <c:pt idx="63">
                  <c:v>27.27</c:v>
                </c:pt>
                <c:pt idx="64">
                  <c:v>26.44</c:v>
                </c:pt>
                <c:pt idx="65">
                  <c:v>27.3</c:v>
                </c:pt>
                <c:pt idx="66">
                  <c:v>27.26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458104"/>
        <c:axId val="513449088"/>
      </c:lineChart>
      <c:dateAx>
        <c:axId val="513458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449088"/>
        <c:crosses val="autoZero"/>
        <c:auto val="1"/>
        <c:lblOffset val="100"/>
        <c:baseTimeUnit val="days"/>
      </c:dateAx>
      <c:valAx>
        <c:axId val="51344908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458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2-Nov-16</c:v>
                </c:pt>
                <c:pt idx="1">
                  <c:v>1-Nov-16</c:v>
                </c:pt>
                <c:pt idx="2">
                  <c:v>31-Oct-16</c:v>
                </c:pt>
                <c:pt idx="3">
                  <c:v>28-Oct-16</c:v>
                </c:pt>
                <c:pt idx="4">
                  <c:v>27-Oct-16</c:v>
                </c:pt>
                <c:pt idx="5">
                  <c:v>26-Oct-16</c:v>
                </c:pt>
                <c:pt idx="6">
                  <c:v>25-Oct-16</c:v>
                </c:pt>
                <c:pt idx="7">
                  <c:v>24-Oct-16</c:v>
                </c:pt>
                <c:pt idx="8">
                  <c:v>21-Oct-16</c:v>
                </c:pt>
                <c:pt idx="9">
                  <c:v>20-Oct-16</c:v>
                </c:pt>
                <c:pt idx="10">
                  <c:v>19-Oct-16</c:v>
                </c:pt>
                <c:pt idx="11">
                  <c:v>18-Oct-16</c:v>
                </c:pt>
                <c:pt idx="12">
                  <c:v>17-Oct-16</c:v>
                </c:pt>
                <c:pt idx="13">
                  <c:v>14-Oct-16</c:v>
                </c:pt>
                <c:pt idx="14">
                  <c:v>13-Oct-16</c:v>
                </c:pt>
                <c:pt idx="15">
                  <c:v>12-Oct-16</c:v>
                </c:pt>
                <c:pt idx="16">
                  <c:v>11-Oct-16</c:v>
                </c:pt>
                <c:pt idx="17">
                  <c:v>10-Oct-16</c:v>
                </c:pt>
                <c:pt idx="18">
                  <c:v>7-Oct-16</c:v>
                </c:pt>
                <c:pt idx="19">
                  <c:v>6-Oct-16</c:v>
                </c:pt>
                <c:pt idx="20">
                  <c:v>5-Oct-16</c:v>
                </c:pt>
                <c:pt idx="21">
                  <c:v>4-Oct-16</c:v>
                </c:pt>
                <c:pt idx="22">
                  <c:v>3-Oct-16</c:v>
                </c:pt>
                <c:pt idx="23">
                  <c:v>30-Sep-16</c:v>
                </c:pt>
                <c:pt idx="24">
                  <c:v>29-Sep-16</c:v>
                </c:pt>
                <c:pt idx="25">
                  <c:v>28-Sep-16</c:v>
                </c:pt>
                <c:pt idx="26">
                  <c:v>27-Sep-16</c:v>
                </c:pt>
                <c:pt idx="27">
                  <c:v>26-Sep-16</c:v>
                </c:pt>
                <c:pt idx="28">
                  <c:v>23-Sep-16</c:v>
                </c:pt>
                <c:pt idx="29">
                  <c:v>22-Sep-16</c:v>
                </c:pt>
                <c:pt idx="30">
                  <c:v>21-Sep-16</c:v>
                </c:pt>
                <c:pt idx="31">
                  <c:v>20-Sep-16</c:v>
                </c:pt>
                <c:pt idx="32">
                  <c:v>19-Sep-16</c:v>
                </c:pt>
                <c:pt idx="33">
                  <c:v>16-Sep-16</c:v>
                </c:pt>
                <c:pt idx="34">
                  <c:v>15-Sep-16</c:v>
                </c:pt>
                <c:pt idx="35">
                  <c:v>14-Sep-16</c:v>
                </c:pt>
                <c:pt idx="36">
                  <c:v>13-Sep-16</c:v>
                </c:pt>
                <c:pt idx="37">
                  <c:v>13-Sep-16</c:v>
                </c:pt>
                <c:pt idx="38">
                  <c:v>12-Sep-16</c:v>
                </c:pt>
                <c:pt idx="39">
                  <c:v>9-Sep-16</c:v>
                </c:pt>
                <c:pt idx="40">
                  <c:v>8-Sep-16</c:v>
                </c:pt>
                <c:pt idx="41">
                  <c:v>7-Sep-16</c:v>
                </c:pt>
                <c:pt idx="42">
                  <c:v>6-Sep-16</c:v>
                </c:pt>
                <c:pt idx="43">
                  <c:v>2-Sep-16</c:v>
                </c:pt>
                <c:pt idx="44">
                  <c:v>1-Sep-16</c:v>
                </c:pt>
                <c:pt idx="45">
                  <c:v>31-Aug-16</c:v>
                </c:pt>
                <c:pt idx="46">
                  <c:v>30-Aug-16</c:v>
                </c:pt>
                <c:pt idx="47">
                  <c:v>29-Aug-16</c:v>
                </c:pt>
                <c:pt idx="48">
                  <c:v>26-Aug-16</c:v>
                </c:pt>
                <c:pt idx="49">
                  <c:v>25-Aug-16</c:v>
                </c:pt>
                <c:pt idx="50">
                  <c:v>24-Aug-16</c:v>
                </c:pt>
                <c:pt idx="51">
                  <c:v>23-Aug-16</c:v>
                </c:pt>
                <c:pt idx="52">
                  <c:v>22-Aug-16</c:v>
                </c:pt>
                <c:pt idx="53">
                  <c:v>19-Aug-16</c:v>
                </c:pt>
                <c:pt idx="54">
                  <c:v>18-Aug-16</c:v>
                </c:pt>
                <c:pt idx="55">
                  <c:v>17-Aug-16</c:v>
                </c:pt>
                <c:pt idx="56">
                  <c:v>16-Aug-16</c:v>
                </c:pt>
                <c:pt idx="57">
                  <c:v>15-Aug-16</c:v>
                </c:pt>
                <c:pt idx="58">
                  <c:v>12-Aug-16</c:v>
                </c:pt>
                <c:pt idx="59">
                  <c:v>11-Aug-16</c:v>
                </c:pt>
                <c:pt idx="60">
                  <c:v>10-Aug-16</c:v>
                </c:pt>
                <c:pt idx="61">
                  <c:v>9-Aug-16</c:v>
                </c:pt>
                <c:pt idx="62">
                  <c:v>8-Aug-16</c:v>
                </c:pt>
                <c:pt idx="63">
                  <c:v>5-Aug-16</c:v>
                </c:pt>
                <c:pt idx="64">
                  <c:v>4-Aug-16</c:v>
                </c:pt>
                <c:pt idx="65">
                  <c:v>3-Aug-16</c:v>
                </c:pt>
                <c:pt idx="66">
                  <c:v>2-Aug-16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46.51</c:v>
                </c:pt>
                <c:pt idx="1">
                  <c:v>46.82</c:v>
                </c:pt>
                <c:pt idx="2">
                  <c:v>47.01</c:v>
                </c:pt>
                <c:pt idx="3">
                  <c:v>47.06</c:v>
                </c:pt>
                <c:pt idx="4">
                  <c:v>47.1</c:v>
                </c:pt>
                <c:pt idx="5">
                  <c:v>47.05</c:v>
                </c:pt>
                <c:pt idx="6">
                  <c:v>47.28</c:v>
                </c:pt>
                <c:pt idx="7">
                  <c:v>47.46</c:v>
                </c:pt>
                <c:pt idx="8">
                  <c:v>47.52</c:v>
                </c:pt>
                <c:pt idx="9">
                  <c:v>47.66</c:v>
                </c:pt>
                <c:pt idx="10">
                  <c:v>47.66</c:v>
                </c:pt>
                <c:pt idx="11">
                  <c:v>47.6</c:v>
                </c:pt>
                <c:pt idx="12">
                  <c:v>47</c:v>
                </c:pt>
                <c:pt idx="13">
                  <c:v>47.18</c:v>
                </c:pt>
                <c:pt idx="14">
                  <c:v>47.12</c:v>
                </c:pt>
                <c:pt idx="15">
                  <c:v>47.29</c:v>
                </c:pt>
                <c:pt idx="16">
                  <c:v>47.44</c:v>
                </c:pt>
                <c:pt idx="17">
                  <c:v>48.17</c:v>
                </c:pt>
                <c:pt idx="18">
                  <c:v>48.07</c:v>
                </c:pt>
                <c:pt idx="19">
                  <c:v>48.49</c:v>
                </c:pt>
                <c:pt idx="20">
                  <c:v>48.86</c:v>
                </c:pt>
                <c:pt idx="21">
                  <c:v>48.68</c:v>
                </c:pt>
                <c:pt idx="22">
                  <c:v>48.63</c:v>
                </c:pt>
                <c:pt idx="23">
                  <c:v>48.73</c:v>
                </c:pt>
                <c:pt idx="24">
                  <c:v>48.17</c:v>
                </c:pt>
                <c:pt idx="25">
                  <c:v>48.92</c:v>
                </c:pt>
                <c:pt idx="26">
                  <c:v>48.37</c:v>
                </c:pt>
                <c:pt idx="27">
                  <c:v>48.36</c:v>
                </c:pt>
                <c:pt idx="28">
                  <c:v>48.86</c:v>
                </c:pt>
                <c:pt idx="29">
                  <c:v>49.24</c:v>
                </c:pt>
                <c:pt idx="30">
                  <c:v>48.7</c:v>
                </c:pt>
                <c:pt idx="31">
                  <c:v>48.1</c:v>
                </c:pt>
                <c:pt idx="32">
                  <c:v>48</c:v>
                </c:pt>
                <c:pt idx="33">
                  <c:v>47.61</c:v>
                </c:pt>
                <c:pt idx="34">
                  <c:v>48.46</c:v>
                </c:pt>
                <c:pt idx="35">
                  <c:v>48.06</c:v>
                </c:pt>
                <c:pt idx="36">
                  <c:v>48.05</c:v>
                </c:pt>
                <c:pt idx="38">
                  <c:v>49.3</c:v>
                </c:pt>
                <c:pt idx="39">
                  <c:v>48.86</c:v>
                </c:pt>
                <c:pt idx="40">
                  <c:v>49.93</c:v>
                </c:pt>
                <c:pt idx="41">
                  <c:v>49.92</c:v>
                </c:pt>
                <c:pt idx="42">
                  <c:v>49.95</c:v>
                </c:pt>
                <c:pt idx="43">
                  <c:v>49.67</c:v>
                </c:pt>
                <c:pt idx="44">
                  <c:v>49</c:v>
                </c:pt>
                <c:pt idx="45">
                  <c:v>48.61</c:v>
                </c:pt>
                <c:pt idx="46">
                  <c:v>48.71</c:v>
                </c:pt>
                <c:pt idx="47">
                  <c:v>48.83</c:v>
                </c:pt>
                <c:pt idx="48">
                  <c:v>48.6</c:v>
                </c:pt>
                <c:pt idx="49">
                  <c:v>48.87</c:v>
                </c:pt>
                <c:pt idx="50">
                  <c:v>49.08</c:v>
                </c:pt>
                <c:pt idx="51">
                  <c:v>49.22</c:v>
                </c:pt>
                <c:pt idx="52">
                  <c:v>48.99</c:v>
                </c:pt>
                <c:pt idx="53">
                  <c:v>48.95</c:v>
                </c:pt>
                <c:pt idx="54">
                  <c:v>49.38</c:v>
                </c:pt>
                <c:pt idx="55">
                  <c:v>48.99</c:v>
                </c:pt>
                <c:pt idx="56">
                  <c:v>49.07</c:v>
                </c:pt>
                <c:pt idx="57">
                  <c:v>49.09</c:v>
                </c:pt>
                <c:pt idx="58">
                  <c:v>48.94</c:v>
                </c:pt>
                <c:pt idx="59">
                  <c:v>49</c:v>
                </c:pt>
                <c:pt idx="60">
                  <c:v>48.62</c:v>
                </c:pt>
                <c:pt idx="61">
                  <c:v>48.41</c:v>
                </c:pt>
                <c:pt idx="62">
                  <c:v>47.93</c:v>
                </c:pt>
                <c:pt idx="63">
                  <c:v>47.89</c:v>
                </c:pt>
                <c:pt idx="64">
                  <c:v>47.71</c:v>
                </c:pt>
                <c:pt idx="65">
                  <c:v>47.49</c:v>
                </c:pt>
                <c:pt idx="66">
                  <c:v>47.73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447520"/>
        <c:axId val="513451440"/>
      </c:lineChart>
      <c:catAx>
        <c:axId val="5134475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451440"/>
        <c:crosses val="autoZero"/>
        <c:auto val="1"/>
        <c:lblAlgn val="ctr"/>
        <c:lblOffset val="100"/>
        <c:noMultiLvlLbl val="0"/>
      </c:catAx>
      <c:valAx>
        <c:axId val="51345144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447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42676</c:v>
                </c:pt>
                <c:pt idx="1">
                  <c:v>42675</c:v>
                </c:pt>
                <c:pt idx="2">
                  <c:v>42674</c:v>
                </c:pt>
                <c:pt idx="3">
                  <c:v>42671</c:v>
                </c:pt>
                <c:pt idx="4">
                  <c:v>42670</c:v>
                </c:pt>
                <c:pt idx="5">
                  <c:v>42669</c:v>
                </c:pt>
                <c:pt idx="6">
                  <c:v>42668</c:v>
                </c:pt>
                <c:pt idx="7">
                  <c:v>42667</c:v>
                </c:pt>
                <c:pt idx="8">
                  <c:v>42664</c:v>
                </c:pt>
                <c:pt idx="9">
                  <c:v>42663</c:v>
                </c:pt>
                <c:pt idx="10">
                  <c:v>42662</c:v>
                </c:pt>
                <c:pt idx="11">
                  <c:v>42661</c:v>
                </c:pt>
                <c:pt idx="12">
                  <c:v>42660</c:v>
                </c:pt>
                <c:pt idx="13">
                  <c:v>42657</c:v>
                </c:pt>
                <c:pt idx="14">
                  <c:v>42656</c:v>
                </c:pt>
                <c:pt idx="15">
                  <c:v>42655</c:v>
                </c:pt>
                <c:pt idx="16">
                  <c:v>42654</c:v>
                </c:pt>
                <c:pt idx="17">
                  <c:v>42653</c:v>
                </c:pt>
                <c:pt idx="18">
                  <c:v>42650</c:v>
                </c:pt>
                <c:pt idx="19">
                  <c:v>42649</c:v>
                </c:pt>
                <c:pt idx="20">
                  <c:v>42648</c:v>
                </c:pt>
                <c:pt idx="21">
                  <c:v>42647</c:v>
                </c:pt>
                <c:pt idx="22">
                  <c:v>42646</c:v>
                </c:pt>
                <c:pt idx="23">
                  <c:v>42643</c:v>
                </c:pt>
                <c:pt idx="24">
                  <c:v>42642</c:v>
                </c:pt>
                <c:pt idx="25">
                  <c:v>42641</c:v>
                </c:pt>
                <c:pt idx="26">
                  <c:v>42640</c:v>
                </c:pt>
                <c:pt idx="27">
                  <c:v>42639</c:v>
                </c:pt>
                <c:pt idx="28">
                  <c:v>42636</c:v>
                </c:pt>
                <c:pt idx="29">
                  <c:v>42635</c:v>
                </c:pt>
                <c:pt idx="30">
                  <c:v>42634</c:v>
                </c:pt>
                <c:pt idx="31">
                  <c:v>42633</c:v>
                </c:pt>
                <c:pt idx="32">
                  <c:v>42632</c:v>
                </c:pt>
                <c:pt idx="33">
                  <c:v>42629</c:v>
                </c:pt>
                <c:pt idx="34">
                  <c:v>42628</c:v>
                </c:pt>
                <c:pt idx="35">
                  <c:v>42627</c:v>
                </c:pt>
                <c:pt idx="36">
                  <c:v>42626</c:v>
                </c:pt>
                <c:pt idx="37">
                  <c:v>42625</c:v>
                </c:pt>
                <c:pt idx="38">
                  <c:v>42622</c:v>
                </c:pt>
                <c:pt idx="39">
                  <c:v>42621</c:v>
                </c:pt>
                <c:pt idx="40">
                  <c:v>42620</c:v>
                </c:pt>
                <c:pt idx="41">
                  <c:v>42619</c:v>
                </c:pt>
                <c:pt idx="42">
                  <c:v>42615</c:v>
                </c:pt>
                <c:pt idx="43">
                  <c:v>42614</c:v>
                </c:pt>
                <c:pt idx="44">
                  <c:v>42613</c:v>
                </c:pt>
                <c:pt idx="45">
                  <c:v>42612</c:v>
                </c:pt>
                <c:pt idx="46">
                  <c:v>42611</c:v>
                </c:pt>
                <c:pt idx="47">
                  <c:v>42608</c:v>
                </c:pt>
                <c:pt idx="48">
                  <c:v>42607</c:v>
                </c:pt>
                <c:pt idx="49">
                  <c:v>42606</c:v>
                </c:pt>
                <c:pt idx="50">
                  <c:v>42605</c:v>
                </c:pt>
                <c:pt idx="51">
                  <c:v>42604</c:v>
                </c:pt>
                <c:pt idx="52">
                  <c:v>42601</c:v>
                </c:pt>
                <c:pt idx="53">
                  <c:v>42600</c:v>
                </c:pt>
                <c:pt idx="54">
                  <c:v>42599</c:v>
                </c:pt>
                <c:pt idx="55">
                  <c:v>42598</c:v>
                </c:pt>
                <c:pt idx="56">
                  <c:v>42597</c:v>
                </c:pt>
                <c:pt idx="57">
                  <c:v>42594</c:v>
                </c:pt>
                <c:pt idx="58">
                  <c:v>42593</c:v>
                </c:pt>
                <c:pt idx="59">
                  <c:v>42592</c:v>
                </c:pt>
                <c:pt idx="60">
                  <c:v>42591</c:v>
                </c:pt>
                <c:pt idx="61">
                  <c:v>42590</c:v>
                </c:pt>
                <c:pt idx="62">
                  <c:v>42587</c:v>
                </c:pt>
                <c:pt idx="63">
                  <c:v>42586</c:v>
                </c:pt>
                <c:pt idx="64">
                  <c:v>42585</c:v>
                </c:pt>
                <c:pt idx="65">
                  <c:v>42584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16.68</c:v>
                </c:pt>
                <c:pt idx="1">
                  <c:v>16.98</c:v>
                </c:pt>
                <c:pt idx="2">
                  <c:v>17.16</c:v>
                </c:pt>
                <c:pt idx="3">
                  <c:v>17.2</c:v>
                </c:pt>
                <c:pt idx="4">
                  <c:v>17.53</c:v>
                </c:pt>
                <c:pt idx="5">
                  <c:v>17.64</c:v>
                </c:pt>
                <c:pt idx="6">
                  <c:v>17.54</c:v>
                </c:pt>
                <c:pt idx="7">
                  <c:v>17.059999999999999</c:v>
                </c:pt>
                <c:pt idx="8">
                  <c:v>16.940000000000001</c:v>
                </c:pt>
                <c:pt idx="9">
                  <c:v>17.2</c:v>
                </c:pt>
                <c:pt idx="10">
                  <c:v>17.22</c:v>
                </c:pt>
                <c:pt idx="11">
                  <c:v>17.41</c:v>
                </c:pt>
                <c:pt idx="12">
                  <c:v>16.989999999999998</c:v>
                </c:pt>
                <c:pt idx="13">
                  <c:v>17.13</c:v>
                </c:pt>
                <c:pt idx="14">
                  <c:v>16.850000000000001</c:v>
                </c:pt>
                <c:pt idx="15">
                  <c:v>16.78</c:v>
                </c:pt>
                <c:pt idx="16">
                  <c:v>16.86</c:v>
                </c:pt>
                <c:pt idx="17">
                  <c:v>17.5</c:v>
                </c:pt>
                <c:pt idx="18">
                  <c:v>17.61</c:v>
                </c:pt>
                <c:pt idx="19">
                  <c:v>17.73</c:v>
                </c:pt>
                <c:pt idx="20">
                  <c:v>17.7</c:v>
                </c:pt>
                <c:pt idx="21">
                  <c:v>17.8</c:v>
                </c:pt>
                <c:pt idx="22">
                  <c:v>17.73</c:v>
                </c:pt>
                <c:pt idx="23">
                  <c:v>17.78</c:v>
                </c:pt>
                <c:pt idx="24">
                  <c:v>17.54</c:v>
                </c:pt>
                <c:pt idx="25">
                  <c:v>17.440000000000001</c:v>
                </c:pt>
                <c:pt idx="26">
                  <c:v>18</c:v>
                </c:pt>
                <c:pt idx="27">
                  <c:v>17.36</c:v>
                </c:pt>
                <c:pt idx="28">
                  <c:v>17.48</c:v>
                </c:pt>
                <c:pt idx="29">
                  <c:v>17.59</c:v>
                </c:pt>
                <c:pt idx="30">
                  <c:v>17.66</c:v>
                </c:pt>
                <c:pt idx="31">
                  <c:v>16.920000000000002</c:v>
                </c:pt>
                <c:pt idx="32">
                  <c:v>16.95</c:v>
                </c:pt>
                <c:pt idx="33">
                  <c:v>17.48</c:v>
                </c:pt>
                <c:pt idx="34">
                  <c:v>17.45</c:v>
                </c:pt>
                <c:pt idx="35">
                  <c:v>16.93</c:v>
                </c:pt>
                <c:pt idx="36">
                  <c:v>16.75</c:v>
                </c:pt>
                <c:pt idx="37">
                  <c:v>17.149999999999999</c:v>
                </c:pt>
                <c:pt idx="38">
                  <c:v>16.809999999999999</c:v>
                </c:pt>
                <c:pt idx="39">
                  <c:v>17.45</c:v>
                </c:pt>
                <c:pt idx="40">
                  <c:v>17.16</c:v>
                </c:pt>
                <c:pt idx="41">
                  <c:v>17.010000000000002</c:v>
                </c:pt>
                <c:pt idx="42">
                  <c:v>16.7</c:v>
                </c:pt>
                <c:pt idx="43">
                  <c:v>16.64</c:v>
                </c:pt>
                <c:pt idx="44">
                  <c:v>16.489999999999998</c:v>
                </c:pt>
                <c:pt idx="45">
                  <c:v>16.739999999999998</c:v>
                </c:pt>
                <c:pt idx="46">
                  <c:v>16.91</c:v>
                </c:pt>
                <c:pt idx="47">
                  <c:v>16.510000000000002</c:v>
                </c:pt>
                <c:pt idx="48">
                  <c:v>16.2</c:v>
                </c:pt>
                <c:pt idx="49">
                  <c:v>15.51</c:v>
                </c:pt>
                <c:pt idx="50">
                  <c:v>16.18</c:v>
                </c:pt>
                <c:pt idx="51">
                  <c:v>16.190000000000001</c:v>
                </c:pt>
                <c:pt idx="52">
                  <c:v>16.25</c:v>
                </c:pt>
                <c:pt idx="53">
                  <c:v>15.77</c:v>
                </c:pt>
                <c:pt idx="54">
                  <c:v>15.52</c:v>
                </c:pt>
                <c:pt idx="55">
                  <c:v>15.49</c:v>
                </c:pt>
                <c:pt idx="56">
                  <c:v>15.53</c:v>
                </c:pt>
                <c:pt idx="57">
                  <c:v>14.93</c:v>
                </c:pt>
                <c:pt idx="58">
                  <c:v>14.43</c:v>
                </c:pt>
                <c:pt idx="59">
                  <c:v>14.2</c:v>
                </c:pt>
                <c:pt idx="60">
                  <c:v>14.48</c:v>
                </c:pt>
                <c:pt idx="61">
                  <c:v>14.42</c:v>
                </c:pt>
                <c:pt idx="62">
                  <c:v>14.52</c:v>
                </c:pt>
                <c:pt idx="63">
                  <c:v>14.03</c:v>
                </c:pt>
                <c:pt idx="64">
                  <c:v>13.51</c:v>
                </c:pt>
                <c:pt idx="65">
                  <c:v>13.4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448304"/>
        <c:axId val="513448696"/>
      </c:lineChart>
      <c:dateAx>
        <c:axId val="513448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448696"/>
        <c:crosses val="autoZero"/>
        <c:auto val="1"/>
        <c:lblOffset val="100"/>
        <c:baseTimeUnit val="days"/>
      </c:dateAx>
      <c:valAx>
        <c:axId val="513448696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448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42676</c:v>
                </c:pt>
                <c:pt idx="1">
                  <c:v>42675</c:v>
                </c:pt>
                <c:pt idx="2">
                  <c:v>42674</c:v>
                </c:pt>
                <c:pt idx="3">
                  <c:v>42671</c:v>
                </c:pt>
                <c:pt idx="4">
                  <c:v>42670</c:v>
                </c:pt>
                <c:pt idx="5">
                  <c:v>42669</c:v>
                </c:pt>
                <c:pt idx="6">
                  <c:v>42668</c:v>
                </c:pt>
                <c:pt idx="7">
                  <c:v>42667</c:v>
                </c:pt>
                <c:pt idx="8">
                  <c:v>42664</c:v>
                </c:pt>
                <c:pt idx="9">
                  <c:v>42663</c:v>
                </c:pt>
                <c:pt idx="10">
                  <c:v>42662</c:v>
                </c:pt>
                <c:pt idx="11">
                  <c:v>42661</c:v>
                </c:pt>
                <c:pt idx="12">
                  <c:v>42660</c:v>
                </c:pt>
                <c:pt idx="13">
                  <c:v>42657</c:v>
                </c:pt>
                <c:pt idx="14">
                  <c:v>42656</c:v>
                </c:pt>
                <c:pt idx="15">
                  <c:v>42655</c:v>
                </c:pt>
                <c:pt idx="16">
                  <c:v>42654</c:v>
                </c:pt>
                <c:pt idx="17">
                  <c:v>42653</c:v>
                </c:pt>
                <c:pt idx="18">
                  <c:v>42650</c:v>
                </c:pt>
                <c:pt idx="19">
                  <c:v>42649</c:v>
                </c:pt>
                <c:pt idx="20">
                  <c:v>42648</c:v>
                </c:pt>
                <c:pt idx="21">
                  <c:v>42647</c:v>
                </c:pt>
                <c:pt idx="22">
                  <c:v>42646</c:v>
                </c:pt>
                <c:pt idx="23">
                  <c:v>42643</c:v>
                </c:pt>
                <c:pt idx="24">
                  <c:v>42642</c:v>
                </c:pt>
                <c:pt idx="25">
                  <c:v>42641</c:v>
                </c:pt>
                <c:pt idx="26">
                  <c:v>42640</c:v>
                </c:pt>
                <c:pt idx="27">
                  <c:v>42639</c:v>
                </c:pt>
                <c:pt idx="28">
                  <c:v>42636</c:v>
                </c:pt>
                <c:pt idx="29">
                  <c:v>42635</c:v>
                </c:pt>
                <c:pt idx="30">
                  <c:v>42634</c:v>
                </c:pt>
                <c:pt idx="31">
                  <c:v>42633</c:v>
                </c:pt>
                <c:pt idx="32">
                  <c:v>42632</c:v>
                </c:pt>
                <c:pt idx="33">
                  <c:v>42629</c:v>
                </c:pt>
                <c:pt idx="34">
                  <c:v>42628</c:v>
                </c:pt>
                <c:pt idx="35">
                  <c:v>42627</c:v>
                </c:pt>
                <c:pt idx="36">
                  <c:v>42626</c:v>
                </c:pt>
                <c:pt idx="37">
                  <c:v>42625</c:v>
                </c:pt>
                <c:pt idx="38">
                  <c:v>42622</c:v>
                </c:pt>
                <c:pt idx="39">
                  <c:v>42621</c:v>
                </c:pt>
                <c:pt idx="40">
                  <c:v>42620</c:v>
                </c:pt>
                <c:pt idx="41">
                  <c:v>42619</c:v>
                </c:pt>
                <c:pt idx="42">
                  <c:v>42615</c:v>
                </c:pt>
                <c:pt idx="43">
                  <c:v>42614</c:v>
                </c:pt>
                <c:pt idx="44">
                  <c:v>42613</c:v>
                </c:pt>
                <c:pt idx="45">
                  <c:v>42612</c:v>
                </c:pt>
                <c:pt idx="46">
                  <c:v>42611</c:v>
                </c:pt>
                <c:pt idx="47">
                  <c:v>42608</c:v>
                </c:pt>
                <c:pt idx="48">
                  <c:v>42607</c:v>
                </c:pt>
                <c:pt idx="49">
                  <c:v>42606</c:v>
                </c:pt>
                <c:pt idx="50">
                  <c:v>42605</c:v>
                </c:pt>
                <c:pt idx="51">
                  <c:v>42604</c:v>
                </c:pt>
                <c:pt idx="52">
                  <c:v>42601</c:v>
                </c:pt>
                <c:pt idx="53">
                  <c:v>42600</c:v>
                </c:pt>
                <c:pt idx="54">
                  <c:v>42599</c:v>
                </c:pt>
                <c:pt idx="55">
                  <c:v>42598</c:v>
                </c:pt>
                <c:pt idx="56">
                  <c:v>42597</c:v>
                </c:pt>
                <c:pt idx="57">
                  <c:v>42594</c:v>
                </c:pt>
                <c:pt idx="58">
                  <c:v>42593</c:v>
                </c:pt>
                <c:pt idx="59">
                  <c:v>42593</c:v>
                </c:pt>
                <c:pt idx="60">
                  <c:v>42592</c:v>
                </c:pt>
                <c:pt idx="61">
                  <c:v>42591</c:v>
                </c:pt>
                <c:pt idx="62">
                  <c:v>42590</c:v>
                </c:pt>
                <c:pt idx="63">
                  <c:v>42587</c:v>
                </c:pt>
                <c:pt idx="64">
                  <c:v>42586</c:v>
                </c:pt>
                <c:pt idx="65">
                  <c:v>42585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44.18</c:v>
                </c:pt>
                <c:pt idx="1">
                  <c:v>44.22</c:v>
                </c:pt>
                <c:pt idx="2">
                  <c:v>45.03</c:v>
                </c:pt>
                <c:pt idx="3">
                  <c:v>45.01</c:v>
                </c:pt>
                <c:pt idx="4">
                  <c:v>45.14</c:v>
                </c:pt>
                <c:pt idx="5">
                  <c:v>46.16</c:v>
                </c:pt>
                <c:pt idx="6">
                  <c:v>46.6</c:v>
                </c:pt>
                <c:pt idx="7">
                  <c:v>46.71</c:v>
                </c:pt>
                <c:pt idx="8">
                  <c:v>47</c:v>
                </c:pt>
                <c:pt idx="9">
                  <c:v>47.18</c:v>
                </c:pt>
                <c:pt idx="10">
                  <c:v>48.28</c:v>
                </c:pt>
                <c:pt idx="11">
                  <c:v>47.03</c:v>
                </c:pt>
                <c:pt idx="12">
                  <c:v>47.2</c:v>
                </c:pt>
                <c:pt idx="13">
                  <c:v>46.73</c:v>
                </c:pt>
                <c:pt idx="14">
                  <c:v>45.82</c:v>
                </c:pt>
                <c:pt idx="15">
                  <c:v>46.39</c:v>
                </c:pt>
                <c:pt idx="16">
                  <c:v>45.72</c:v>
                </c:pt>
                <c:pt idx="17">
                  <c:v>46.78</c:v>
                </c:pt>
                <c:pt idx="18">
                  <c:v>46.82</c:v>
                </c:pt>
                <c:pt idx="19">
                  <c:v>47.3</c:v>
                </c:pt>
                <c:pt idx="20">
                  <c:v>46.71</c:v>
                </c:pt>
                <c:pt idx="21">
                  <c:v>47.09</c:v>
                </c:pt>
                <c:pt idx="22">
                  <c:v>47.8</c:v>
                </c:pt>
                <c:pt idx="23">
                  <c:v>47.98</c:v>
                </c:pt>
                <c:pt idx="24">
                  <c:v>47.32</c:v>
                </c:pt>
                <c:pt idx="25">
                  <c:v>48.11</c:v>
                </c:pt>
                <c:pt idx="26">
                  <c:v>47.5</c:v>
                </c:pt>
                <c:pt idx="27">
                  <c:v>47.36</c:v>
                </c:pt>
                <c:pt idx="28">
                  <c:v>48.41</c:v>
                </c:pt>
                <c:pt idx="29">
                  <c:v>47.91</c:v>
                </c:pt>
                <c:pt idx="30">
                  <c:v>48.49</c:v>
                </c:pt>
                <c:pt idx="31">
                  <c:v>48.02</c:v>
                </c:pt>
                <c:pt idx="32">
                  <c:v>48.99</c:v>
                </c:pt>
                <c:pt idx="33">
                  <c:v>49.19</c:v>
                </c:pt>
                <c:pt idx="34">
                  <c:v>48.25</c:v>
                </c:pt>
                <c:pt idx="35">
                  <c:v>47.53</c:v>
                </c:pt>
                <c:pt idx="36">
                  <c:v>47.73</c:v>
                </c:pt>
                <c:pt idx="37">
                  <c:v>48.21</c:v>
                </c:pt>
                <c:pt idx="38">
                  <c:v>47.71</c:v>
                </c:pt>
                <c:pt idx="39">
                  <c:v>49.07</c:v>
                </c:pt>
                <c:pt idx="40">
                  <c:v>49.48</c:v>
                </c:pt>
                <c:pt idx="41">
                  <c:v>49.35</c:v>
                </c:pt>
                <c:pt idx="42">
                  <c:v>49.12</c:v>
                </c:pt>
                <c:pt idx="43">
                  <c:v>48.71</c:v>
                </c:pt>
                <c:pt idx="44">
                  <c:v>48.49</c:v>
                </c:pt>
                <c:pt idx="45">
                  <c:v>48.99</c:v>
                </c:pt>
                <c:pt idx="46">
                  <c:v>48.9</c:v>
                </c:pt>
                <c:pt idx="47">
                  <c:v>48.89</c:v>
                </c:pt>
                <c:pt idx="48">
                  <c:v>48.39</c:v>
                </c:pt>
                <c:pt idx="49">
                  <c:v>46.56</c:v>
                </c:pt>
                <c:pt idx="50">
                  <c:v>46.96</c:v>
                </c:pt>
                <c:pt idx="51">
                  <c:v>46.56</c:v>
                </c:pt>
                <c:pt idx="52">
                  <c:v>47.46</c:v>
                </c:pt>
                <c:pt idx="53">
                  <c:v>47.61</c:v>
                </c:pt>
                <c:pt idx="54">
                  <c:v>47.31</c:v>
                </c:pt>
                <c:pt idx="55">
                  <c:v>46.66</c:v>
                </c:pt>
                <c:pt idx="56">
                  <c:v>46.32</c:v>
                </c:pt>
                <c:pt idx="57">
                  <c:v>46.5</c:v>
                </c:pt>
                <c:pt idx="58">
                  <c:v>46.93</c:v>
                </c:pt>
                <c:pt idx="60">
                  <c:v>46.79</c:v>
                </c:pt>
                <c:pt idx="61">
                  <c:v>46.06</c:v>
                </c:pt>
                <c:pt idx="62">
                  <c:v>46.18</c:v>
                </c:pt>
                <c:pt idx="63">
                  <c:v>45.98</c:v>
                </c:pt>
                <c:pt idx="64">
                  <c:v>45.82</c:v>
                </c:pt>
                <c:pt idx="65">
                  <c:v>45.74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449480"/>
        <c:axId val="513457320"/>
      </c:lineChart>
      <c:dateAx>
        <c:axId val="5134494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457320"/>
        <c:crosses val="autoZero"/>
        <c:auto val="1"/>
        <c:lblOffset val="100"/>
        <c:baseTimeUnit val="days"/>
      </c:dateAx>
      <c:valAx>
        <c:axId val="51345732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449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2-Nov-16</c:v>
                </c:pt>
                <c:pt idx="1">
                  <c:v>1-Nov-16</c:v>
                </c:pt>
                <c:pt idx="2">
                  <c:v>31-Oct-16</c:v>
                </c:pt>
                <c:pt idx="3">
                  <c:v>28-Oct-16</c:v>
                </c:pt>
                <c:pt idx="4">
                  <c:v>27-Oct-16</c:v>
                </c:pt>
                <c:pt idx="5">
                  <c:v>26-Oct-16</c:v>
                </c:pt>
                <c:pt idx="6">
                  <c:v>25-Oct-16</c:v>
                </c:pt>
                <c:pt idx="7">
                  <c:v>24-Oct-16</c:v>
                </c:pt>
                <c:pt idx="8">
                  <c:v>21-Oct-16</c:v>
                </c:pt>
                <c:pt idx="9">
                  <c:v>20-Oct-16</c:v>
                </c:pt>
                <c:pt idx="10">
                  <c:v>19-Oct-16</c:v>
                </c:pt>
                <c:pt idx="11">
                  <c:v>18-Oct-16</c:v>
                </c:pt>
                <c:pt idx="12">
                  <c:v>17-Oct-16</c:v>
                </c:pt>
                <c:pt idx="13">
                  <c:v>14-Oct-16</c:v>
                </c:pt>
                <c:pt idx="14">
                  <c:v>13-Oct-16</c:v>
                </c:pt>
                <c:pt idx="15">
                  <c:v>12-Oct-16</c:v>
                </c:pt>
                <c:pt idx="16">
                  <c:v>11-Oct-16</c:v>
                </c:pt>
                <c:pt idx="17">
                  <c:v>10-Oct-16</c:v>
                </c:pt>
                <c:pt idx="18">
                  <c:v>7-Oct-16</c:v>
                </c:pt>
                <c:pt idx="19">
                  <c:v>6-Oct-16</c:v>
                </c:pt>
                <c:pt idx="20">
                  <c:v>5-Oct-16</c:v>
                </c:pt>
                <c:pt idx="21">
                  <c:v>4-Oct-16</c:v>
                </c:pt>
                <c:pt idx="22">
                  <c:v>3-Oct-16</c:v>
                </c:pt>
                <c:pt idx="23">
                  <c:v>30-Sep-16</c:v>
                </c:pt>
                <c:pt idx="24">
                  <c:v>29-Sep-16</c:v>
                </c:pt>
                <c:pt idx="25">
                  <c:v>28-Sep-16</c:v>
                </c:pt>
                <c:pt idx="26">
                  <c:v>27-Sep-16</c:v>
                </c:pt>
                <c:pt idx="27">
                  <c:v>26-Sep-16</c:v>
                </c:pt>
                <c:pt idx="28">
                  <c:v>23-Sep-16</c:v>
                </c:pt>
                <c:pt idx="29">
                  <c:v>22-Sep-16</c:v>
                </c:pt>
                <c:pt idx="30">
                  <c:v>21-Sep-16</c:v>
                </c:pt>
                <c:pt idx="31">
                  <c:v>20-Sep-16</c:v>
                </c:pt>
                <c:pt idx="32">
                  <c:v>19-Sep-16</c:v>
                </c:pt>
                <c:pt idx="33">
                  <c:v>16-Sep-16</c:v>
                </c:pt>
                <c:pt idx="34">
                  <c:v>15-Sep-16</c:v>
                </c:pt>
                <c:pt idx="35">
                  <c:v>14-Sep-16</c:v>
                </c:pt>
                <c:pt idx="36">
                  <c:v>13-Sep-16</c:v>
                </c:pt>
                <c:pt idx="37">
                  <c:v>12-Sep-16</c:v>
                </c:pt>
                <c:pt idx="38">
                  <c:v>9-Sep-16</c:v>
                </c:pt>
                <c:pt idx="39">
                  <c:v>8-Sep-16</c:v>
                </c:pt>
                <c:pt idx="40">
                  <c:v>7-Sep-16</c:v>
                </c:pt>
                <c:pt idx="41">
                  <c:v>6-Sep-16</c:v>
                </c:pt>
                <c:pt idx="42">
                  <c:v>2-Sep-16</c:v>
                </c:pt>
                <c:pt idx="43">
                  <c:v>1-Sep-16</c:v>
                </c:pt>
                <c:pt idx="44">
                  <c:v>31-Aug-16</c:v>
                </c:pt>
                <c:pt idx="45">
                  <c:v>30-Aug-16</c:v>
                </c:pt>
                <c:pt idx="46">
                  <c:v>29-Aug-16</c:v>
                </c:pt>
                <c:pt idx="47">
                  <c:v>26-Aug-16</c:v>
                </c:pt>
                <c:pt idx="48">
                  <c:v>25-Aug-16</c:v>
                </c:pt>
                <c:pt idx="49">
                  <c:v>24-Aug-16</c:v>
                </c:pt>
                <c:pt idx="50">
                  <c:v>23-Aug-16</c:v>
                </c:pt>
                <c:pt idx="51">
                  <c:v>22-Aug-16</c:v>
                </c:pt>
                <c:pt idx="52">
                  <c:v>19-Aug-16</c:v>
                </c:pt>
                <c:pt idx="53">
                  <c:v>18-Aug-16</c:v>
                </c:pt>
                <c:pt idx="54">
                  <c:v>17-Aug-16</c:v>
                </c:pt>
                <c:pt idx="55">
                  <c:v>16-Aug-16</c:v>
                </c:pt>
                <c:pt idx="56">
                  <c:v>15-Aug-16</c:v>
                </c:pt>
                <c:pt idx="57">
                  <c:v>12-Aug-16</c:v>
                </c:pt>
                <c:pt idx="58">
                  <c:v>11-Aug-16</c:v>
                </c:pt>
                <c:pt idx="59">
                  <c:v>10-Aug-16</c:v>
                </c:pt>
                <c:pt idx="60">
                  <c:v>9-Aug-16</c:v>
                </c:pt>
                <c:pt idx="61">
                  <c:v>8-Aug-16</c:v>
                </c:pt>
                <c:pt idx="62">
                  <c:v>5-Aug-16</c:v>
                </c:pt>
                <c:pt idx="63">
                  <c:v>4-Aug-16</c:v>
                </c:pt>
                <c:pt idx="64">
                  <c:v>3-Aug-16</c:v>
                </c:pt>
                <c:pt idx="65">
                  <c:v>3-Aug-16</c:v>
                </c:pt>
                <c:pt idx="66">
                  <c:v>2-Aug-16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34.6</c:v>
                </c:pt>
                <c:pt idx="1">
                  <c:v>34.520000000000003</c:v>
                </c:pt>
                <c:pt idx="2">
                  <c:v>34.869999999999997</c:v>
                </c:pt>
                <c:pt idx="3">
                  <c:v>34.74</c:v>
                </c:pt>
                <c:pt idx="4">
                  <c:v>34.81</c:v>
                </c:pt>
                <c:pt idx="5">
                  <c:v>34.92</c:v>
                </c:pt>
                <c:pt idx="6">
                  <c:v>35.1</c:v>
                </c:pt>
                <c:pt idx="7">
                  <c:v>35.26</c:v>
                </c:pt>
                <c:pt idx="8">
                  <c:v>35.15</c:v>
                </c:pt>
                <c:pt idx="9">
                  <c:v>35.43</c:v>
                </c:pt>
                <c:pt idx="10">
                  <c:v>35.51</c:v>
                </c:pt>
                <c:pt idx="11">
                  <c:v>37.75</c:v>
                </c:pt>
                <c:pt idx="12">
                  <c:v>37.29</c:v>
                </c:pt>
                <c:pt idx="13">
                  <c:v>37.450000000000003</c:v>
                </c:pt>
                <c:pt idx="14">
                  <c:v>36.97</c:v>
                </c:pt>
                <c:pt idx="15">
                  <c:v>37.130000000000003</c:v>
                </c:pt>
                <c:pt idx="16">
                  <c:v>37.270000000000003</c:v>
                </c:pt>
                <c:pt idx="17">
                  <c:v>38.020000000000003</c:v>
                </c:pt>
                <c:pt idx="18">
                  <c:v>38.1</c:v>
                </c:pt>
                <c:pt idx="19">
                  <c:v>38.07</c:v>
                </c:pt>
                <c:pt idx="20">
                  <c:v>37.99</c:v>
                </c:pt>
                <c:pt idx="21">
                  <c:v>37.54</c:v>
                </c:pt>
                <c:pt idx="22">
                  <c:v>37.659999999999997</c:v>
                </c:pt>
                <c:pt idx="23">
                  <c:v>37.75</c:v>
                </c:pt>
                <c:pt idx="24">
                  <c:v>37.32</c:v>
                </c:pt>
                <c:pt idx="25">
                  <c:v>37.44</c:v>
                </c:pt>
                <c:pt idx="26">
                  <c:v>37.18</c:v>
                </c:pt>
                <c:pt idx="27">
                  <c:v>36.65</c:v>
                </c:pt>
                <c:pt idx="28">
                  <c:v>37.19</c:v>
                </c:pt>
                <c:pt idx="29">
                  <c:v>37.549999999999997</c:v>
                </c:pt>
                <c:pt idx="30">
                  <c:v>37.450000000000003</c:v>
                </c:pt>
                <c:pt idx="31">
                  <c:v>37.14</c:v>
                </c:pt>
                <c:pt idx="32">
                  <c:v>37.159999999999997</c:v>
                </c:pt>
                <c:pt idx="33">
                  <c:v>37.67</c:v>
                </c:pt>
                <c:pt idx="34">
                  <c:v>36.56</c:v>
                </c:pt>
                <c:pt idx="35">
                  <c:v>35.619999999999997</c:v>
                </c:pt>
                <c:pt idx="36">
                  <c:v>35.61</c:v>
                </c:pt>
                <c:pt idx="37">
                  <c:v>36.08</c:v>
                </c:pt>
                <c:pt idx="38">
                  <c:v>35.44</c:v>
                </c:pt>
                <c:pt idx="39">
                  <c:v>36.44</c:v>
                </c:pt>
                <c:pt idx="40">
                  <c:v>36.46</c:v>
                </c:pt>
                <c:pt idx="41">
                  <c:v>36.57</c:v>
                </c:pt>
                <c:pt idx="42">
                  <c:v>36.08</c:v>
                </c:pt>
                <c:pt idx="43">
                  <c:v>36.020000000000003</c:v>
                </c:pt>
                <c:pt idx="44">
                  <c:v>35.89</c:v>
                </c:pt>
                <c:pt idx="45">
                  <c:v>35.700000000000003</c:v>
                </c:pt>
                <c:pt idx="46">
                  <c:v>35.549999999999997</c:v>
                </c:pt>
                <c:pt idx="47">
                  <c:v>35.26</c:v>
                </c:pt>
                <c:pt idx="48">
                  <c:v>35.090000000000003</c:v>
                </c:pt>
                <c:pt idx="49">
                  <c:v>35.15</c:v>
                </c:pt>
                <c:pt idx="50">
                  <c:v>35.4</c:v>
                </c:pt>
                <c:pt idx="51">
                  <c:v>35.36</c:v>
                </c:pt>
                <c:pt idx="52">
                  <c:v>35.24</c:v>
                </c:pt>
                <c:pt idx="53">
                  <c:v>34.97</c:v>
                </c:pt>
                <c:pt idx="54">
                  <c:v>35.020000000000003</c:v>
                </c:pt>
                <c:pt idx="55">
                  <c:v>35.21</c:v>
                </c:pt>
                <c:pt idx="56">
                  <c:v>34.909999999999997</c:v>
                </c:pt>
                <c:pt idx="57">
                  <c:v>34.57</c:v>
                </c:pt>
                <c:pt idx="58">
                  <c:v>34.68</c:v>
                </c:pt>
                <c:pt idx="59">
                  <c:v>34.53</c:v>
                </c:pt>
                <c:pt idx="60">
                  <c:v>34.92</c:v>
                </c:pt>
                <c:pt idx="61">
                  <c:v>35.04</c:v>
                </c:pt>
                <c:pt idx="62">
                  <c:v>34.979999999999997</c:v>
                </c:pt>
                <c:pt idx="63">
                  <c:v>34.58</c:v>
                </c:pt>
                <c:pt idx="64">
                  <c:v>34.25</c:v>
                </c:pt>
                <c:pt idx="66">
                  <c:v>34.56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453400"/>
        <c:axId val="513453792"/>
      </c:lineChart>
      <c:catAx>
        <c:axId val="5134534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453792"/>
        <c:crosses val="autoZero"/>
        <c:auto val="1"/>
        <c:lblAlgn val="ctr"/>
        <c:lblOffset val="100"/>
        <c:noMultiLvlLbl val="0"/>
      </c:catAx>
      <c:valAx>
        <c:axId val="51345379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45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42676</c:v>
                </c:pt>
                <c:pt idx="1">
                  <c:v>42675</c:v>
                </c:pt>
                <c:pt idx="2">
                  <c:v>42674</c:v>
                </c:pt>
                <c:pt idx="3">
                  <c:v>42671</c:v>
                </c:pt>
                <c:pt idx="4">
                  <c:v>42670</c:v>
                </c:pt>
                <c:pt idx="5">
                  <c:v>42669</c:v>
                </c:pt>
                <c:pt idx="6">
                  <c:v>42668</c:v>
                </c:pt>
                <c:pt idx="7">
                  <c:v>42667</c:v>
                </c:pt>
                <c:pt idx="8">
                  <c:v>42664</c:v>
                </c:pt>
                <c:pt idx="9">
                  <c:v>42663</c:v>
                </c:pt>
                <c:pt idx="10">
                  <c:v>42662</c:v>
                </c:pt>
                <c:pt idx="11">
                  <c:v>42661</c:v>
                </c:pt>
                <c:pt idx="12">
                  <c:v>42660</c:v>
                </c:pt>
                <c:pt idx="13">
                  <c:v>42657</c:v>
                </c:pt>
                <c:pt idx="14">
                  <c:v>42656</c:v>
                </c:pt>
                <c:pt idx="15">
                  <c:v>42655</c:v>
                </c:pt>
                <c:pt idx="16">
                  <c:v>42654</c:v>
                </c:pt>
                <c:pt idx="17">
                  <c:v>42653</c:v>
                </c:pt>
                <c:pt idx="18">
                  <c:v>42650</c:v>
                </c:pt>
                <c:pt idx="19">
                  <c:v>42649</c:v>
                </c:pt>
                <c:pt idx="20">
                  <c:v>42648</c:v>
                </c:pt>
                <c:pt idx="21">
                  <c:v>42647</c:v>
                </c:pt>
                <c:pt idx="22">
                  <c:v>42646</c:v>
                </c:pt>
                <c:pt idx="23">
                  <c:v>42643</c:v>
                </c:pt>
                <c:pt idx="24">
                  <c:v>42642</c:v>
                </c:pt>
                <c:pt idx="25">
                  <c:v>42641</c:v>
                </c:pt>
                <c:pt idx="26">
                  <c:v>42640</c:v>
                </c:pt>
                <c:pt idx="27">
                  <c:v>42639</c:v>
                </c:pt>
                <c:pt idx="28">
                  <c:v>42636</c:v>
                </c:pt>
                <c:pt idx="29">
                  <c:v>42635</c:v>
                </c:pt>
                <c:pt idx="30">
                  <c:v>42634</c:v>
                </c:pt>
                <c:pt idx="31">
                  <c:v>42633</c:v>
                </c:pt>
                <c:pt idx="32">
                  <c:v>42632</c:v>
                </c:pt>
                <c:pt idx="33">
                  <c:v>42629</c:v>
                </c:pt>
                <c:pt idx="34">
                  <c:v>42628</c:v>
                </c:pt>
                <c:pt idx="35">
                  <c:v>42628</c:v>
                </c:pt>
                <c:pt idx="36">
                  <c:v>42627</c:v>
                </c:pt>
                <c:pt idx="37">
                  <c:v>42626</c:v>
                </c:pt>
                <c:pt idx="38">
                  <c:v>42625</c:v>
                </c:pt>
                <c:pt idx="39">
                  <c:v>42622</c:v>
                </c:pt>
                <c:pt idx="40">
                  <c:v>42621</c:v>
                </c:pt>
                <c:pt idx="41">
                  <c:v>42620</c:v>
                </c:pt>
                <c:pt idx="42">
                  <c:v>42619</c:v>
                </c:pt>
                <c:pt idx="43">
                  <c:v>42615</c:v>
                </c:pt>
                <c:pt idx="44">
                  <c:v>42614</c:v>
                </c:pt>
                <c:pt idx="45">
                  <c:v>42613</c:v>
                </c:pt>
                <c:pt idx="46">
                  <c:v>42612</c:v>
                </c:pt>
                <c:pt idx="47">
                  <c:v>42611</c:v>
                </c:pt>
                <c:pt idx="48">
                  <c:v>42608</c:v>
                </c:pt>
                <c:pt idx="49">
                  <c:v>42607</c:v>
                </c:pt>
                <c:pt idx="50">
                  <c:v>42606</c:v>
                </c:pt>
                <c:pt idx="51">
                  <c:v>42605</c:v>
                </c:pt>
                <c:pt idx="52">
                  <c:v>42604</c:v>
                </c:pt>
                <c:pt idx="53">
                  <c:v>42601</c:v>
                </c:pt>
                <c:pt idx="54">
                  <c:v>42600</c:v>
                </c:pt>
                <c:pt idx="55">
                  <c:v>42599</c:v>
                </c:pt>
                <c:pt idx="56">
                  <c:v>42598</c:v>
                </c:pt>
                <c:pt idx="57">
                  <c:v>42597</c:v>
                </c:pt>
                <c:pt idx="58">
                  <c:v>42594</c:v>
                </c:pt>
                <c:pt idx="59">
                  <c:v>42593</c:v>
                </c:pt>
                <c:pt idx="60">
                  <c:v>42592</c:v>
                </c:pt>
                <c:pt idx="61">
                  <c:v>42591</c:v>
                </c:pt>
                <c:pt idx="62">
                  <c:v>42590</c:v>
                </c:pt>
                <c:pt idx="63">
                  <c:v>42587</c:v>
                </c:pt>
                <c:pt idx="64">
                  <c:v>42586</c:v>
                </c:pt>
                <c:pt idx="65">
                  <c:v>42585</c:v>
                </c:pt>
                <c:pt idx="66">
                  <c:v>42584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47.09</c:v>
                </c:pt>
                <c:pt idx="1">
                  <c:v>47.85</c:v>
                </c:pt>
                <c:pt idx="2">
                  <c:v>47.97</c:v>
                </c:pt>
                <c:pt idx="3">
                  <c:v>50.3</c:v>
                </c:pt>
                <c:pt idx="4">
                  <c:v>50.42</c:v>
                </c:pt>
                <c:pt idx="5">
                  <c:v>50.26</c:v>
                </c:pt>
                <c:pt idx="6">
                  <c:v>50.9</c:v>
                </c:pt>
                <c:pt idx="7">
                  <c:v>52.22</c:v>
                </c:pt>
                <c:pt idx="8">
                  <c:v>52.76</c:v>
                </c:pt>
                <c:pt idx="9">
                  <c:v>52.65</c:v>
                </c:pt>
                <c:pt idx="10">
                  <c:v>52.37</c:v>
                </c:pt>
                <c:pt idx="11">
                  <c:v>50.98</c:v>
                </c:pt>
                <c:pt idx="12">
                  <c:v>50.82</c:v>
                </c:pt>
                <c:pt idx="13">
                  <c:v>51.7</c:v>
                </c:pt>
                <c:pt idx="14">
                  <c:v>51.52</c:v>
                </c:pt>
                <c:pt idx="15">
                  <c:v>51.96</c:v>
                </c:pt>
                <c:pt idx="16">
                  <c:v>52.57</c:v>
                </c:pt>
                <c:pt idx="17">
                  <c:v>53.95</c:v>
                </c:pt>
                <c:pt idx="18">
                  <c:v>53.07</c:v>
                </c:pt>
                <c:pt idx="19">
                  <c:v>53.66</c:v>
                </c:pt>
                <c:pt idx="20">
                  <c:v>53.48</c:v>
                </c:pt>
                <c:pt idx="21">
                  <c:v>52.25</c:v>
                </c:pt>
                <c:pt idx="22">
                  <c:v>53.9</c:v>
                </c:pt>
                <c:pt idx="23">
                  <c:v>53.62</c:v>
                </c:pt>
                <c:pt idx="24">
                  <c:v>52.15</c:v>
                </c:pt>
                <c:pt idx="25">
                  <c:v>49.84</c:v>
                </c:pt>
                <c:pt idx="26">
                  <c:v>46.81</c:v>
                </c:pt>
                <c:pt idx="27">
                  <c:v>47.63</c:v>
                </c:pt>
                <c:pt idx="28">
                  <c:v>46.91</c:v>
                </c:pt>
                <c:pt idx="29">
                  <c:v>47.78</c:v>
                </c:pt>
                <c:pt idx="30">
                  <c:v>47</c:v>
                </c:pt>
                <c:pt idx="31">
                  <c:v>45.67</c:v>
                </c:pt>
                <c:pt idx="32">
                  <c:v>45.96</c:v>
                </c:pt>
                <c:pt idx="33">
                  <c:v>46.48</c:v>
                </c:pt>
                <c:pt idx="34">
                  <c:v>46.65</c:v>
                </c:pt>
                <c:pt idx="36">
                  <c:v>46.91</c:v>
                </c:pt>
                <c:pt idx="37">
                  <c:v>47.77</c:v>
                </c:pt>
                <c:pt idx="38">
                  <c:v>49.88</c:v>
                </c:pt>
                <c:pt idx="39">
                  <c:v>49.92</c:v>
                </c:pt>
                <c:pt idx="40">
                  <c:v>52.55</c:v>
                </c:pt>
                <c:pt idx="41">
                  <c:v>50.81</c:v>
                </c:pt>
                <c:pt idx="42">
                  <c:v>51.23</c:v>
                </c:pt>
                <c:pt idx="43">
                  <c:v>53.08</c:v>
                </c:pt>
                <c:pt idx="44">
                  <c:v>53.31</c:v>
                </c:pt>
                <c:pt idx="45">
                  <c:v>54.3</c:v>
                </c:pt>
                <c:pt idx="46">
                  <c:v>56.08</c:v>
                </c:pt>
                <c:pt idx="47">
                  <c:v>56.42</c:v>
                </c:pt>
                <c:pt idx="48">
                  <c:v>56.67</c:v>
                </c:pt>
                <c:pt idx="49">
                  <c:v>56.81</c:v>
                </c:pt>
                <c:pt idx="50">
                  <c:v>56.35</c:v>
                </c:pt>
                <c:pt idx="51">
                  <c:v>56.42</c:v>
                </c:pt>
                <c:pt idx="52">
                  <c:v>56.2</c:v>
                </c:pt>
                <c:pt idx="53">
                  <c:v>57.23</c:v>
                </c:pt>
                <c:pt idx="54">
                  <c:v>57.62</c:v>
                </c:pt>
                <c:pt idx="55">
                  <c:v>56.7</c:v>
                </c:pt>
                <c:pt idx="56">
                  <c:v>56.67</c:v>
                </c:pt>
                <c:pt idx="57">
                  <c:v>56.65</c:v>
                </c:pt>
                <c:pt idx="58">
                  <c:v>56.28</c:v>
                </c:pt>
                <c:pt idx="59">
                  <c:v>56.54</c:v>
                </c:pt>
                <c:pt idx="60">
                  <c:v>54.72</c:v>
                </c:pt>
                <c:pt idx="61">
                  <c:v>55.42</c:v>
                </c:pt>
                <c:pt idx="62">
                  <c:v>55.92</c:v>
                </c:pt>
                <c:pt idx="63">
                  <c:v>54.64</c:v>
                </c:pt>
                <c:pt idx="64">
                  <c:v>53.87</c:v>
                </c:pt>
                <c:pt idx="65">
                  <c:v>53.39</c:v>
                </c:pt>
                <c:pt idx="66">
                  <c:v>51.75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458496"/>
        <c:axId val="513462416"/>
      </c:lineChart>
      <c:dateAx>
        <c:axId val="513458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462416"/>
        <c:crosses val="autoZero"/>
        <c:auto val="1"/>
        <c:lblOffset val="100"/>
        <c:baseTimeUnit val="days"/>
      </c:dateAx>
      <c:valAx>
        <c:axId val="51346241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458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2-Nov-16</c:v>
                </c:pt>
                <c:pt idx="1">
                  <c:v>1-Nov-16</c:v>
                </c:pt>
                <c:pt idx="2">
                  <c:v>31-Oct-16</c:v>
                </c:pt>
                <c:pt idx="3">
                  <c:v>28-Oct-16</c:v>
                </c:pt>
                <c:pt idx="4">
                  <c:v>27-Oct-16</c:v>
                </c:pt>
                <c:pt idx="5">
                  <c:v>26-Oct-16</c:v>
                </c:pt>
                <c:pt idx="6">
                  <c:v>25-Oct-16</c:v>
                </c:pt>
                <c:pt idx="7">
                  <c:v>24-Oct-16</c:v>
                </c:pt>
                <c:pt idx="8">
                  <c:v>21-Oct-16</c:v>
                </c:pt>
                <c:pt idx="9">
                  <c:v>20-Oct-16</c:v>
                </c:pt>
                <c:pt idx="10">
                  <c:v>19-Oct-16</c:v>
                </c:pt>
                <c:pt idx="11">
                  <c:v>18-Oct-16</c:v>
                </c:pt>
                <c:pt idx="12">
                  <c:v>17-Oct-16</c:v>
                </c:pt>
                <c:pt idx="13">
                  <c:v>14-Oct-16</c:v>
                </c:pt>
                <c:pt idx="14">
                  <c:v>13-Oct-16</c:v>
                </c:pt>
                <c:pt idx="15">
                  <c:v>12-Oct-16</c:v>
                </c:pt>
                <c:pt idx="16">
                  <c:v>11-Oct-16</c:v>
                </c:pt>
                <c:pt idx="17">
                  <c:v>10-Oct-16</c:v>
                </c:pt>
                <c:pt idx="18">
                  <c:v>7-Oct-16</c:v>
                </c:pt>
                <c:pt idx="19">
                  <c:v>42649.00</c:v>
                </c:pt>
                <c:pt idx="20">
                  <c:v>5-Oct-16</c:v>
                </c:pt>
                <c:pt idx="21">
                  <c:v>4-Oct-16</c:v>
                </c:pt>
                <c:pt idx="22">
                  <c:v>3-Oct-16</c:v>
                </c:pt>
                <c:pt idx="23">
                  <c:v>30-Sep-16</c:v>
                </c:pt>
                <c:pt idx="24">
                  <c:v>29-Sep-16</c:v>
                </c:pt>
                <c:pt idx="25">
                  <c:v>28-Sep-16</c:v>
                </c:pt>
                <c:pt idx="26">
                  <c:v>27-Sep-16</c:v>
                </c:pt>
                <c:pt idx="27">
                  <c:v>26-Sep-16</c:v>
                </c:pt>
                <c:pt idx="28">
                  <c:v>23-Sep-16</c:v>
                </c:pt>
                <c:pt idx="29">
                  <c:v>22-Sep-16</c:v>
                </c:pt>
                <c:pt idx="30">
                  <c:v>21-Sep-16</c:v>
                </c:pt>
                <c:pt idx="31">
                  <c:v>20-Sep-16</c:v>
                </c:pt>
                <c:pt idx="32">
                  <c:v>19-Sep-16</c:v>
                </c:pt>
                <c:pt idx="33">
                  <c:v>16-Sep-16</c:v>
                </c:pt>
                <c:pt idx="34">
                  <c:v>15-Sep-16</c:v>
                </c:pt>
                <c:pt idx="35">
                  <c:v>14-Sep-16</c:v>
                </c:pt>
                <c:pt idx="36">
                  <c:v>13-Sep-16</c:v>
                </c:pt>
                <c:pt idx="37">
                  <c:v>12-Sep-16</c:v>
                </c:pt>
                <c:pt idx="38">
                  <c:v>9-Sep-16</c:v>
                </c:pt>
                <c:pt idx="39">
                  <c:v>8-Sep-16</c:v>
                </c:pt>
                <c:pt idx="40">
                  <c:v>7-Sep-16</c:v>
                </c:pt>
                <c:pt idx="41">
                  <c:v>6-Sep-16</c:v>
                </c:pt>
                <c:pt idx="42">
                  <c:v>2-Sep-16</c:v>
                </c:pt>
                <c:pt idx="43">
                  <c:v>1-Sep-16</c:v>
                </c:pt>
                <c:pt idx="44">
                  <c:v>31-Aug-16</c:v>
                </c:pt>
                <c:pt idx="45">
                  <c:v>30-Aug-16</c:v>
                </c:pt>
                <c:pt idx="46">
                  <c:v>29-Aug-16</c:v>
                </c:pt>
                <c:pt idx="47">
                  <c:v>29-Aug-16</c:v>
                </c:pt>
                <c:pt idx="48">
                  <c:v>26-Aug-16</c:v>
                </c:pt>
                <c:pt idx="49">
                  <c:v>25-Aug-16</c:v>
                </c:pt>
                <c:pt idx="50">
                  <c:v>24-Aug-16</c:v>
                </c:pt>
                <c:pt idx="51">
                  <c:v>23-Aug-16</c:v>
                </c:pt>
                <c:pt idx="52">
                  <c:v>22-Aug-16</c:v>
                </c:pt>
                <c:pt idx="53">
                  <c:v>19-Aug-16</c:v>
                </c:pt>
                <c:pt idx="54">
                  <c:v>18-Aug-16</c:v>
                </c:pt>
                <c:pt idx="55">
                  <c:v>17-Aug-16</c:v>
                </c:pt>
                <c:pt idx="56">
                  <c:v>16-Aug-16</c:v>
                </c:pt>
                <c:pt idx="57">
                  <c:v>15-Aug-16</c:v>
                </c:pt>
                <c:pt idx="58">
                  <c:v>12-Aug-16</c:v>
                </c:pt>
                <c:pt idx="59">
                  <c:v>11-Aug-16</c:v>
                </c:pt>
                <c:pt idx="60">
                  <c:v>10-Aug-16</c:v>
                </c:pt>
                <c:pt idx="61">
                  <c:v>9-Aug-16</c:v>
                </c:pt>
                <c:pt idx="62">
                  <c:v>8-Aug-16</c:v>
                </c:pt>
                <c:pt idx="63">
                  <c:v>5-Aug-16</c:v>
                </c:pt>
                <c:pt idx="64">
                  <c:v>4-Aug-16</c:v>
                </c:pt>
                <c:pt idx="65">
                  <c:v>3-Aug-16</c:v>
                </c:pt>
                <c:pt idx="66">
                  <c:v>2-Aug-16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88.69</c:v>
                </c:pt>
                <c:pt idx="1">
                  <c:v>87.89</c:v>
                </c:pt>
                <c:pt idx="2">
                  <c:v>88.18</c:v>
                </c:pt>
                <c:pt idx="3">
                  <c:v>88.37</c:v>
                </c:pt>
                <c:pt idx="4">
                  <c:v>88.82</c:v>
                </c:pt>
                <c:pt idx="5">
                  <c:v>89.05</c:v>
                </c:pt>
                <c:pt idx="6">
                  <c:v>89.99</c:v>
                </c:pt>
                <c:pt idx="7">
                  <c:v>89.88</c:v>
                </c:pt>
                <c:pt idx="8">
                  <c:v>90.37</c:v>
                </c:pt>
                <c:pt idx="9">
                  <c:v>90.64</c:v>
                </c:pt>
                <c:pt idx="10">
                  <c:v>97.12</c:v>
                </c:pt>
                <c:pt idx="11">
                  <c:v>96.72</c:v>
                </c:pt>
                <c:pt idx="12">
                  <c:v>96.77</c:v>
                </c:pt>
                <c:pt idx="13">
                  <c:v>96.84</c:v>
                </c:pt>
                <c:pt idx="14">
                  <c:v>96.74</c:v>
                </c:pt>
                <c:pt idx="15">
                  <c:v>95.91</c:v>
                </c:pt>
                <c:pt idx="16">
                  <c:v>96.54</c:v>
                </c:pt>
                <c:pt idx="17">
                  <c:v>97.35</c:v>
                </c:pt>
                <c:pt idx="18">
                  <c:v>98.07</c:v>
                </c:pt>
                <c:pt idx="19">
                  <c:v>98.35</c:v>
                </c:pt>
                <c:pt idx="20">
                  <c:v>98.54</c:v>
                </c:pt>
                <c:pt idx="21">
                  <c:v>96.67</c:v>
                </c:pt>
                <c:pt idx="22">
                  <c:v>97.35</c:v>
                </c:pt>
                <c:pt idx="23">
                  <c:v>97.53</c:v>
                </c:pt>
                <c:pt idx="24">
                  <c:v>95.96</c:v>
                </c:pt>
                <c:pt idx="25">
                  <c:v>96.16</c:v>
                </c:pt>
                <c:pt idx="26">
                  <c:v>94.85</c:v>
                </c:pt>
                <c:pt idx="27">
                  <c:v>94.18</c:v>
                </c:pt>
                <c:pt idx="28">
                  <c:v>94.33</c:v>
                </c:pt>
                <c:pt idx="29">
                  <c:v>95.08</c:v>
                </c:pt>
                <c:pt idx="30">
                  <c:v>95.03</c:v>
                </c:pt>
                <c:pt idx="31">
                  <c:v>93.14</c:v>
                </c:pt>
                <c:pt idx="32">
                  <c:v>93.09</c:v>
                </c:pt>
                <c:pt idx="33">
                  <c:v>92.38</c:v>
                </c:pt>
                <c:pt idx="34">
                  <c:v>92.94</c:v>
                </c:pt>
                <c:pt idx="35">
                  <c:v>92.72</c:v>
                </c:pt>
                <c:pt idx="36">
                  <c:v>92.44</c:v>
                </c:pt>
                <c:pt idx="37">
                  <c:v>93.81</c:v>
                </c:pt>
                <c:pt idx="38">
                  <c:v>92.72</c:v>
                </c:pt>
                <c:pt idx="39">
                  <c:v>96.63</c:v>
                </c:pt>
                <c:pt idx="40">
                  <c:v>96.28</c:v>
                </c:pt>
                <c:pt idx="41">
                  <c:v>95.97</c:v>
                </c:pt>
                <c:pt idx="42">
                  <c:v>95.28</c:v>
                </c:pt>
                <c:pt idx="43">
                  <c:v>95.29</c:v>
                </c:pt>
                <c:pt idx="44">
                  <c:v>95.53</c:v>
                </c:pt>
                <c:pt idx="45">
                  <c:v>95.85</c:v>
                </c:pt>
                <c:pt idx="46">
                  <c:v>96.06</c:v>
                </c:pt>
                <c:pt idx="48">
                  <c:v>95.12</c:v>
                </c:pt>
                <c:pt idx="49">
                  <c:v>95.08</c:v>
                </c:pt>
                <c:pt idx="50">
                  <c:v>95.48</c:v>
                </c:pt>
                <c:pt idx="51">
                  <c:v>96.01</c:v>
                </c:pt>
                <c:pt idx="52">
                  <c:v>95.33</c:v>
                </c:pt>
                <c:pt idx="53">
                  <c:v>95.68</c:v>
                </c:pt>
                <c:pt idx="54">
                  <c:v>95.83</c:v>
                </c:pt>
                <c:pt idx="55">
                  <c:v>94.57</c:v>
                </c:pt>
                <c:pt idx="56">
                  <c:v>92.89</c:v>
                </c:pt>
                <c:pt idx="57">
                  <c:v>92.5</c:v>
                </c:pt>
                <c:pt idx="58">
                  <c:v>91.9</c:v>
                </c:pt>
                <c:pt idx="59">
                  <c:v>92.96</c:v>
                </c:pt>
                <c:pt idx="60">
                  <c:v>92.44</c:v>
                </c:pt>
                <c:pt idx="61">
                  <c:v>93.07</c:v>
                </c:pt>
                <c:pt idx="62">
                  <c:v>93.86</c:v>
                </c:pt>
                <c:pt idx="63">
                  <c:v>93.85</c:v>
                </c:pt>
                <c:pt idx="64">
                  <c:v>92.67</c:v>
                </c:pt>
                <c:pt idx="65">
                  <c:v>92.87</c:v>
                </c:pt>
                <c:pt idx="66">
                  <c:v>91.3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460064"/>
        <c:axId val="513460456"/>
      </c:lineChart>
      <c:catAx>
        <c:axId val="5134600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460456"/>
        <c:crosses val="autoZero"/>
        <c:auto val="1"/>
        <c:lblAlgn val="ctr"/>
        <c:lblOffset val="100"/>
        <c:noMultiLvlLbl val="0"/>
      </c:catAx>
      <c:valAx>
        <c:axId val="51346045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460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42676</c:v>
                </c:pt>
                <c:pt idx="1">
                  <c:v>42675</c:v>
                </c:pt>
                <c:pt idx="2">
                  <c:v>42674</c:v>
                </c:pt>
                <c:pt idx="3">
                  <c:v>42671</c:v>
                </c:pt>
                <c:pt idx="4">
                  <c:v>42670</c:v>
                </c:pt>
                <c:pt idx="5">
                  <c:v>42669</c:v>
                </c:pt>
                <c:pt idx="6">
                  <c:v>42668</c:v>
                </c:pt>
                <c:pt idx="7">
                  <c:v>42667</c:v>
                </c:pt>
                <c:pt idx="8">
                  <c:v>42664</c:v>
                </c:pt>
                <c:pt idx="9">
                  <c:v>42663</c:v>
                </c:pt>
                <c:pt idx="10">
                  <c:v>42662</c:v>
                </c:pt>
                <c:pt idx="11">
                  <c:v>42661</c:v>
                </c:pt>
                <c:pt idx="12">
                  <c:v>42660</c:v>
                </c:pt>
                <c:pt idx="13">
                  <c:v>42657</c:v>
                </c:pt>
                <c:pt idx="14">
                  <c:v>42656</c:v>
                </c:pt>
                <c:pt idx="15">
                  <c:v>42655</c:v>
                </c:pt>
                <c:pt idx="16">
                  <c:v>42654</c:v>
                </c:pt>
                <c:pt idx="17">
                  <c:v>42653</c:v>
                </c:pt>
                <c:pt idx="18">
                  <c:v>42650</c:v>
                </c:pt>
                <c:pt idx="19">
                  <c:v>42649</c:v>
                </c:pt>
                <c:pt idx="20">
                  <c:v>42648</c:v>
                </c:pt>
                <c:pt idx="21">
                  <c:v>42647</c:v>
                </c:pt>
                <c:pt idx="22">
                  <c:v>42646</c:v>
                </c:pt>
                <c:pt idx="23">
                  <c:v>42643</c:v>
                </c:pt>
                <c:pt idx="24">
                  <c:v>42642</c:v>
                </c:pt>
                <c:pt idx="25">
                  <c:v>42641</c:v>
                </c:pt>
                <c:pt idx="26">
                  <c:v>42640</c:v>
                </c:pt>
                <c:pt idx="27">
                  <c:v>42639</c:v>
                </c:pt>
                <c:pt idx="28">
                  <c:v>42636</c:v>
                </c:pt>
                <c:pt idx="29">
                  <c:v>42635</c:v>
                </c:pt>
                <c:pt idx="30">
                  <c:v>42634</c:v>
                </c:pt>
                <c:pt idx="31">
                  <c:v>42633</c:v>
                </c:pt>
                <c:pt idx="32">
                  <c:v>42632</c:v>
                </c:pt>
                <c:pt idx="33">
                  <c:v>42629</c:v>
                </c:pt>
                <c:pt idx="34">
                  <c:v>42628</c:v>
                </c:pt>
                <c:pt idx="35">
                  <c:v>42627</c:v>
                </c:pt>
                <c:pt idx="36">
                  <c:v>42626</c:v>
                </c:pt>
                <c:pt idx="37">
                  <c:v>42625</c:v>
                </c:pt>
                <c:pt idx="38">
                  <c:v>42622</c:v>
                </c:pt>
                <c:pt idx="39">
                  <c:v>42621</c:v>
                </c:pt>
                <c:pt idx="40">
                  <c:v>42620</c:v>
                </c:pt>
                <c:pt idx="41">
                  <c:v>42619</c:v>
                </c:pt>
                <c:pt idx="42">
                  <c:v>42615</c:v>
                </c:pt>
                <c:pt idx="43">
                  <c:v>42614</c:v>
                </c:pt>
                <c:pt idx="44">
                  <c:v>42613</c:v>
                </c:pt>
                <c:pt idx="45">
                  <c:v>42612</c:v>
                </c:pt>
                <c:pt idx="46">
                  <c:v>42611</c:v>
                </c:pt>
                <c:pt idx="47">
                  <c:v>42608</c:v>
                </c:pt>
                <c:pt idx="48">
                  <c:v>42607</c:v>
                </c:pt>
                <c:pt idx="49">
                  <c:v>42606</c:v>
                </c:pt>
                <c:pt idx="50">
                  <c:v>42605</c:v>
                </c:pt>
                <c:pt idx="51">
                  <c:v>42604</c:v>
                </c:pt>
                <c:pt idx="52">
                  <c:v>42601</c:v>
                </c:pt>
                <c:pt idx="53">
                  <c:v>42600</c:v>
                </c:pt>
                <c:pt idx="54">
                  <c:v>42599</c:v>
                </c:pt>
                <c:pt idx="55">
                  <c:v>42598</c:v>
                </c:pt>
                <c:pt idx="56">
                  <c:v>42597</c:v>
                </c:pt>
                <c:pt idx="57">
                  <c:v>42594</c:v>
                </c:pt>
                <c:pt idx="58">
                  <c:v>42593</c:v>
                </c:pt>
                <c:pt idx="59">
                  <c:v>42592</c:v>
                </c:pt>
                <c:pt idx="60">
                  <c:v>42591</c:v>
                </c:pt>
                <c:pt idx="61">
                  <c:v>42590</c:v>
                </c:pt>
                <c:pt idx="62">
                  <c:v>42587</c:v>
                </c:pt>
                <c:pt idx="63">
                  <c:v>42586</c:v>
                </c:pt>
                <c:pt idx="64">
                  <c:v>42585</c:v>
                </c:pt>
                <c:pt idx="65">
                  <c:v>42584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37.49</c:v>
                </c:pt>
                <c:pt idx="1">
                  <c:v>37.700000000000003</c:v>
                </c:pt>
                <c:pt idx="2">
                  <c:v>38.869999999999997</c:v>
                </c:pt>
                <c:pt idx="3">
                  <c:v>38.24</c:v>
                </c:pt>
                <c:pt idx="4">
                  <c:v>35.71</c:v>
                </c:pt>
                <c:pt idx="5">
                  <c:v>37.97</c:v>
                </c:pt>
                <c:pt idx="6">
                  <c:v>37.729999999999997</c:v>
                </c:pt>
                <c:pt idx="7">
                  <c:v>38.06</c:v>
                </c:pt>
                <c:pt idx="8">
                  <c:v>37.99</c:v>
                </c:pt>
                <c:pt idx="9">
                  <c:v>38.74</c:v>
                </c:pt>
                <c:pt idx="10">
                  <c:v>38.11</c:v>
                </c:pt>
                <c:pt idx="11">
                  <c:v>38.25</c:v>
                </c:pt>
                <c:pt idx="12">
                  <c:v>37.47</c:v>
                </c:pt>
                <c:pt idx="13">
                  <c:v>37.33</c:v>
                </c:pt>
                <c:pt idx="14">
                  <c:v>37.79</c:v>
                </c:pt>
                <c:pt idx="15">
                  <c:v>38.08</c:v>
                </c:pt>
                <c:pt idx="16">
                  <c:v>37.950000000000003</c:v>
                </c:pt>
                <c:pt idx="17">
                  <c:v>38.479999999999997</c:v>
                </c:pt>
                <c:pt idx="18">
                  <c:v>38.46</c:v>
                </c:pt>
                <c:pt idx="19">
                  <c:v>38.64</c:v>
                </c:pt>
                <c:pt idx="20">
                  <c:v>38.26</c:v>
                </c:pt>
                <c:pt idx="21">
                  <c:v>38.049999999999997</c:v>
                </c:pt>
                <c:pt idx="22">
                  <c:v>37.78</c:v>
                </c:pt>
                <c:pt idx="23">
                  <c:v>37.700000000000003</c:v>
                </c:pt>
                <c:pt idx="24">
                  <c:v>37.159999999999997</c:v>
                </c:pt>
                <c:pt idx="25">
                  <c:v>37.44</c:v>
                </c:pt>
                <c:pt idx="26">
                  <c:v>37.69</c:v>
                </c:pt>
                <c:pt idx="27">
                  <c:v>36.72</c:v>
                </c:pt>
                <c:pt idx="28">
                  <c:v>37.42</c:v>
                </c:pt>
                <c:pt idx="29">
                  <c:v>37.17</c:v>
                </c:pt>
                <c:pt idx="30">
                  <c:v>36.299999999999997</c:v>
                </c:pt>
                <c:pt idx="31">
                  <c:v>36.31</c:v>
                </c:pt>
                <c:pt idx="32">
                  <c:v>35.340000000000003</c:v>
                </c:pt>
                <c:pt idx="33">
                  <c:v>35.75</c:v>
                </c:pt>
                <c:pt idx="34">
                  <c:v>36.24</c:v>
                </c:pt>
                <c:pt idx="35">
                  <c:v>35.96</c:v>
                </c:pt>
                <c:pt idx="36">
                  <c:v>35.29</c:v>
                </c:pt>
                <c:pt idx="37">
                  <c:v>35.25</c:v>
                </c:pt>
                <c:pt idx="38">
                  <c:v>34.5</c:v>
                </c:pt>
                <c:pt idx="39">
                  <c:v>34.4</c:v>
                </c:pt>
                <c:pt idx="40">
                  <c:v>34.97</c:v>
                </c:pt>
                <c:pt idx="41">
                  <c:v>35.31</c:v>
                </c:pt>
                <c:pt idx="42">
                  <c:v>35.61</c:v>
                </c:pt>
                <c:pt idx="43">
                  <c:v>37.049999999999997</c:v>
                </c:pt>
                <c:pt idx="44">
                  <c:v>35.89</c:v>
                </c:pt>
                <c:pt idx="45">
                  <c:v>35.85</c:v>
                </c:pt>
                <c:pt idx="46">
                  <c:v>35.520000000000003</c:v>
                </c:pt>
                <c:pt idx="47">
                  <c:v>35.799999999999997</c:v>
                </c:pt>
                <c:pt idx="48">
                  <c:v>36.18</c:v>
                </c:pt>
                <c:pt idx="49">
                  <c:v>36.86</c:v>
                </c:pt>
                <c:pt idx="50">
                  <c:v>37.68</c:v>
                </c:pt>
                <c:pt idx="51">
                  <c:v>37.68</c:v>
                </c:pt>
                <c:pt idx="52">
                  <c:v>38.21</c:v>
                </c:pt>
                <c:pt idx="53">
                  <c:v>38.700000000000003</c:v>
                </c:pt>
                <c:pt idx="54">
                  <c:v>38.659999999999997</c:v>
                </c:pt>
                <c:pt idx="55">
                  <c:v>37.630000000000003</c:v>
                </c:pt>
                <c:pt idx="56">
                  <c:v>38.369999999999997</c:v>
                </c:pt>
                <c:pt idx="57">
                  <c:v>38.44</c:v>
                </c:pt>
                <c:pt idx="58">
                  <c:v>38.78</c:v>
                </c:pt>
                <c:pt idx="59">
                  <c:v>37.299999999999997</c:v>
                </c:pt>
                <c:pt idx="60">
                  <c:v>37.909999999999997</c:v>
                </c:pt>
                <c:pt idx="61">
                  <c:v>42.96</c:v>
                </c:pt>
                <c:pt idx="62">
                  <c:v>43.1</c:v>
                </c:pt>
                <c:pt idx="63">
                  <c:v>41.66</c:v>
                </c:pt>
                <c:pt idx="64">
                  <c:v>40.450000000000003</c:v>
                </c:pt>
                <c:pt idx="65">
                  <c:v>39.76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463200"/>
        <c:axId val="513463592"/>
      </c:lineChart>
      <c:dateAx>
        <c:axId val="5134632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463592"/>
        <c:crosses val="autoZero"/>
        <c:auto val="1"/>
        <c:lblOffset val="100"/>
        <c:baseTimeUnit val="days"/>
      </c:dateAx>
      <c:valAx>
        <c:axId val="513463592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463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42676</c:v>
                </c:pt>
                <c:pt idx="1">
                  <c:v>42675</c:v>
                </c:pt>
                <c:pt idx="2">
                  <c:v>42674</c:v>
                </c:pt>
                <c:pt idx="3">
                  <c:v>42671</c:v>
                </c:pt>
                <c:pt idx="4">
                  <c:v>42670</c:v>
                </c:pt>
                <c:pt idx="5">
                  <c:v>42669</c:v>
                </c:pt>
                <c:pt idx="6">
                  <c:v>42668</c:v>
                </c:pt>
                <c:pt idx="7">
                  <c:v>42667</c:v>
                </c:pt>
                <c:pt idx="8">
                  <c:v>42664</c:v>
                </c:pt>
                <c:pt idx="9">
                  <c:v>42663</c:v>
                </c:pt>
                <c:pt idx="10">
                  <c:v>42662</c:v>
                </c:pt>
                <c:pt idx="11">
                  <c:v>42661</c:v>
                </c:pt>
                <c:pt idx="12">
                  <c:v>42660</c:v>
                </c:pt>
                <c:pt idx="13">
                  <c:v>42657</c:v>
                </c:pt>
                <c:pt idx="14">
                  <c:v>42656</c:v>
                </c:pt>
                <c:pt idx="15">
                  <c:v>42655</c:v>
                </c:pt>
                <c:pt idx="16">
                  <c:v>42654</c:v>
                </c:pt>
                <c:pt idx="17">
                  <c:v>42653</c:v>
                </c:pt>
                <c:pt idx="18">
                  <c:v>42650</c:v>
                </c:pt>
                <c:pt idx="19">
                  <c:v>42649</c:v>
                </c:pt>
                <c:pt idx="20">
                  <c:v>42648</c:v>
                </c:pt>
                <c:pt idx="21">
                  <c:v>42647</c:v>
                </c:pt>
                <c:pt idx="22">
                  <c:v>42646</c:v>
                </c:pt>
                <c:pt idx="23">
                  <c:v>42643</c:v>
                </c:pt>
                <c:pt idx="24">
                  <c:v>42642</c:v>
                </c:pt>
                <c:pt idx="25">
                  <c:v>42641</c:v>
                </c:pt>
                <c:pt idx="26">
                  <c:v>42640</c:v>
                </c:pt>
                <c:pt idx="27">
                  <c:v>42639</c:v>
                </c:pt>
                <c:pt idx="28">
                  <c:v>42636</c:v>
                </c:pt>
                <c:pt idx="29">
                  <c:v>42635</c:v>
                </c:pt>
                <c:pt idx="30">
                  <c:v>42634</c:v>
                </c:pt>
                <c:pt idx="31">
                  <c:v>42633</c:v>
                </c:pt>
                <c:pt idx="32">
                  <c:v>42632</c:v>
                </c:pt>
                <c:pt idx="33">
                  <c:v>42629</c:v>
                </c:pt>
                <c:pt idx="34">
                  <c:v>42629</c:v>
                </c:pt>
                <c:pt idx="35">
                  <c:v>42628</c:v>
                </c:pt>
                <c:pt idx="36">
                  <c:v>42627</c:v>
                </c:pt>
                <c:pt idx="37">
                  <c:v>42626</c:v>
                </c:pt>
                <c:pt idx="38">
                  <c:v>42625</c:v>
                </c:pt>
                <c:pt idx="39">
                  <c:v>42622</c:v>
                </c:pt>
                <c:pt idx="40">
                  <c:v>42621</c:v>
                </c:pt>
                <c:pt idx="41">
                  <c:v>42620</c:v>
                </c:pt>
                <c:pt idx="42">
                  <c:v>42619</c:v>
                </c:pt>
                <c:pt idx="43">
                  <c:v>42615</c:v>
                </c:pt>
                <c:pt idx="44">
                  <c:v>42614</c:v>
                </c:pt>
                <c:pt idx="45">
                  <c:v>42613</c:v>
                </c:pt>
                <c:pt idx="46">
                  <c:v>42612</c:v>
                </c:pt>
                <c:pt idx="47">
                  <c:v>42611</c:v>
                </c:pt>
                <c:pt idx="48">
                  <c:v>42608</c:v>
                </c:pt>
                <c:pt idx="49">
                  <c:v>42607</c:v>
                </c:pt>
                <c:pt idx="50">
                  <c:v>42606</c:v>
                </c:pt>
                <c:pt idx="51">
                  <c:v>42605</c:v>
                </c:pt>
                <c:pt idx="52">
                  <c:v>42604</c:v>
                </c:pt>
                <c:pt idx="53">
                  <c:v>42601</c:v>
                </c:pt>
                <c:pt idx="54">
                  <c:v>42600</c:v>
                </c:pt>
                <c:pt idx="55">
                  <c:v>42599</c:v>
                </c:pt>
                <c:pt idx="56">
                  <c:v>42598</c:v>
                </c:pt>
                <c:pt idx="57">
                  <c:v>42597</c:v>
                </c:pt>
                <c:pt idx="58">
                  <c:v>42594</c:v>
                </c:pt>
                <c:pt idx="59">
                  <c:v>42593</c:v>
                </c:pt>
                <c:pt idx="60">
                  <c:v>42592</c:v>
                </c:pt>
                <c:pt idx="61">
                  <c:v>42591</c:v>
                </c:pt>
                <c:pt idx="62">
                  <c:v>42590</c:v>
                </c:pt>
                <c:pt idx="63">
                  <c:v>42587</c:v>
                </c:pt>
                <c:pt idx="64">
                  <c:v>42586</c:v>
                </c:pt>
                <c:pt idx="65">
                  <c:v>42585</c:v>
                </c:pt>
                <c:pt idx="66">
                  <c:v>42584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209.74</c:v>
                </c:pt>
                <c:pt idx="1">
                  <c:v>211.01</c:v>
                </c:pt>
                <c:pt idx="2">
                  <c:v>212.55</c:v>
                </c:pt>
                <c:pt idx="3">
                  <c:v>212.54</c:v>
                </c:pt>
                <c:pt idx="4">
                  <c:v>213.17</c:v>
                </c:pt>
                <c:pt idx="5">
                  <c:v>213.74</c:v>
                </c:pt>
                <c:pt idx="6">
                  <c:v>214.17</c:v>
                </c:pt>
                <c:pt idx="7">
                  <c:v>214.89</c:v>
                </c:pt>
                <c:pt idx="8">
                  <c:v>213.98</c:v>
                </c:pt>
                <c:pt idx="9">
                  <c:v>213.88</c:v>
                </c:pt>
                <c:pt idx="10">
                  <c:v>214.28</c:v>
                </c:pt>
                <c:pt idx="11">
                  <c:v>213.71</c:v>
                </c:pt>
                <c:pt idx="12">
                  <c:v>212.38</c:v>
                </c:pt>
                <c:pt idx="13">
                  <c:v>213.12</c:v>
                </c:pt>
                <c:pt idx="14">
                  <c:v>213.01</c:v>
                </c:pt>
                <c:pt idx="15">
                  <c:v>213.71</c:v>
                </c:pt>
                <c:pt idx="16">
                  <c:v>213.43</c:v>
                </c:pt>
                <c:pt idx="17">
                  <c:v>216.16</c:v>
                </c:pt>
                <c:pt idx="18">
                  <c:v>215.04</c:v>
                </c:pt>
                <c:pt idx="19">
                  <c:v>215.78</c:v>
                </c:pt>
                <c:pt idx="20">
                  <c:v>215.63</c:v>
                </c:pt>
                <c:pt idx="21">
                  <c:v>214.68</c:v>
                </c:pt>
                <c:pt idx="22">
                  <c:v>215.78</c:v>
                </c:pt>
                <c:pt idx="23">
                  <c:v>216.3</c:v>
                </c:pt>
                <c:pt idx="24">
                  <c:v>214.68</c:v>
                </c:pt>
                <c:pt idx="25">
                  <c:v>216.64</c:v>
                </c:pt>
                <c:pt idx="26">
                  <c:v>215.57</c:v>
                </c:pt>
                <c:pt idx="27">
                  <c:v>214.24</c:v>
                </c:pt>
                <c:pt idx="28">
                  <c:v>215.99</c:v>
                </c:pt>
                <c:pt idx="29">
                  <c:v>217.18</c:v>
                </c:pt>
                <c:pt idx="30">
                  <c:v>215.82</c:v>
                </c:pt>
                <c:pt idx="31">
                  <c:v>213.42</c:v>
                </c:pt>
                <c:pt idx="32">
                  <c:v>213.41</c:v>
                </c:pt>
                <c:pt idx="33">
                  <c:v>213.37</c:v>
                </c:pt>
                <c:pt idx="35">
                  <c:v>215.28</c:v>
                </c:pt>
                <c:pt idx="36">
                  <c:v>213.15</c:v>
                </c:pt>
                <c:pt idx="37">
                  <c:v>213.23</c:v>
                </c:pt>
                <c:pt idx="38">
                  <c:v>216.34</c:v>
                </c:pt>
                <c:pt idx="39">
                  <c:v>213.28</c:v>
                </c:pt>
                <c:pt idx="40">
                  <c:v>218.51</c:v>
                </c:pt>
                <c:pt idx="41">
                  <c:v>219.01</c:v>
                </c:pt>
                <c:pt idx="42">
                  <c:v>219.03</c:v>
                </c:pt>
                <c:pt idx="43">
                  <c:v>218.37</c:v>
                </c:pt>
                <c:pt idx="44">
                  <c:v>217.39</c:v>
                </c:pt>
                <c:pt idx="45">
                  <c:v>217.38</c:v>
                </c:pt>
                <c:pt idx="46">
                  <c:v>218</c:v>
                </c:pt>
                <c:pt idx="47">
                  <c:v>218.36</c:v>
                </c:pt>
                <c:pt idx="48">
                  <c:v>217.29</c:v>
                </c:pt>
                <c:pt idx="49">
                  <c:v>217.7</c:v>
                </c:pt>
                <c:pt idx="50">
                  <c:v>217.85</c:v>
                </c:pt>
                <c:pt idx="51">
                  <c:v>218.97</c:v>
                </c:pt>
                <c:pt idx="52">
                  <c:v>218.53</c:v>
                </c:pt>
                <c:pt idx="53">
                  <c:v>218.54</c:v>
                </c:pt>
                <c:pt idx="54">
                  <c:v>218.86</c:v>
                </c:pt>
                <c:pt idx="55">
                  <c:v>218.37</c:v>
                </c:pt>
                <c:pt idx="56">
                  <c:v>217.96</c:v>
                </c:pt>
                <c:pt idx="57">
                  <c:v>219.09</c:v>
                </c:pt>
                <c:pt idx="58">
                  <c:v>218.46</c:v>
                </c:pt>
                <c:pt idx="59">
                  <c:v>218.65</c:v>
                </c:pt>
                <c:pt idx="60">
                  <c:v>217.64</c:v>
                </c:pt>
                <c:pt idx="61">
                  <c:v>218.18</c:v>
                </c:pt>
                <c:pt idx="62">
                  <c:v>218.05</c:v>
                </c:pt>
                <c:pt idx="63">
                  <c:v>218.18</c:v>
                </c:pt>
                <c:pt idx="64">
                  <c:v>216.41</c:v>
                </c:pt>
                <c:pt idx="65">
                  <c:v>216.18</c:v>
                </c:pt>
                <c:pt idx="66" formatCode="General">
                  <c:v>215.55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1554224"/>
        <c:axId val="711551480"/>
      </c:lineChart>
      <c:dateAx>
        <c:axId val="711554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1551480"/>
        <c:crosses val="autoZero"/>
        <c:auto val="1"/>
        <c:lblOffset val="100"/>
        <c:baseTimeUnit val="days"/>
      </c:dateAx>
      <c:valAx>
        <c:axId val="711551480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1554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42676</c:v>
                </c:pt>
                <c:pt idx="1">
                  <c:v>42675</c:v>
                </c:pt>
                <c:pt idx="2">
                  <c:v>42674</c:v>
                </c:pt>
                <c:pt idx="3">
                  <c:v>42671</c:v>
                </c:pt>
                <c:pt idx="4">
                  <c:v>42670</c:v>
                </c:pt>
                <c:pt idx="5">
                  <c:v>42669</c:v>
                </c:pt>
                <c:pt idx="6">
                  <c:v>42668</c:v>
                </c:pt>
                <c:pt idx="7">
                  <c:v>42667</c:v>
                </c:pt>
                <c:pt idx="8">
                  <c:v>42664</c:v>
                </c:pt>
                <c:pt idx="9">
                  <c:v>42663</c:v>
                </c:pt>
                <c:pt idx="10">
                  <c:v>42662</c:v>
                </c:pt>
                <c:pt idx="11">
                  <c:v>42661</c:v>
                </c:pt>
                <c:pt idx="12">
                  <c:v>42660</c:v>
                </c:pt>
                <c:pt idx="13">
                  <c:v>42657</c:v>
                </c:pt>
                <c:pt idx="14">
                  <c:v>42656</c:v>
                </c:pt>
                <c:pt idx="15">
                  <c:v>42655</c:v>
                </c:pt>
                <c:pt idx="16">
                  <c:v>42654</c:v>
                </c:pt>
                <c:pt idx="17">
                  <c:v>42653</c:v>
                </c:pt>
                <c:pt idx="18">
                  <c:v>42650</c:v>
                </c:pt>
                <c:pt idx="19">
                  <c:v>42649</c:v>
                </c:pt>
                <c:pt idx="20">
                  <c:v>42648</c:v>
                </c:pt>
                <c:pt idx="21">
                  <c:v>42647</c:v>
                </c:pt>
                <c:pt idx="22">
                  <c:v>42646</c:v>
                </c:pt>
                <c:pt idx="23">
                  <c:v>42643</c:v>
                </c:pt>
                <c:pt idx="24">
                  <c:v>42642</c:v>
                </c:pt>
                <c:pt idx="25">
                  <c:v>42641</c:v>
                </c:pt>
                <c:pt idx="26">
                  <c:v>42640</c:v>
                </c:pt>
                <c:pt idx="27">
                  <c:v>42639</c:v>
                </c:pt>
                <c:pt idx="28">
                  <c:v>42636</c:v>
                </c:pt>
                <c:pt idx="29">
                  <c:v>42635</c:v>
                </c:pt>
                <c:pt idx="30">
                  <c:v>42634</c:v>
                </c:pt>
                <c:pt idx="31">
                  <c:v>42633</c:v>
                </c:pt>
                <c:pt idx="32">
                  <c:v>42632</c:v>
                </c:pt>
                <c:pt idx="33">
                  <c:v>42629</c:v>
                </c:pt>
                <c:pt idx="34">
                  <c:v>42628</c:v>
                </c:pt>
                <c:pt idx="35">
                  <c:v>42627</c:v>
                </c:pt>
                <c:pt idx="36">
                  <c:v>42626</c:v>
                </c:pt>
                <c:pt idx="37">
                  <c:v>42625</c:v>
                </c:pt>
                <c:pt idx="38">
                  <c:v>42622</c:v>
                </c:pt>
                <c:pt idx="39">
                  <c:v>42621</c:v>
                </c:pt>
                <c:pt idx="40">
                  <c:v>42620</c:v>
                </c:pt>
                <c:pt idx="41">
                  <c:v>42619</c:v>
                </c:pt>
                <c:pt idx="42">
                  <c:v>42615</c:v>
                </c:pt>
                <c:pt idx="43">
                  <c:v>42614</c:v>
                </c:pt>
                <c:pt idx="44">
                  <c:v>42613</c:v>
                </c:pt>
                <c:pt idx="45">
                  <c:v>42612</c:v>
                </c:pt>
                <c:pt idx="46">
                  <c:v>42611</c:v>
                </c:pt>
                <c:pt idx="47">
                  <c:v>42608</c:v>
                </c:pt>
                <c:pt idx="48">
                  <c:v>42607</c:v>
                </c:pt>
                <c:pt idx="49">
                  <c:v>42606</c:v>
                </c:pt>
                <c:pt idx="50">
                  <c:v>42605</c:v>
                </c:pt>
                <c:pt idx="51">
                  <c:v>42604</c:v>
                </c:pt>
                <c:pt idx="52">
                  <c:v>42601</c:v>
                </c:pt>
                <c:pt idx="53">
                  <c:v>42600</c:v>
                </c:pt>
                <c:pt idx="54">
                  <c:v>42599</c:v>
                </c:pt>
                <c:pt idx="55">
                  <c:v>42598</c:v>
                </c:pt>
                <c:pt idx="56">
                  <c:v>42597</c:v>
                </c:pt>
                <c:pt idx="57">
                  <c:v>42594</c:v>
                </c:pt>
                <c:pt idx="58">
                  <c:v>42593</c:v>
                </c:pt>
                <c:pt idx="59">
                  <c:v>42592</c:v>
                </c:pt>
                <c:pt idx="60">
                  <c:v>42591</c:v>
                </c:pt>
                <c:pt idx="61">
                  <c:v>42590</c:v>
                </c:pt>
                <c:pt idx="62">
                  <c:v>42587</c:v>
                </c:pt>
                <c:pt idx="63">
                  <c:v>42586</c:v>
                </c:pt>
                <c:pt idx="64">
                  <c:v>42585</c:v>
                </c:pt>
                <c:pt idx="65">
                  <c:v>42584</c:v>
                </c:pt>
                <c:pt idx="66">
                  <c:v>42584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75.03</c:v>
                </c:pt>
                <c:pt idx="1">
                  <c:v>75.81</c:v>
                </c:pt>
                <c:pt idx="2">
                  <c:v>76.94</c:v>
                </c:pt>
                <c:pt idx="3">
                  <c:v>75.72</c:v>
                </c:pt>
                <c:pt idx="4">
                  <c:v>77.260000000000005</c:v>
                </c:pt>
                <c:pt idx="5">
                  <c:v>77.540000000000006</c:v>
                </c:pt>
                <c:pt idx="6">
                  <c:v>78.08</c:v>
                </c:pt>
                <c:pt idx="7">
                  <c:v>78.489999999999995</c:v>
                </c:pt>
                <c:pt idx="8">
                  <c:v>77.47</c:v>
                </c:pt>
                <c:pt idx="9">
                  <c:v>78.09</c:v>
                </c:pt>
                <c:pt idx="10">
                  <c:v>77.91</c:v>
                </c:pt>
                <c:pt idx="11">
                  <c:v>77.650000000000006</c:v>
                </c:pt>
                <c:pt idx="12">
                  <c:v>76.7</c:v>
                </c:pt>
                <c:pt idx="13">
                  <c:v>77.63</c:v>
                </c:pt>
                <c:pt idx="14">
                  <c:v>77.41</c:v>
                </c:pt>
                <c:pt idx="15">
                  <c:v>78.819999999999993</c:v>
                </c:pt>
                <c:pt idx="16">
                  <c:v>79.430000000000007</c:v>
                </c:pt>
                <c:pt idx="17">
                  <c:v>80.150000000000006</c:v>
                </c:pt>
                <c:pt idx="18">
                  <c:v>79.37</c:v>
                </c:pt>
                <c:pt idx="19">
                  <c:v>79.34</c:v>
                </c:pt>
                <c:pt idx="20">
                  <c:v>77.75</c:v>
                </c:pt>
                <c:pt idx="21">
                  <c:v>76.59</c:v>
                </c:pt>
                <c:pt idx="22">
                  <c:v>75.33</c:v>
                </c:pt>
                <c:pt idx="23">
                  <c:v>76.14</c:v>
                </c:pt>
                <c:pt idx="24">
                  <c:v>73.260000000000005</c:v>
                </c:pt>
                <c:pt idx="25">
                  <c:v>74.27</c:v>
                </c:pt>
                <c:pt idx="26">
                  <c:v>73.92</c:v>
                </c:pt>
                <c:pt idx="27">
                  <c:v>72.819999999999993</c:v>
                </c:pt>
                <c:pt idx="28">
                  <c:v>74.77</c:v>
                </c:pt>
                <c:pt idx="29">
                  <c:v>76.900000000000006</c:v>
                </c:pt>
                <c:pt idx="30">
                  <c:v>76.739999999999995</c:v>
                </c:pt>
                <c:pt idx="31">
                  <c:v>75.72</c:v>
                </c:pt>
                <c:pt idx="32">
                  <c:v>76.09</c:v>
                </c:pt>
                <c:pt idx="33">
                  <c:v>76.069999999999993</c:v>
                </c:pt>
                <c:pt idx="34">
                  <c:v>77.02</c:v>
                </c:pt>
                <c:pt idx="35">
                  <c:v>72.400000000000006</c:v>
                </c:pt>
                <c:pt idx="36">
                  <c:v>69.36</c:v>
                </c:pt>
                <c:pt idx="37">
                  <c:v>68.34</c:v>
                </c:pt>
                <c:pt idx="38">
                  <c:v>66.760000000000005</c:v>
                </c:pt>
                <c:pt idx="39">
                  <c:v>71.430000000000007</c:v>
                </c:pt>
                <c:pt idx="40">
                  <c:v>72.05</c:v>
                </c:pt>
                <c:pt idx="41">
                  <c:v>73.010000000000005</c:v>
                </c:pt>
                <c:pt idx="42">
                  <c:v>74.62</c:v>
                </c:pt>
                <c:pt idx="43">
                  <c:v>75.09</c:v>
                </c:pt>
                <c:pt idx="44">
                  <c:v>74.86</c:v>
                </c:pt>
                <c:pt idx="45">
                  <c:v>74.2</c:v>
                </c:pt>
                <c:pt idx="46">
                  <c:v>75.22</c:v>
                </c:pt>
                <c:pt idx="47">
                  <c:v>74.84</c:v>
                </c:pt>
                <c:pt idx="48">
                  <c:v>74.33</c:v>
                </c:pt>
                <c:pt idx="49">
                  <c:v>73.290000000000006</c:v>
                </c:pt>
                <c:pt idx="50">
                  <c:v>73.78</c:v>
                </c:pt>
                <c:pt idx="51">
                  <c:v>72.62</c:v>
                </c:pt>
                <c:pt idx="52">
                  <c:v>72.290000000000006</c:v>
                </c:pt>
                <c:pt idx="53">
                  <c:v>71.8</c:v>
                </c:pt>
                <c:pt idx="54">
                  <c:v>70.19</c:v>
                </c:pt>
                <c:pt idx="55">
                  <c:v>69.599999999999994</c:v>
                </c:pt>
                <c:pt idx="56">
                  <c:v>69.5</c:v>
                </c:pt>
                <c:pt idx="57">
                  <c:v>67.53</c:v>
                </c:pt>
                <c:pt idx="58">
                  <c:v>67.41</c:v>
                </c:pt>
                <c:pt idx="59">
                  <c:v>66.41</c:v>
                </c:pt>
                <c:pt idx="60">
                  <c:v>67</c:v>
                </c:pt>
                <c:pt idx="61">
                  <c:v>65.94</c:v>
                </c:pt>
                <c:pt idx="62">
                  <c:v>66.55</c:v>
                </c:pt>
                <c:pt idx="63">
                  <c:v>65.16</c:v>
                </c:pt>
                <c:pt idx="64">
                  <c:v>64.39</c:v>
                </c:pt>
                <c:pt idx="65">
                  <c:v>65.040000000000006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1552656"/>
        <c:axId val="711551088"/>
      </c:lineChart>
      <c:dateAx>
        <c:axId val="7115526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1551088"/>
        <c:crosses val="autoZero"/>
        <c:auto val="1"/>
        <c:lblOffset val="100"/>
        <c:baseTimeUnit val="days"/>
      </c:dateAx>
      <c:valAx>
        <c:axId val="71155108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1552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42676</c:v>
                </c:pt>
                <c:pt idx="1">
                  <c:v>42675</c:v>
                </c:pt>
                <c:pt idx="2">
                  <c:v>42674</c:v>
                </c:pt>
                <c:pt idx="3">
                  <c:v>42671</c:v>
                </c:pt>
                <c:pt idx="4">
                  <c:v>42670</c:v>
                </c:pt>
                <c:pt idx="5">
                  <c:v>42669</c:v>
                </c:pt>
                <c:pt idx="6">
                  <c:v>42668</c:v>
                </c:pt>
                <c:pt idx="7">
                  <c:v>42667</c:v>
                </c:pt>
                <c:pt idx="8">
                  <c:v>42664</c:v>
                </c:pt>
                <c:pt idx="9">
                  <c:v>42663</c:v>
                </c:pt>
                <c:pt idx="10">
                  <c:v>42662</c:v>
                </c:pt>
                <c:pt idx="11">
                  <c:v>42661</c:v>
                </c:pt>
                <c:pt idx="12">
                  <c:v>42660</c:v>
                </c:pt>
                <c:pt idx="13">
                  <c:v>42657</c:v>
                </c:pt>
                <c:pt idx="14">
                  <c:v>42656</c:v>
                </c:pt>
                <c:pt idx="15">
                  <c:v>42655</c:v>
                </c:pt>
                <c:pt idx="16">
                  <c:v>42654</c:v>
                </c:pt>
                <c:pt idx="17">
                  <c:v>42653</c:v>
                </c:pt>
                <c:pt idx="18">
                  <c:v>42650</c:v>
                </c:pt>
                <c:pt idx="19">
                  <c:v>42649</c:v>
                </c:pt>
                <c:pt idx="20">
                  <c:v>42648</c:v>
                </c:pt>
                <c:pt idx="21">
                  <c:v>42647</c:v>
                </c:pt>
                <c:pt idx="22">
                  <c:v>42646</c:v>
                </c:pt>
                <c:pt idx="23">
                  <c:v>42643</c:v>
                </c:pt>
                <c:pt idx="24">
                  <c:v>42642</c:v>
                </c:pt>
                <c:pt idx="25">
                  <c:v>42641</c:v>
                </c:pt>
                <c:pt idx="26">
                  <c:v>42640</c:v>
                </c:pt>
                <c:pt idx="27">
                  <c:v>42639</c:v>
                </c:pt>
                <c:pt idx="28">
                  <c:v>42636</c:v>
                </c:pt>
                <c:pt idx="29">
                  <c:v>42635</c:v>
                </c:pt>
                <c:pt idx="30">
                  <c:v>42634</c:v>
                </c:pt>
                <c:pt idx="31">
                  <c:v>42633</c:v>
                </c:pt>
                <c:pt idx="32">
                  <c:v>42632</c:v>
                </c:pt>
                <c:pt idx="33">
                  <c:v>42629</c:v>
                </c:pt>
                <c:pt idx="34">
                  <c:v>42628</c:v>
                </c:pt>
                <c:pt idx="35">
                  <c:v>42627</c:v>
                </c:pt>
                <c:pt idx="36">
                  <c:v>42626</c:v>
                </c:pt>
                <c:pt idx="37">
                  <c:v>42625</c:v>
                </c:pt>
                <c:pt idx="38">
                  <c:v>42622</c:v>
                </c:pt>
                <c:pt idx="39">
                  <c:v>42621</c:v>
                </c:pt>
                <c:pt idx="40">
                  <c:v>42620</c:v>
                </c:pt>
                <c:pt idx="41">
                  <c:v>42620</c:v>
                </c:pt>
                <c:pt idx="42">
                  <c:v>42619</c:v>
                </c:pt>
                <c:pt idx="43">
                  <c:v>42615</c:v>
                </c:pt>
                <c:pt idx="44">
                  <c:v>42614</c:v>
                </c:pt>
                <c:pt idx="45">
                  <c:v>42613</c:v>
                </c:pt>
                <c:pt idx="46">
                  <c:v>42612</c:v>
                </c:pt>
                <c:pt idx="47">
                  <c:v>42611</c:v>
                </c:pt>
                <c:pt idx="48">
                  <c:v>42608</c:v>
                </c:pt>
                <c:pt idx="49">
                  <c:v>42607</c:v>
                </c:pt>
                <c:pt idx="50">
                  <c:v>42606</c:v>
                </c:pt>
                <c:pt idx="51">
                  <c:v>42605</c:v>
                </c:pt>
                <c:pt idx="52">
                  <c:v>42604</c:v>
                </c:pt>
                <c:pt idx="53">
                  <c:v>42601</c:v>
                </c:pt>
                <c:pt idx="54">
                  <c:v>42600</c:v>
                </c:pt>
                <c:pt idx="55">
                  <c:v>42599</c:v>
                </c:pt>
                <c:pt idx="56">
                  <c:v>42598</c:v>
                </c:pt>
                <c:pt idx="57">
                  <c:v>42597</c:v>
                </c:pt>
                <c:pt idx="58">
                  <c:v>42594</c:v>
                </c:pt>
                <c:pt idx="59">
                  <c:v>42593</c:v>
                </c:pt>
                <c:pt idx="60">
                  <c:v>42592</c:v>
                </c:pt>
                <c:pt idx="61">
                  <c:v>42591</c:v>
                </c:pt>
                <c:pt idx="62">
                  <c:v>42590</c:v>
                </c:pt>
                <c:pt idx="63">
                  <c:v>42587</c:v>
                </c:pt>
                <c:pt idx="64">
                  <c:v>42586</c:v>
                </c:pt>
                <c:pt idx="65">
                  <c:v>42585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62.3</c:v>
                </c:pt>
                <c:pt idx="1">
                  <c:v>62.08</c:v>
                </c:pt>
                <c:pt idx="2">
                  <c:v>62.87</c:v>
                </c:pt>
                <c:pt idx="3">
                  <c:v>63.1</c:v>
                </c:pt>
                <c:pt idx="4">
                  <c:v>63.41</c:v>
                </c:pt>
                <c:pt idx="5">
                  <c:v>63.09</c:v>
                </c:pt>
                <c:pt idx="6">
                  <c:v>65.69</c:v>
                </c:pt>
                <c:pt idx="7">
                  <c:v>65.56</c:v>
                </c:pt>
                <c:pt idx="8">
                  <c:v>65.58</c:v>
                </c:pt>
                <c:pt idx="9">
                  <c:v>65.67</c:v>
                </c:pt>
                <c:pt idx="10">
                  <c:v>66.790000000000006</c:v>
                </c:pt>
                <c:pt idx="11">
                  <c:v>66.95</c:v>
                </c:pt>
                <c:pt idx="12">
                  <c:v>66.31</c:v>
                </c:pt>
                <c:pt idx="13">
                  <c:v>66.319999999999993</c:v>
                </c:pt>
                <c:pt idx="14">
                  <c:v>66.489999999999995</c:v>
                </c:pt>
                <c:pt idx="15">
                  <c:v>66.239999999999995</c:v>
                </c:pt>
                <c:pt idx="16">
                  <c:v>66.58</c:v>
                </c:pt>
                <c:pt idx="17">
                  <c:v>67.010000000000005</c:v>
                </c:pt>
                <c:pt idx="18">
                  <c:v>66.44</c:v>
                </c:pt>
                <c:pt idx="19">
                  <c:v>66.98</c:v>
                </c:pt>
                <c:pt idx="20">
                  <c:v>67</c:v>
                </c:pt>
                <c:pt idx="21">
                  <c:v>65.930000000000007</c:v>
                </c:pt>
                <c:pt idx="22">
                  <c:v>65.94</c:v>
                </c:pt>
                <c:pt idx="23">
                  <c:v>65.400000000000006</c:v>
                </c:pt>
                <c:pt idx="24">
                  <c:v>64.55</c:v>
                </c:pt>
                <c:pt idx="25">
                  <c:v>64.459999999999994</c:v>
                </c:pt>
                <c:pt idx="26">
                  <c:v>64</c:v>
                </c:pt>
                <c:pt idx="27">
                  <c:v>63.72</c:v>
                </c:pt>
                <c:pt idx="28">
                  <c:v>64.11</c:v>
                </c:pt>
                <c:pt idx="29">
                  <c:v>64.930000000000007</c:v>
                </c:pt>
                <c:pt idx="30">
                  <c:v>64.290000000000006</c:v>
                </c:pt>
                <c:pt idx="31">
                  <c:v>62.8</c:v>
                </c:pt>
                <c:pt idx="32">
                  <c:v>62.93</c:v>
                </c:pt>
                <c:pt idx="33">
                  <c:v>62.67</c:v>
                </c:pt>
                <c:pt idx="34">
                  <c:v>62.62</c:v>
                </c:pt>
                <c:pt idx="35">
                  <c:v>61.31</c:v>
                </c:pt>
                <c:pt idx="36">
                  <c:v>61.4</c:v>
                </c:pt>
                <c:pt idx="37">
                  <c:v>62.83</c:v>
                </c:pt>
                <c:pt idx="38">
                  <c:v>62.18</c:v>
                </c:pt>
                <c:pt idx="39">
                  <c:v>64.81</c:v>
                </c:pt>
                <c:pt idx="40">
                  <c:v>65.05</c:v>
                </c:pt>
                <c:pt idx="42">
                  <c:v>65.44</c:v>
                </c:pt>
                <c:pt idx="43">
                  <c:v>65.459999999999994</c:v>
                </c:pt>
                <c:pt idx="44">
                  <c:v>64.67</c:v>
                </c:pt>
                <c:pt idx="45">
                  <c:v>64.31</c:v>
                </c:pt>
                <c:pt idx="46">
                  <c:v>64.930000000000007</c:v>
                </c:pt>
                <c:pt idx="47">
                  <c:v>65.38</c:v>
                </c:pt>
                <c:pt idx="48">
                  <c:v>65.099999999999994</c:v>
                </c:pt>
                <c:pt idx="49">
                  <c:v>64.959999999999994</c:v>
                </c:pt>
                <c:pt idx="50">
                  <c:v>64.959999999999994</c:v>
                </c:pt>
                <c:pt idx="51">
                  <c:v>65.16</c:v>
                </c:pt>
                <c:pt idx="52">
                  <c:v>64.92</c:v>
                </c:pt>
                <c:pt idx="53">
                  <c:v>64.81</c:v>
                </c:pt>
                <c:pt idx="54">
                  <c:v>64.739999999999995</c:v>
                </c:pt>
                <c:pt idx="55">
                  <c:v>64.239999999999995</c:v>
                </c:pt>
                <c:pt idx="56">
                  <c:v>63.44</c:v>
                </c:pt>
                <c:pt idx="57">
                  <c:v>63.36</c:v>
                </c:pt>
                <c:pt idx="58">
                  <c:v>63.09</c:v>
                </c:pt>
                <c:pt idx="59">
                  <c:v>63.53</c:v>
                </c:pt>
                <c:pt idx="60">
                  <c:v>62.7</c:v>
                </c:pt>
                <c:pt idx="61">
                  <c:v>62.74</c:v>
                </c:pt>
                <c:pt idx="62">
                  <c:v>62.29</c:v>
                </c:pt>
                <c:pt idx="63">
                  <c:v>61.95</c:v>
                </c:pt>
                <c:pt idx="64">
                  <c:v>61.8</c:v>
                </c:pt>
                <c:pt idx="65">
                  <c:v>62.26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1555400"/>
        <c:axId val="711549520"/>
      </c:lineChart>
      <c:dateAx>
        <c:axId val="7115554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1549520"/>
        <c:crosses val="autoZero"/>
        <c:auto val="1"/>
        <c:lblOffset val="100"/>
        <c:baseTimeUnit val="days"/>
      </c:dateAx>
      <c:valAx>
        <c:axId val="71154952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1555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42676</c:v>
                </c:pt>
                <c:pt idx="1">
                  <c:v>42675</c:v>
                </c:pt>
                <c:pt idx="2">
                  <c:v>42674</c:v>
                </c:pt>
                <c:pt idx="3">
                  <c:v>42671</c:v>
                </c:pt>
                <c:pt idx="4">
                  <c:v>42670</c:v>
                </c:pt>
                <c:pt idx="5">
                  <c:v>42669</c:v>
                </c:pt>
                <c:pt idx="6">
                  <c:v>42668</c:v>
                </c:pt>
                <c:pt idx="7">
                  <c:v>42667</c:v>
                </c:pt>
                <c:pt idx="8">
                  <c:v>42664</c:v>
                </c:pt>
                <c:pt idx="9">
                  <c:v>42663</c:v>
                </c:pt>
                <c:pt idx="10">
                  <c:v>42662</c:v>
                </c:pt>
                <c:pt idx="11">
                  <c:v>42661</c:v>
                </c:pt>
                <c:pt idx="12">
                  <c:v>42660</c:v>
                </c:pt>
                <c:pt idx="13">
                  <c:v>42657</c:v>
                </c:pt>
                <c:pt idx="14">
                  <c:v>42656</c:v>
                </c:pt>
                <c:pt idx="15">
                  <c:v>42655</c:v>
                </c:pt>
                <c:pt idx="16">
                  <c:v>42654</c:v>
                </c:pt>
                <c:pt idx="17">
                  <c:v>42653</c:v>
                </c:pt>
                <c:pt idx="18">
                  <c:v>42650</c:v>
                </c:pt>
                <c:pt idx="19">
                  <c:v>42649</c:v>
                </c:pt>
                <c:pt idx="20">
                  <c:v>42648</c:v>
                </c:pt>
                <c:pt idx="21">
                  <c:v>42647</c:v>
                </c:pt>
                <c:pt idx="22">
                  <c:v>42646</c:v>
                </c:pt>
                <c:pt idx="23">
                  <c:v>42643</c:v>
                </c:pt>
                <c:pt idx="24">
                  <c:v>42642</c:v>
                </c:pt>
                <c:pt idx="25">
                  <c:v>42641</c:v>
                </c:pt>
                <c:pt idx="26">
                  <c:v>42640</c:v>
                </c:pt>
                <c:pt idx="27">
                  <c:v>42639</c:v>
                </c:pt>
                <c:pt idx="28">
                  <c:v>42636</c:v>
                </c:pt>
                <c:pt idx="29">
                  <c:v>42635</c:v>
                </c:pt>
                <c:pt idx="30">
                  <c:v>42634</c:v>
                </c:pt>
                <c:pt idx="31">
                  <c:v>42633</c:v>
                </c:pt>
                <c:pt idx="32">
                  <c:v>42632</c:v>
                </c:pt>
                <c:pt idx="33">
                  <c:v>42629</c:v>
                </c:pt>
                <c:pt idx="34">
                  <c:v>42628</c:v>
                </c:pt>
                <c:pt idx="35">
                  <c:v>42627</c:v>
                </c:pt>
                <c:pt idx="36">
                  <c:v>42626</c:v>
                </c:pt>
                <c:pt idx="37">
                  <c:v>42625</c:v>
                </c:pt>
                <c:pt idx="38">
                  <c:v>42622</c:v>
                </c:pt>
                <c:pt idx="39">
                  <c:v>42621</c:v>
                </c:pt>
                <c:pt idx="40">
                  <c:v>42620</c:v>
                </c:pt>
                <c:pt idx="41">
                  <c:v>42619</c:v>
                </c:pt>
                <c:pt idx="42">
                  <c:v>42615</c:v>
                </c:pt>
                <c:pt idx="43">
                  <c:v>42614</c:v>
                </c:pt>
                <c:pt idx="44">
                  <c:v>42613</c:v>
                </c:pt>
                <c:pt idx="45">
                  <c:v>42612</c:v>
                </c:pt>
                <c:pt idx="46">
                  <c:v>42611</c:v>
                </c:pt>
                <c:pt idx="47">
                  <c:v>42608</c:v>
                </c:pt>
                <c:pt idx="48">
                  <c:v>42607</c:v>
                </c:pt>
                <c:pt idx="49">
                  <c:v>42606</c:v>
                </c:pt>
                <c:pt idx="50">
                  <c:v>42605</c:v>
                </c:pt>
                <c:pt idx="51">
                  <c:v>42604</c:v>
                </c:pt>
                <c:pt idx="52">
                  <c:v>42601</c:v>
                </c:pt>
                <c:pt idx="53">
                  <c:v>42600</c:v>
                </c:pt>
                <c:pt idx="54">
                  <c:v>42599</c:v>
                </c:pt>
                <c:pt idx="55">
                  <c:v>42598</c:v>
                </c:pt>
                <c:pt idx="56">
                  <c:v>42597</c:v>
                </c:pt>
                <c:pt idx="57">
                  <c:v>42594</c:v>
                </c:pt>
                <c:pt idx="58">
                  <c:v>42593</c:v>
                </c:pt>
                <c:pt idx="59">
                  <c:v>42592</c:v>
                </c:pt>
                <c:pt idx="60">
                  <c:v>42591</c:v>
                </c:pt>
                <c:pt idx="61">
                  <c:v>42590</c:v>
                </c:pt>
                <c:pt idx="62">
                  <c:v>42587</c:v>
                </c:pt>
                <c:pt idx="63">
                  <c:v>42586</c:v>
                </c:pt>
                <c:pt idx="64">
                  <c:v>42585</c:v>
                </c:pt>
                <c:pt idx="65">
                  <c:v>42585</c:v>
                </c:pt>
                <c:pt idx="66">
                  <c:v>42584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45.24</c:v>
                </c:pt>
                <c:pt idx="1">
                  <c:v>45.99</c:v>
                </c:pt>
                <c:pt idx="2">
                  <c:v>46.01</c:v>
                </c:pt>
                <c:pt idx="3">
                  <c:v>46.23</c:v>
                </c:pt>
                <c:pt idx="4">
                  <c:v>46.41</c:v>
                </c:pt>
                <c:pt idx="5">
                  <c:v>46.15</c:v>
                </c:pt>
                <c:pt idx="6">
                  <c:v>45.72</c:v>
                </c:pt>
                <c:pt idx="7">
                  <c:v>45.52</c:v>
                </c:pt>
                <c:pt idx="8">
                  <c:v>45.09</c:v>
                </c:pt>
                <c:pt idx="9">
                  <c:v>44.93</c:v>
                </c:pt>
                <c:pt idx="10">
                  <c:v>45.26</c:v>
                </c:pt>
                <c:pt idx="11">
                  <c:v>44.95</c:v>
                </c:pt>
                <c:pt idx="12">
                  <c:v>44.5</c:v>
                </c:pt>
                <c:pt idx="13">
                  <c:v>44.71</c:v>
                </c:pt>
                <c:pt idx="14">
                  <c:v>44.75</c:v>
                </c:pt>
                <c:pt idx="15">
                  <c:v>45.32</c:v>
                </c:pt>
                <c:pt idx="16">
                  <c:v>45.45</c:v>
                </c:pt>
                <c:pt idx="17">
                  <c:v>45.65</c:v>
                </c:pt>
                <c:pt idx="18">
                  <c:v>45.33</c:v>
                </c:pt>
                <c:pt idx="19">
                  <c:v>45.18</c:v>
                </c:pt>
                <c:pt idx="20">
                  <c:v>44.99</c:v>
                </c:pt>
                <c:pt idx="21">
                  <c:v>43.75</c:v>
                </c:pt>
                <c:pt idx="22">
                  <c:v>43.83</c:v>
                </c:pt>
                <c:pt idx="23">
                  <c:v>44.28</c:v>
                </c:pt>
                <c:pt idx="24">
                  <c:v>44.37</c:v>
                </c:pt>
                <c:pt idx="25">
                  <c:v>45.31</c:v>
                </c:pt>
                <c:pt idx="26">
                  <c:v>45.09</c:v>
                </c:pt>
                <c:pt idx="27">
                  <c:v>44.88</c:v>
                </c:pt>
                <c:pt idx="28">
                  <c:v>45.74</c:v>
                </c:pt>
                <c:pt idx="29">
                  <c:v>45.72</c:v>
                </c:pt>
                <c:pt idx="30">
                  <c:v>45.83</c:v>
                </c:pt>
                <c:pt idx="31">
                  <c:v>46.56</c:v>
                </c:pt>
                <c:pt idx="32">
                  <c:v>46.01</c:v>
                </c:pt>
                <c:pt idx="33">
                  <c:v>45.43</c:v>
                </c:pt>
                <c:pt idx="34">
                  <c:v>46.15</c:v>
                </c:pt>
                <c:pt idx="35">
                  <c:v>46.52</c:v>
                </c:pt>
                <c:pt idx="36">
                  <c:v>46.96</c:v>
                </c:pt>
                <c:pt idx="37">
                  <c:v>48.54</c:v>
                </c:pt>
                <c:pt idx="38">
                  <c:v>48.72</c:v>
                </c:pt>
                <c:pt idx="39">
                  <c:v>49.9</c:v>
                </c:pt>
                <c:pt idx="40">
                  <c:v>49.77</c:v>
                </c:pt>
                <c:pt idx="41">
                  <c:v>49.99</c:v>
                </c:pt>
                <c:pt idx="42">
                  <c:v>50.55</c:v>
                </c:pt>
                <c:pt idx="43">
                  <c:v>50.43</c:v>
                </c:pt>
                <c:pt idx="44">
                  <c:v>50.8</c:v>
                </c:pt>
                <c:pt idx="45">
                  <c:v>50.62</c:v>
                </c:pt>
                <c:pt idx="46">
                  <c:v>49.56</c:v>
                </c:pt>
                <c:pt idx="47">
                  <c:v>48.51</c:v>
                </c:pt>
                <c:pt idx="48">
                  <c:v>48.38</c:v>
                </c:pt>
                <c:pt idx="49">
                  <c:v>48.63</c:v>
                </c:pt>
                <c:pt idx="50">
                  <c:v>48.41</c:v>
                </c:pt>
                <c:pt idx="51">
                  <c:v>48.63</c:v>
                </c:pt>
                <c:pt idx="52">
                  <c:v>48.65</c:v>
                </c:pt>
                <c:pt idx="53">
                  <c:v>48.53</c:v>
                </c:pt>
                <c:pt idx="54">
                  <c:v>48.61</c:v>
                </c:pt>
                <c:pt idx="55">
                  <c:v>48.44</c:v>
                </c:pt>
                <c:pt idx="56">
                  <c:v>48.27</c:v>
                </c:pt>
                <c:pt idx="57">
                  <c:v>47.9</c:v>
                </c:pt>
                <c:pt idx="58">
                  <c:v>48.24</c:v>
                </c:pt>
                <c:pt idx="59">
                  <c:v>48.18</c:v>
                </c:pt>
                <c:pt idx="60">
                  <c:v>48.93</c:v>
                </c:pt>
                <c:pt idx="61">
                  <c:v>48.91</c:v>
                </c:pt>
                <c:pt idx="62">
                  <c:v>48.68</c:v>
                </c:pt>
                <c:pt idx="63">
                  <c:v>47.84</c:v>
                </c:pt>
                <c:pt idx="64">
                  <c:v>47.57</c:v>
                </c:pt>
                <c:pt idx="66">
                  <c:v>47.7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1553832"/>
        <c:axId val="711531096"/>
      </c:lineChart>
      <c:dateAx>
        <c:axId val="711553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1531096"/>
        <c:crosses val="autoZero"/>
        <c:auto val="1"/>
        <c:lblOffset val="100"/>
        <c:baseTimeUnit val="days"/>
      </c:dateAx>
      <c:valAx>
        <c:axId val="711531096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1553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AA!$W$2:$W$3</c:f>
              <c:numCache>
                <c:formatCode>d\-mmm\-yy</c:formatCode>
                <c:ptCount val="2"/>
                <c:pt idx="0">
                  <c:v>42676</c:v>
                </c:pt>
                <c:pt idx="1">
                  <c:v>42675</c:v>
                </c:pt>
              </c:numCache>
            </c:numRef>
          </c:cat>
          <c:val>
            <c:numRef>
              <c:f>AA!$AA$2:$AA$3</c:f>
              <c:numCache>
                <c:formatCode>General</c:formatCode>
                <c:ptCount val="2"/>
                <c:pt idx="0">
                  <c:v>22.91</c:v>
                </c:pt>
                <c:pt idx="1">
                  <c:v>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1529920"/>
        <c:axId val="711526392"/>
      </c:lineChart>
      <c:dateAx>
        <c:axId val="711529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1526392"/>
        <c:crosses val="autoZero"/>
        <c:auto val="1"/>
        <c:lblOffset val="100"/>
        <c:baseTimeUnit val="days"/>
      </c:dateAx>
      <c:valAx>
        <c:axId val="711526392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1529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42676</c:v>
                </c:pt>
                <c:pt idx="1">
                  <c:v>42675</c:v>
                </c:pt>
                <c:pt idx="2">
                  <c:v>42674</c:v>
                </c:pt>
                <c:pt idx="3">
                  <c:v>42671</c:v>
                </c:pt>
                <c:pt idx="4">
                  <c:v>42670</c:v>
                </c:pt>
                <c:pt idx="5">
                  <c:v>42669</c:v>
                </c:pt>
                <c:pt idx="6">
                  <c:v>42668</c:v>
                </c:pt>
                <c:pt idx="7">
                  <c:v>42667</c:v>
                </c:pt>
                <c:pt idx="8">
                  <c:v>42664</c:v>
                </c:pt>
                <c:pt idx="9">
                  <c:v>42663</c:v>
                </c:pt>
                <c:pt idx="10">
                  <c:v>42662</c:v>
                </c:pt>
                <c:pt idx="11">
                  <c:v>42661</c:v>
                </c:pt>
                <c:pt idx="12">
                  <c:v>42660</c:v>
                </c:pt>
                <c:pt idx="13">
                  <c:v>42657</c:v>
                </c:pt>
                <c:pt idx="14">
                  <c:v>42656</c:v>
                </c:pt>
                <c:pt idx="15">
                  <c:v>42655</c:v>
                </c:pt>
                <c:pt idx="16">
                  <c:v>42654</c:v>
                </c:pt>
                <c:pt idx="17">
                  <c:v>42653</c:v>
                </c:pt>
                <c:pt idx="18">
                  <c:v>42650</c:v>
                </c:pt>
                <c:pt idx="19">
                  <c:v>42649</c:v>
                </c:pt>
                <c:pt idx="20">
                  <c:v>42648</c:v>
                </c:pt>
                <c:pt idx="21">
                  <c:v>42647</c:v>
                </c:pt>
                <c:pt idx="22">
                  <c:v>42646</c:v>
                </c:pt>
                <c:pt idx="23">
                  <c:v>42643</c:v>
                </c:pt>
                <c:pt idx="24">
                  <c:v>42642</c:v>
                </c:pt>
                <c:pt idx="25">
                  <c:v>42641</c:v>
                </c:pt>
                <c:pt idx="26">
                  <c:v>42640</c:v>
                </c:pt>
                <c:pt idx="27">
                  <c:v>42639</c:v>
                </c:pt>
                <c:pt idx="28">
                  <c:v>42636</c:v>
                </c:pt>
                <c:pt idx="29">
                  <c:v>42635</c:v>
                </c:pt>
                <c:pt idx="30">
                  <c:v>42634</c:v>
                </c:pt>
                <c:pt idx="31">
                  <c:v>42633</c:v>
                </c:pt>
                <c:pt idx="32">
                  <c:v>42632</c:v>
                </c:pt>
                <c:pt idx="33">
                  <c:v>42629</c:v>
                </c:pt>
                <c:pt idx="34">
                  <c:v>42628</c:v>
                </c:pt>
                <c:pt idx="35">
                  <c:v>42627</c:v>
                </c:pt>
                <c:pt idx="36">
                  <c:v>42626</c:v>
                </c:pt>
                <c:pt idx="37">
                  <c:v>42625</c:v>
                </c:pt>
                <c:pt idx="38">
                  <c:v>42622</c:v>
                </c:pt>
                <c:pt idx="39">
                  <c:v>42621</c:v>
                </c:pt>
                <c:pt idx="40">
                  <c:v>42620</c:v>
                </c:pt>
                <c:pt idx="41">
                  <c:v>42619</c:v>
                </c:pt>
                <c:pt idx="42">
                  <c:v>42615</c:v>
                </c:pt>
                <c:pt idx="43">
                  <c:v>42614</c:v>
                </c:pt>
                <c:pt idx="44">
                  <c:v>42613</c:v>
                </c:pt>
                <c:pt idx="45">
                  <c:v>42612</c:v>
                </c:pt>
                <c:pt idx="46">
                  <c:v>42611</c:v>
                </c:pt>
                <c:pt idx="47">
                  <c:v>42608</c:v>
                </c:pt>
                <c:pt idx="48">
                  <c:v>42607</c:v>
                </c:pt>
                <c:pt idx="49">
                  <c:v>42606</c:v>
                </c:pt>
                <c:pt idx="50">
                  <c:v>42605</c:v>
                </c:pt>
                <c:pt idx="51">
                  <c:v>42604</c:v>
                </c:pt>
                <c:pt idx="52">
                  <c:v>42601</c:v>
                </c:pt>
                <c:pt idx="53">
                  <c:v>42600</c:v>
                </c:pt>
                <c:pt idx="54">
                  <c:v>42599</c:v>
                </c:pt>
                <c:pt idx="55">
                  <c:v>42598</c:v>
                </c:pt>
                <c:pt idx="56">
                  <c:v>42597</c:v>
                </c:pt>
                <c:pt idx="57">
                  <c:v>42594</c:v>
                </c:pt>
                <c:pt idx="58">
                  <c:v>42593</c:v>
                </c:pt>
                <c:pt idx="59">
                  <c:v>42592</c:v>
                </c:pt>
                <c:pt idx="60">
                  <c:v>42591</c:v>
                </c:pt>
                <c:pt idx="61">
                  <c:v>42590</c:v>
                </c:pt>
                <c:pt idx="62">
                  <c:v>42587</c:v>
                </c:pt>
                <c:pt idx="63">
                  <c:v>42586</c:v>
                </c:pt>
                <c:pt idx="64">
                  <c:v>42585</c:v>
                </c:pt>
                <c:pt idx="65">
                  <c:v>42584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14.67</c:v>
                </c:pt>
                <c:pt idx="1">
                  <c:v>16.329999999999998</c:v>
                </c:pt>
                <c:pt idx="2">
                  <c:v>16.75</c:v>
                </c:pt>
                <c:pt idx="3">
                  <c:v>16.309999999999999</c:v>
                </c:pt>
                <c:pt idx="4">
                  <c:v>16.37</c:v>
                </c:pt>
                <c:pt idx="5">
                  <c:v>16.72</c:v>
                </c:pt>
                <c:pt idx="6">
                  <c:v>16.62</c:v>
                </c:pt>
                <c:pt idx="7">
                  <c:v>17.2</c:v>
                </c:pt>
                <c:pt idx="8">
                  <c:v>17.38</c:v>
                </c:pt>
                <c:pt idx="9">
                  <c:v>17.62</c:v>
                </c:pt>
                <c:pt idx="10">
                  <c:v>17.95</c:v>
                </c:pt>
                <c:pt idx="11">
                  <c:v>17.61</c:v>
                </c:pt>
                <c:pt idx="12">
                  <c:v>17.23</c:v>
                </c:pt>
                <c:pt idx="13">
                  <c:v>17.61</c:v>
                </c:pt>
                <c:pt idx="14">
                  <c:v>17.62</c:v>
                </c:pt>
                <c:pt idx="15">
                  <c:v>17.68</c:v>
                </c:pt>
                <c:pt idx="16">
                  <c:v>17.760000000000002</c:v>
                </c:pt>
                <c:pt idx="17">
                  <c:v>18.25</c:v>
                </c:pt>
                <c:pt idx="18">
                  <c:v>17.989999999999998</c:v>
                </c:pt>
                <c:pt idx="19">
                  <c:v>17.97</c:v>
                </c:pt>
                <c:pt idx="20">
                  <c:v>18.04</c:v>
                </c:pt>
                <c:pt idx="21">
                  <c:v>17.87</c:v>
                </c:pt>
                <c:pt idx="22">
                  <c:v>17.27</c:v>
                </c:pt>
                <c:pt idx="23">
                  <c:v>17.13</c:v>
                </c:pt>
                <c:pt idx="24">
                  <c:v>17.34</c:v>
                </c:pt>
                <c:pt idx="25">
                  <c:v>17.649999999999999</c:v>
                </c:pt>
                <c:pt idx="26">
                  <c:v>18.07</c:v>
                </c:pt>
                <c:pt idx="27">
                  <c:v>17.559999999999999</c:v>
                </c:pt>
                <c:pt idx="28">
                  <c:v>18.41</c:v>
                </c:pt>
                <c:pt idx="29">
                  <c:v>18.47</c:v>
                </c:pt>
                <c:pt idx="30">
                  <c:v>18.420000000000002</c:v>
                </c:pt>
                <c:pt idx="31">
                  <c:v>18.38</c:v>
                </c:pt>
                <c:pt idx="32">
                  <c:v>18.84</c:v>
                </c:pt>
                <c:pt idx="33">
                  <c:v>18.62</c:v>
                </c:pt>
                <c:pt idx="34">
                  <c:v>18.850000000000001</c:v>
                </c:pt>
                <c:pt idx="35">
                  <c:v>18.75</c:v>
                </c:pt>
                <c:pt idx="36">
                  <c:v>18.53</c:v>
                </c:pt>
                <c:pt idx="37">
                  <c:v>18.38</c:v>
                </c:pt>
                <c:pt idx="38">
                  <c:v>18.09</c:v>
                </c:pt>
                <c:pt idx="39">
                  <c:v>19.059999999999999</c:v>
                </c:pt>
                <c:pt idx="40">
                  <c:v>19.63</c:v>
                </c:pt>
                <c:pt idx="41">
                  <c:v>18.84</c:v>
                </c:pt>
                <c:pt idx="42">
                  <c:v>19.12</c:v>
                </c:pt>
                <c:pt idx="43">
                  <c:v>18.86</c:v>
                </c:pt>
                <c:pt idx="44">
                  <c:v>18.66</c:v>
                </c:pt>
                <c:pt idx="45">
                  <c:v>18.8</c:v>
                </c:pt>
                <c:pt idx="46">
                  <c:v>19.079999999999998</c:v>
                </c:pt>
                <c:pt idx="47">
                  <c:v>19.04</c:v>
                </c:pt>
                <c:pt idx="48">
                  <c:v>19.350000000000001</c:v>
                </c:pt>
                <c:pt idx="49">
                  <c:v>19.37</c:v>
                </c:pt>
                <c:pt idx="50">
                  <c:v>19.78</c:v>
                </c:pt>
                <c:pt idx="51">
                  <c:v>19.18</c:v>
                </c:pt>
                <c:pt idx="52">
                  <c:v>19.47</c:v>
                </c:pt>
                <c:pt idx="53">
                  <c:v>19.23</c:v>
                </c:pt>
                <c:pt idx="54">
                  <c:v>18.48</c:v>
                </c:pt>
                <c:pt idx="55">
                  <c:v>18.78</c:v>
                </c:pt>
                <c:pt idx="56">
                  <c:v>18.89</c:v>
                </c:pt>
                <c:pt idx="57">
                  <c:v>18.95</c:v>
                </c:pt>
                <c:pt idx="58">
                  <c:v>18.61</c:v>
                </c:pt>
                <c:pt idx="59">
                  <c:v>17.190000000000001</c:v>
                </c:pt>
                <c:pt idx="60">
                  <c:v>17.309999999999999</c:v>
                </c:pt>
                <c:pt idx="61">
                  <c:v>17.46</c:v>
                </c:pt>
                <c:pt idx="62">
                  <c:v>17.55</c:v>
                </c:pt>
                <c:pt idx="63">
                  <c:v>16.8</c:v>
                </c:pt>
                <c:pt idx="64">
                  <c:v>16.47</c:v>
                </c:pt>
                <c:pt idx="65">
                  <c:v>20.14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1531488"/>
        <c:axId val="711527568"/>
      </c:lineChart>
      <c:dateAx>
        <c:axId val="711531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1527568"/>
        <c:crosses val="autoZero"/>
        <c:auto val="1"/>
        <c:lblOffset val="100"/>
        <c:baseTimeUnit val="days"/>
      </c:dateAx>
      <c:valAx>
        <c:axId val="711527568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1531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42676</c:v>
                </c:pt>
                <c:pt idx="1">
                  <c:v>42675</c:v>
                </c:pt>
                <c:pt idx="2">
                  <c:v>42674</c:v>
                </c:pt>
                <c:pt idx="3">
                  <c:v>42671</c:v>
                </c:pt>
                <c:pt idx="4">
                  <c:v>42670</c:v>
                </c:pt>
                <c:pt idx="5">
                  <c:v>42669</c:v>
                </c:pt>
                <c:pt idx="6">
                  <c:v>42668</c:v>
                </c:pt>
                <c:pt idx="7">
                  <c:v>42667</c:v>
                </c:pt>
                <c:pt idx="8">
                  <c:v>42664</c:v>
                </c:pt>
                <c:pt idx="9">
                  <c:v>42663</c:v>
                </c:pt>
                <c:pt idx="10">
                  <c:v>42662</c:v>
                </c:pt>
                <c:pt idx="11">
                  <c:v>42661</c:v>
                </c:pt>
                <c:pt idx="12">
                  <c:v>42660</c:v>
                </c:pt>
                <c:pt idx="13">
                  <c:v>42657</c:v>
                </c:pt>
                <c:pt idx="14">
                  <c:v>42656</c:v>
                </c:pt>
                <c:pt idx="15">
                  <c:v>42655</c:v>
                </c:pt>
                <c:pt idx="16">
                  <c:v>42654</c:v>
                </c:pt>
                <c:pt idx="17">
                  <c:v>42653</c:v>
                </c:pt>
                <c:pt idx="18">
                  <c:v>42650</c:v>
                </c:pt>
                <c:pt idx="19">
                  <c:v>42649</c:v>
                </c:pt>
                <c:pt idx="20">
                  <c:v>42648</c:v>
                </c:pt>
                <c:pt idx="21">
                  <c:v>42647</c:v>
                </c:pt>
                <c:pt idx="22">
                  <c:v>42646</c:v>
                </c:pt>
                <c:pt idx="23">
                  <c:v>42643</c:v>
                </c:pt>
                <c:pt idx="24">
                  <c:v>42642</c:v>
                </c:pt>
                <c:pt idx="25">
                  <c:v>42641</c:v>
                </c:pt>
                <c:pt idx="26">
                  <c:v>42640</c:v>
                </c:pt>
                <c:pt idx="27">
                  <c:v>42639</c:v>
                </c:pt>
                <c:pt idx="28">
                  <c:v>42636</c:v>
                </c:pt>
                <c:pt idx="29">
                  <c:v>42635</c:v>
                </c:pt>
                <c:pt idx="30">
                  <c:v>42634</c:v>
                </c:pt>
                <c:pt idx="31">
                  <c:v>42633</c:v>
                </c:pt>
                <c:pt idx="32">
                  <c:v>42632</c:v>
                </c:pt>
                <c:pt idx="33">
                  <c:v>42629</c:v>
                </c:pt>
                <c:pt idx="34">
                  <c:v>42628</c:v>
                </c:pt>
                <c:pt idx="35">
                  <c:v>42627</c:v>
                </c:pt>
                <c:pt idx="36">
                  <c:v>42626</c:v>
                </c:pt>
                <c:pt idx="37">
                  <c:v>42625</c:v>
                </c:pt>
                <c:pt idx="38">
                  <c:v>42622</c:v>
                </c:pt>
                <c:pt idx="39">
                  <c:v>42621</c:v>
                </c:pt>
                <c:pt idx="40">
                  <c:v>42620</c:v>
                </c:pt>
                <c:pt idx="41">
                  <c:v>42619</c:v>
                </c:pt>
                <c:pt idx="42">
                  <c:v>42615</c:v>
                </c:pt>
                <c:pt idx="43">
                  <c:v>42614</c:v>
                </c:pt>
                <c:pt idx="44">
                  <c:v>42613</c:v>
                </c:pt>
                <c:pt idx="45">
                  <c:v>42612</c:v>
                </c:pt>
                <c:pt idx="46">
                  <c:v>42611</c:v>
                </c:pt>
                <c:pt idx="47">
                  <c:v>42611</c:v>
                </c:pt>
                <c:pt idx="48">
                  <c:v>42608</c:v>
                </c:pt>
                <c:pt idx="49">
                  <c:v>42607</c:v>
                </c:pt>
                <c:pt idx="50">
                  <c:v>42606</c:v>
                </c:pt>
                <c:pt idx="51">
                  <c:v>42605</c:v>
                </c:pt>
                <c:pt idx="52">
                  <c:v>42604</c:v>
                </c:pt>
                <c:pt idx="53">
                  <c:v>42601</c:v>
                </c:pt>
                <c:pt idx="54">
                  <c:v>42600</c:v>
                </c:pt>
                <c:pt idx="55">
                  <c:v>42599</c:v>
                </c:pt>
                <c:pt idx="56">
                  <c:v>42598</c:v>
                </c:pt>
                <c:pt idx="57">
                  <c:v>42597</c:v>
                </c:pt>
                <c:pt idx="58">
                  <c:v>42594</c:v>
                </c:pt>
                <c:pt idx="59">
                  <c:v>42593</c:v>
                </c:pt>
                <c:pt idx="60">
                  <c:v>42592</c:v>
                </c:pt>
                <c:pt idx="61">
                  <c:v>42591</c:v>
                </c:pt>
                <c:pt idx="62">
                  <c:v>42590</c:v>
                </c:pt>
                <c:pt idx="63">
                  <c:v>42587</c:v>
                </c:pt>
                <c:pt idx="64">
                  <c:v>42586</c:v>
                </c:pt>
                <c:pt idx="65">
                  <c:v>42585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47.65</c:v>
                </c:pt>
                <c:pt idx="1">
                  <c:v>48.16</c:v>
                </c:pt>
                <c:pt idx="2">
                  <c:v>48.02</c:v>
                </c:pt>
                <c:pt idx="3">
                  <c:v>49.4</c:v>
                </c:pt>
                <c:pt idx="4">
                  <c:v>50.2</c:v>
                </c:pt>
                <c:pt idx="5">
                  <c:v>50.86</c:v>
                </c:pt>
                <c:pt idx="6">
                  <c:v>51.63</c:v>
                </c:pt>
                <c:pt idx="7">
                  <c:v>52.48</c:v>
                </c:pt>
                <c:pt idx="8">
                  <c:v>52.5</c:v>
                </c:pt>
                <c:pt idx="9">
                  <c:v>52.47</c:v>
                </c:pt>
                <c:pt idx="10">
                  <c:v>52.61</c:v>
                </c:pt>
                <c:pt idx="11">
                  <c:v>52.68</c:v>
                </c:pt>
                <c:pt idx="12">
                  <c:v>52.41</c:v>
                </c:pt>
                <c:pt idx="13">
                  <c:v>52.25</c:v>
                </c:pt>
                <c:pt idx="14">
                  <c:v>52.12</c:v>
                </c:pt>
                <c:pt idx="15">
                  <c:v>51.42</c:v>
                </c:pt>
                <c:pt idx="16">
                  <c:v>50.34</c:v>
                </c:pt>
                <c:pt idx="17">
                  <c:v>51.34</c:v>
                </c:pt>
                <c:pt idx="18">
                  <c:v>51.91</c:v>
                </c:pt>
                <c:pt idx="19">
                  <c:v>52.32</c:v>
                </c:pt>
                <c:pt idx="20">
                  <c:v>52.57</c:v>
                </c:pt>
                <c:pt idx="21">
                  <c:v>51.6</c:v>
                </c:pt>
                <c:pt idx="22">
                  <c:v>52.25</c:v>
                </c:pt>
                <c:pt idx="23">
                  <c:v>52.66</c:v>
                </c:pt>
                <c:pt idx="24">
                  <c:v>52.01</c:v>
                </c:pt>
                <c:pt idx="25">
                  <c:v>52.14</c:v>
                </c:pt>
                <c:pt idx="26">
                  <c:v>52.4</c:v>
                </c:pt>
                <c:pt idx="27">
                  <c:v>51.35</c:v>
                </c:pt>
                <c:pt idx="28">
                  <c:v>51.97</c:v>
                </c:pt>
                <c:pt idx="29">
                  <c:v>52.36</c:v>
                </c:pt>
                <c:pt idx="30">
                  <c:v>52.5</c:v>
                </c:pt>
                <c:pt idx="31">
                  <c:v>51.61</c:v>
                </c:pt>
                <c:pt idx="32">
                  <c:v>51.14</c:v>
                </c:pt>
                <c:pt idx="33">
                  <c:v>50.99</c:v>
                </c:pt>
                <c:pt idx="34">
                  <c:v>50.83</c:v>
                </c:pt>
                <c:pt idx="35">
                  <c:v>50.06</c:v>
                </c:pt>
                <c:pt idx="36">
                  <c:v>49.67</c:v>
                </c:pt>
                <c:pt idx="37">
                  <c:v>50.54</c:v>
                </c:pt>
                <c:pt idx="38">
                  <c:v>50.4</c:v>
                </c:pt>
                <c:pt idx="39">
                  <c:v>52.47</c:v>
                </c:pt>
                <c:pt idx="40">
                  <c:v>53.63</c:v>
                </c:pt>
                <c:pt idx="41">
                  <c:v>54.04</c:v>
                </c:pt>
                <c:pt idx="42">
                  <c:v>53.57</c:v>
                </c:pt>
                <c:pt idx="43">
                  <c:v>53.22</c:v>
                </c:pt>
                <c:pt idx="44">
                  <c:v>53.08</c:v>
                </c:pt>
                <c:pt idx="45">
                  <c:v>53.55</c:v>
                </c:pt>
                <c:pt idx="46">
                  <c:v>53.91</c:v>
                </c:pt>
                <c:pt idx="48">
                  <c:v>53.87</c:v>
                </c:pt>
                <c:pt idx="49">
                  <c:v>53.7</c:v>
                </c:pt>
                <c:pt idx="50">
                  <c:v>53.84</c:v>
                </c:pt>
                <c:pt idx="51">
                  <c:v>54.46</c:v>
                </c:pt>
                <c:pt idx="52">
                  <c:v>53.85</c:v>
                </c:pt>
                <c:pt idx="53">
                  <c:v>53.8</c:v>
                </c:pt>
                <c:pt idx="54">
                  <c:v>54</c:v>
                </c:pt>
                <c:pt idx="55">
                  <c:v>53.95</c:v>
                </c:pt>
                <c:pt idx="56">
                  <c:v>54.39</c:v>
                </c:pt>
                <c:pt idx="57">
                  <c:v>54.89</c:v>
                </c:pt>
                <c:pt idx="58">
                  <c:v>54.89</c:v>
                </c:pt>
                <c:pt idx="59">
                  <c:v>54.47</c:v>
                </c:pt>
                <c:pt idx="60">
                  <c:v>54.19</c:v>
                </c:pt>
                <c:pt idx="61">
                  <c:v>54.15</c:v>
                </c:pt>
                <c:pt idx="62">
                  <c:v>54.16</c:v>
                </c:pt>
                <c:pt idx="63">
                  <c:v>53.75</c:v>
                </c:pt>
                <c:pt idx="64">
                  <c:v>53.28</c:v>
                </c:pt>
                <c:pt idx="65">
                  <c:v>53.51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1533448"/>
        <c:axId val="711530704"/>
      </c:lineChart>
      <c:dateAx>
        <c:axId val="7115334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1530704"/>
        <c:crosses val="autoZero"/>
        <c:auto val="1"/>
        <c:lblOffset val="100"/>
        <c:baseTimeUnit val="days"/>
      </c:dateAx>
      <c:valAx>
        <c:axId val="711530704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1533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42676</c:v>
                </c:pt>
                <c:pt idx="1">
                  <c:v>42675</c:v>
                </c:pt>
                <c:pt idx="2">
                  <c:v>42674</c:v>
                </c:pt>
                <c:pt idx="3">
                  <c:v>42671</c:v>
                </c:pt>
                <c:pt idx="4">
                  <c:v>42670</c:v>
                </c:pt>
                <c:pt idx="5">
                  <c:v>42669</c:v>
                </c:pt>
                <c:pt idx="6">
                  <c:v>42668</c:v>
                </c:pt>
                <c:pt idx="7">
                  <c:v>42667</c:v>
                </c:pt>
                <c:pt idx="8">
                  <c:v>42664</c:v>
                </c:pt>
                <c:pt idx="9">
                  <c:v>42663</c:v>
                </c:pt>
                <c:pt idx="10">
                  <c:v>42662</c:v>
                </c:pt>
                <c:pt idx="11">
                  <c:v>42661</c:v>
                </c:pt>
                <c:pt idx="12">
                  <c:v>42660</c:v>
                </c:pt>
                <c:pt idx="13">
                  <c:v>42657</c:v>
                </c:pt>
                <c:pt idx="14">
                  <c:v>42656</c:v>
                </c:pt>
                <c:pt idx="15">
                  <c:v>42655</c:v>
                </c:pt>
                <c:pt idx="16">
                  <c:v>42654</c:v>
                </c:pt>
                <c:pt idx="17">
                  <c:v>42653</c:v>
                </c:pt>
                <c:pt idx="18">
                  <c:v>42650</c:v>
                </c:pt>
                <c:pt idx="19">
                  <c:v>42649</c:v>
                </c:pt>
                <c:pt idx="20">
                  <c:v>42648</c:v>
                </c:pt>
                <c:pt idx="21">
                  <c:v>42647</c:v>
                </c:pt>
                <c:pt idx="22">
                  <c:v>42646</c:v>
                </c:pt>
                <c:pt idx="23">
                  <c:v>42643</c:v>
                </c:pt>
                <c:pt idx="24">
                  <c:v>42642</c:v>
                </c:pt>
                <c:pt idx="25">
                  <c:v>42641</c:v>
                </c:pt>
                <c:pt idx="26">
                  <c:v>42640</c:v>
                </c:pt>
                <c:pt idx="27">
                  <c:v>42639</c:v>
                </c:pt>
                <c:pt idx="28">
                  <c:v>42636</c:v>
                </c:pt>
                <c:pt idx="29">
                  <c:v>42635</c:v>
                </c:pt>
                <c:pt idx="30">
                  <c:v>42634</c:v>
                </c:pt>
                <c:pt idx="31">
                  <c:v>42633</c:v>
                </c:pt>
                <c:pt idx="32">
                  <c:v>42632</c:v>
                </c:pt>
                <c:pt idx="33">
                  <c:v>42629</c:v>
                </c:pt>
                <c:pt idx="34">
                  <c:v>42628</c:v>
                </c:pt>
                <c:pt idx="35">
                  <c:v>42627</c:v>
                </c:pt>
                <c:pt idx="36">
                  <c:v>42626</c:v>
                </c:pt>
                <c:pt idx="37">
                  <c:v>42625</c:v>
                </c:pt>
                <c:pt idx="38">
                  <c:v>42622</c:v>
                </c:pt>
                <c:pt idx="39">
                  <c:v>42621</c:v>
                </c:pt>
                <c:pt idx="40">
                  <c:v>42620</c:v>
                </c:pt>
                <c:pt idx="41">
                  <c:v>42619</c:v>
                </c:pt>
                <c:pt idx="42">
                  <c:v>42615</c:v>
                </c:pt>
                <c:pt idx="43">
                  <c:v>42614</c:v>
                </c:pt>
                <c:pt idx="44">
                  <c:v>42613</c:v>
                </c:pt>
                <c:pt idx="45">
                  <c:v>42612</c:v>
                </c:pt>
                <c:pt idx="46">
                  <c:v>42611</c:v>
                </c:pt>
                <c:pt idx="47">
                  <c:v>42608</c:v>
                </c:pt>
                <c:pt idx="48">
                  <c:v>42607</c:v>
                </c:pt>
                <c:pt idx="49">
                  <c:v>42606</c:v>
                </c:pt>
                <c:pt idx="50">
                  <c:v>42605</c:v>
                </c:pt>
                <c:pt idx="51">
                  <c:v>42604</c:v>
                </c:pt>
                <c:pt idx="52">
                  <c:v>42601</c:v>
                </c:pt>
                <c:pt idx="53">
                  <c:v>42600</c:v>
                </c:pt>
                <c:pt idx="54">
                  <c:v>42599</c:v>
                </c:pt>
                <c:pt idx="55">
                  <c:v>42598</c:v>
                </c:pt>
                <c:pt idx="56">
                  <c:v>42597</c:v>
                </c:pt>
                <c:pt idx="57">
                  <c:v>42594</c:v>
                </c:pt>
                <c:pt idx="58">
                  <c:v>42593</c:v>
                </c:pt>
                <c:pt idx="59">
                  <c:v>42592</c:v>
                </c:pt>
                <c:pt idx="60">
                  <c:v>42591</c:v>
                </c:pt>
                <c:pt idx="61">
                  <c:v>42590</c:v>
                </c:pt>
                <c:pt idx="62">
                  <c:v>42587</c:v>
                </c:pt>
                <c:pt idx="63">
                  <c:v>42586</c:v>
                </c:pt>
                <c:pt idx="64">
                  <c:v>42585</c:v>
                </c:pt>
                <c:pt idx="65">
                  <c:v>42584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49.73</c:v>
                </c:pt>
                <c:pt idx="1">
                  <c:v>50.37</c:v>
                </c:pt>
                <c:pt idx="2">
                  <c:v>50.78</c:v>
                </c:pt>
                <c:pt idx="3">
                  <c:v>50.12</c:v>
                </c:pt>
                <c:pt idx="4">
                  <c:v>48.17</c:v>
                </c:pt>
                <c:pt idx="5">
                  <c:v>48.56</c:v>
                </c:pt>
                <c:pt idx="6">
                  <c:v>48.55</c:v>
                </c:pt>
                <c:pt idx="7">
                  <c:v>48.84</c:v>
                </c:pt>
                <c:pt idx="8">
                  <c:v>48.95</c:v>
                </c:pt>
                <c:pt idx="9">
                  <c:v>49.6</c:v>
                </c:pt>
                <c:pt idx="10">
                  <c:v>50.1</c:v>
                </c:pt>
                <c:pt idx="11">
                  <c:v>47.52</c:v>
                </c:pt>
                <c:pt idx="12">
                  <c:v>46.55</c:v>
                </c:pt>
                <c:pt idx="13">
                  <c:v>46.65</c:v>
                </c:pt>
                <c:pt idx="14">
                  <c:v>46.63</c:v>
                </c:pt>
                <c:pt idx="15">
                  <c:v>46.77</c:v>
                </c:pt>
                <c:pt idx="16">
                  <c:v>45.65</c:v>
                </c:pt>
                <c:pt idx="17">
                  <c:v>46.42</c:v>
                </c:pt>
                <c:pt idx="18">
                  <c:v>46.96</c:v>
                </c:pt>
                <c:pt idx="19">
                  <c:v>47.52</c:v>
                </c:pt>
                <c:pt idx="20">
                  <c:v>47.01</c:v>
                </c:pt>
                <c:pt idx="21">
                  <c:v>47.35</c:v>
                </c:pt>
                <c:pt idx="22">
                  <c:v>46.44</c:v>
                </c:pt>
                <c:pt idx="23">
                  <c:v>46.79</c:v>
                </c:pt>
                <c:pt idx="24">
                  <c:v>46.87</c:v>
                </c:pt>
                <c:pt idx="25">
                  <c:v>48.24</c:v>
                </c:pt>
                <c:pt idx="26">
                  <c:v>48.17</c:v>
                </c:pt>
                <c:pt idx="27">
                  <c:v>47.97</c:v>
                </c:pt>
                <c:pt idx="28">
                  <c:v>50.51</c:v>
                </c:pt>
                <c:pt idx="29">
                  <c:v>50.11</c:v>
                </c:pt>
                <c:pt idx="30">
                  <c:v>49.84</c:v>
                </c:pt>
                <c:pt idx="31">
                  <c:v>49.12</c:v>
                </c:pt>
                <c:pt idx="32">
                  <c:v>49.62</c:v>
                </c:pt>
                <c:pt idx="33">
                  <c:v>47.85</c:v>
                </c:pt>
                <c:pt idx="34">
                  <c:v>47.68</c:v>
                </c:pt>
                <c:pt idx="35">
                  <c:v>47.49</c:v>
                </c:pt>
                <c:pt idx="36">
                  <c:v>47.5</c:v>
                </c:pt>
                <c:pt idx="37">
                  <c:v>48.31</c:v>
                </c:pt>
                <c:pt idx="38">
                  <c:v>47.73</c:v>
                </c:pt>
                <c:pt idx="39">
                  <c:v>49.17</c:v>
                </c:pt>
                <c:pt idx="40">
                  <c:v>49.92</c:v>
                </c:pt>
                <c:pt idx="41">
                  <c:v>48.74</c:v>
                </c:pt>
                <c:pt idx="42">
                  <c:v>49.21</c:v>
                </c:pt>
                <c:pt idx="43">
                  <c:v>49.62</c:v>
                </c:pt>
                <c:pt idx="44">
                  <c:v>48.95</c:v>
                </c:pt>
                <c:pt idx="45">
                  <c:v>49.25</c:v>
                </c:pt>
                <c:pt idx="46">
                  <c:v>50.21</c:v>
                </c:pt>
                <c:pt idx="47">
                  <c:v>49.59</c:v>
                </c:pt>
                <c:pt idx="48">
                  <c:v>50.26</c:v>
                </c:pt>
                <c:pt idx="49">
                  <c:v>50.34</c:v>
                </c:pt>
                <c:pt idx="50">
                  <c:v>50.78</c:v>
                </c:pt>
                <c:pt idx="51">
                  <c:v>50.13</c:v>
                </c:pt>
                <c:pt idx="52">
                  <c:v>50.08</c:v>
                </c:pt>
                <c:pt idx="53">
                  <c:v>49.31</c:v>
                </c:pt>
                <c:pt idx="54">
                  <c:v>48.8</c:v>
                </c:pt>
                <c:pt idx="55">
                  <c:v>49.9</c:v>
                </c:pt>
                <c:pt idx="56">
                  <c:v>49.96</c:v>
                </c:pt>
                <c:pt idx="57">
                  <c:v>48.79</c:v>
                </c:pt>
                <c:pt idx="58">
                  <c:v>49.13</c:v>
                </c:pt>
                <c:pt idx="59">
                  <c:v>48.71</c:v>
                </c:pt>
                <c:pt idx="60">
                  <c:v>50.11</c:v>
                </c:pt>
                <c:pt idx="61">
                  <c:v>50.27</c:v>
                </c:pt>
                <c:pt idx="62">
                  <c:v>50.41</c:v>
                </c:pt>
                <c:pt idx="63">
                  <c:v>49.67</c:v>
                </c:pt>
                <c:pt idx="64">
                  <c:v>49.02</c:v>
                </c:pt>
                <c:pt idx="65">
                  <c:v>50.32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1535016"/>
        <c:axId val="711532272"/>
      </c:lineChart>
      <c:dateAx>
        <c:axId val="7115350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1532272"/>
        <c:crosses val="autoZero"/>
        <c:auto val="1"/>
        <c:lblOffset val="100"/>
        <c:baseTimeUnit val="days"/>
      </c:dateAx>
      <c:valAx>
        <c:axId val="71153227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1535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2-Nov-16</c:v>
                </c:pt>
                <c:pt idx="1">
                  <c:v>1-Nov-16</c:v>
                </c:pt>
                <c:pt idx="2">
                  <c:v>31-Oct-16</c:v>
                </c:pt>
                <c:pt idx="3">
                  <c:v>28-Oct-16</c:v>
                </c:pt>
                <c:pt idx="4">
                  <c:v>27-Oct-16</c:v>
                </c:pt>
                <c:pt idx="5">
                  <c:v>26-Oct-16</c:v>
                </c:pt>
                <c:pt idx="6">
                  <c:v>25-Oct-16</c:v>
                </c:pt>
                <c:pt idx="7">
                  <c:v>24-Oct-16</c:v>
                </c:pt>
                <c:pt idx="8">
                  <c:v>21-Oct-16</c:v>
                </c:pt>
                <c:pt idx="9">
                  <c:v>20-Oct-16</c:v>
                </c:pt>
                <c:pt idx="10">
                  <c:v>19-Oct-16</c:v>
                </c:pt>
                <c:pt idx="11">
                  <c:v>18-Oct-16</c:v>
                </c:pt>
                <c:pt idx="12">
                  <c:v>17-Oct-16</c:v>
                </c:pt>
                <c:pt idx="13">
                  <c:v>14-Oct-16</c:v>
                </c:pt>
                <c:pt idx="14">
                  <c:v>13-Oct-16</c:v>
                </c:pt>
                <c:pt idx="15">
                  <c:v>12-Oct-16</c:v>
                </c:pt>
                <c:pt idx="16">
                  <c:v>11-Oct-16</c:v>
                </c:pt>
                <c:pt idx="17">
                  <c:v>10-Oct-16</c:v>
                </c:pt>
                <c:pt idx="18">
                  <c:v>7-Oct-16</c:v>
                </c:pt>
                <c:pt idx="19">
                  <c:v>6-Oct-16</c:v>
                </c:pt>
                <c:pt idx="20">
                  <c:v>5-Oct-16</c:v>
                </c:pt>
                <c:pt idx="21">
                  <c:v>4-Oct-16</c:v>
                </c:pt>
                <c:pt idx="22">
                  <c:v>3-Oct-16</c:v>
                </c:pt>
                <c:pt idx="23">
                  <c:v>30-Sep-16</c:v>
                </c:pt>
                <c:pt idx="24">
                  <c:v>29-Sep-16</c:v>
                </c:pt>
                <c:pt idx="25">
                  <c:v>28-Sep-16</c:v>
                </c:pt>
                <c:pt idx="26">
                  <c:v>27-Sep-16</c:v>
                </c:pt>
                <c:pt idx="27">
                  <c:v>26-Sep-16</c:v>
                </c:pt>
                <c:pt idx="28">
                  <c:v>23-Sep-16</c:v>
                </c:pt>
                <c:pt idx="29">
                  <c:v>22-Sep-16</c:v>
                </c:pt>
                <c:pt idx="30">
                  <c:v>21-Sep-16</c:v>
                </c:pt>
                <c:pt idx="31">
                  <c:v>20-Sep-16</c:v>
                </c:pt>
                <c:pt idx="32">
                  <c:v>19-Sep-16</c:v>
                </c:pt>
                <c:pt idx="33">
                  <c:v>16-Sep-16</c:v>
                </c:pt>
                <c:pt idx="34">
                  <c:v>15-Sep-16</c:v>
                </c:pt>
                <c:pt idx="35">
                  <c:v>14-Sep-16</c:v>
                </c:pt>
                <c:pt idx="36">
                  <c:v>13-Sep-16</c:v>
                </c:pt>
                <c:pt idx="37">
                  <c:v>12-Sep-16</c:v>
                </c:pt>
                <c:pt idx="38">
                  <c:v>9-Sep-16</c:v>
                </c:pt>
                <c:pt idx="39">
                  <c:v>8-Sep-16</c:v>
                </c:pt>
                <c:pt idx="40">
                  <c:v>7-Sep-16</c:v>
                </c:pt>
                <c:pt idx="41">
                  <c:v>6-Sep-16</c:v>
                </c:pt>
                <c:pt idx="42">
                  <c:v>2-Sep-16</c:v>
                </c:pt>
                <c:pt idx="43">
                  <c:v>1-Sep-16</c:v>
                </c:pt>
                <c:pt idx="44">
                  <c:v>31-Aug-16</c:v>
                </c:pt>
                <c:pt idx="45">
                  <c:v>30-Aug-16</c:v>
                </c:pt>
                <c:pt idx="46">
                  <c:v>29-Aug-16</c:v>
                </c:pt>
                <c:pt idx="47">
                  <c:v>29-Aug-16</c:v>
                </c:pt>
                <c:pt idx="48">
                  <c:v>26-Aug-16</c:v>
                </c:pt>
                <c:pt idx="49">
                  <c:v>25-Aug-16</c:v>
                </c:pt>
                <c:pt idx="50">
                  <c:v>24-Aug-16</c:v>
                </c:pt>
                <c:pt idx="51">
                  <c:v>23-Aug-16</c:v>
                </c:pt>
                <c:pt idx="52">
                  <c:v>22-Aug-16</c:v>
                </c:pt>
                <c:pt idx="53">
                  <c:v>19-Aug-16</c:v>
                </c:pt>
                <c:pt idx="54">
                  <c:v>18-Aug-16</c:v>
                </c:pt>
                <c:pt idx="55">
                  <c:v>17-Aug-16</c:v>
                </c:pt>
                <c:pt idx="56">
                  <c:v>16-Aug-16</c:v>
                </c:pt>
                <c:pt idx="57">
                  <c:v>15-Aug-16</c:v>
                </c:pt>
                <c:pt idx="58">
                  <c:v>12-Aug-16</c:v>
                </c:pt>
                <c:pt idx="59">
                  <c:v>11-Aug-16</c:v>
                </c:pt>
                <c:pt idx="60">
                  <c:v>10-Aug-16</c:v>
                </c:pt>
                <c:pt idx="61">
                  <c:v>9-Aug-16</c:v>
                </c:pt>
                <c:pt idx="62">
                  <c:v>8-Aug-16</c:v>
                </c:pt>
                <c:pt idx="63">
                  <c:v>5-Aug-16</c:v>
                </c:pt>
                <c:pt idx="64">
                  <c:v>4-Aug-16</c:v>
                </c:pt>
                <c:pt idx="65">
                  <c:v>3-Aug-16</c:v>
                </c:pt>
                <c:pt idx="66">
                  <c:v>2-Aug-16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67.34</c:v>
                </c:pt>
                <c:pt idx="1">
                  <c:v>67.209999999999994</c:v>
                </c:pt>
                <c:pt idx="2">
                  <c:v>67.900000000000006</c:v>
                </c:pt>
                <c:pt idx="3">
                  <c:v>67.53</c:v>
                </c:pt>
                <c:pt idx="4">
                  <c:v>67.59</c:v>
                </c:pt>
                <c:pt idx="5">
                  <c:v>67.94</c:v>
                </c:pt>
                <c:pt idx="6">
                  <c:v>67.61</c:v>
                </c:pt>
                <c:pt idx="7">
                  <c:v>67.72</c:v>
                </c:pt>
                <c:pt idx="8">
                  <c:v>67.55</c:v>
                </c:pt>
                <c:pt idx="9">
                  <c:v>68.23</c:v>
                </c:pt>
                <c:pt idx="10">
                  <c:v>69.430000000000007</c:v>
                </c:pt>
                <c:pt idx="11">
                  <c:v>69.290000000000006</c:v>
                </c:pt>
                <c:pt idx="12">
                  <c:v>69.34</c:v>
                </c:pt>
                <c:pt idx="13">
                  <c:v>69.33</c:v>
                </c:pt>
                <c:pt idx="14">
                  <c:v>69.09</c:v>
                </c:pt>
                <c:pt idx="15">
                  <c:v>69.040000000000006</c:v>
                </c:pt>
                <c:pt idx="16">
                  <c:v>68.2</c:v>
                </c:pt>
                <c:pt idx="17">
                  <c:v>68.489999999999995</c:v>
                </c:pt>
                <c:pt idx="18">
                  <c:v>68.430000000000007</c:v>
                </c:pt>
                <c:pt idx="19">
                  <c:v>67.77</c:v>
                </c:pt>
                <c:pt idx="20">
                  <c:v>67.81</c:v>
                </c:pt>
                <c:pt idx="21">
                  <c:v>67.84</c:v>
                </c:pt>
                <c:pt idx="22">
                  <c:v>68.400000000000006</c:v>
                </c:pt>
                <c:pt idx="23">
                  <c:v>69.180000000000007</c:v>
                </c:pt>
                <c:pt idx="24">
                  <c:v>68.64</c:v>
                </c:pt>
                <c:pt idx="25">
                  <c:v>69.099999999999994</c:v>
                </c:pt>
                <c:pt idx="26">
                  <c:v>68.98</c:v>
                </c:pt>
                <c:pt idx="27">
                  <c:v>68.39</c:v>
                </c:pt>
                <c:pt idx="28">
                  <c:v>68.489999999999995</c:v>
                </c:pt>
                <c:pt idx="29">
                  <c:v>68.94</c:v>
                </c:pt>
                <c:pt idx="30">
                  <c:v>68.66</c:v>
                </c:pt>
                <c:pt idx="31">
                  <c:v>67.87</c:v>
                </c:pt>
                <c:pt idx="32">
                  <c:v>67.459999999999994</c:v>
                </c:pt>
                <c:pt idx="33">
                  <c:v>67.41</c:v>
                </c:pt>
                <c:pt idx="34">
                  <c:v>67.819999999999993</c:v>
                </c:pt>
                <c:pt idx="35">
                  <c:v>67.39</c:v>
                </c:pt>
                <c:pt idx="36">
                  <c:v>67.92</c:v>
                </c:pt>
                <c:pt idx="37">
                  <c:v>68.48</c:v>
                </c:pt>
                <c:pt idx="38">
                  <c:v>67.959999999999994</c:v>
                </c:pt>
                <c:pt idx="39">
                  <c:v>69.22</c:v>
                </c:pt>
                <c:pt idx="40">
                  <c:v>69.44</c:v>
                </c:pt>
                <c:pt idx="41">
                  <c:v>69.31</c:v>
                </c:pt>
                <c:pt idx="42">
                  <c:v>68.95</c:v>
                </c:pt>
                <c:pt idx="43">
                  <c:v>68.66</c:v>
                </c:pt>
                <c:pt idx="44">
                  <c:v>68.959999999999994</c:v>
                </c:pt>
                <c:pt idx="45">
                  <c:v>69.17</c:v>
                </c:pt>
                <c:pt idx="46">
                  <c:v>68.739999999999995</c:v>
                </c:pt>
                <c:pt idx="48">
                  <c:v>68.319999999999993</c:v>
                </c:pt>
                <c:pt idx="49">
                  <c:v>68.540000000000006</c:v>
                </c:pt>
                <c:pt idx="50">
                  <c:v>68.260000000000005</c:v>
                </c:pt>
                <c:pt idx="51">
                  <c:v>68.36</c:v>
                </c:pt>
                <c:pt idx="52">
                  <c:v>68.87</c:v>
                </c:pt>
                <c:pt idx="53">
                  <c:v>69.17</c:v>
                </c:pt>
                <c:pt idx="54">
                  <c:v>69.44</c:v>
                </c:pt>
                <c:pt idx="55">
                  <c:v>69.12</c:v>
                </c:pt>
                <c:pt idx="56">
                  <c:v>68.95</c:v>
                </c:pt>
                <c:pt idx="57">
                  <c:v>69.39</c:v>
                </c:pt>
                <c:pt idx="58">
                  <c:v>69.13</c:v>
                </c:pt>
                <c:pt idx="59">
                  <c:v>69.11</c:v>
                </c:pt>
                <c:pt idx="60">
                  <c:v>69.42</c:v>
                </c:pt>
                <c:pt idx="61">
                  <c:v>69.37</c:v>
                </c:pt>
                <c:pt idx="62">
                  <c:v>69.17</c:v>
                </c:pt>
                <c:pt idx="63">
                  <c:v>68.84</c:v>
                </c:pt>
                <c:pt idx="64">
                  <c:v>68.62</c:v>
                </c:pt>
                <c:pt idx="65">
                  <c:v>68.63</c:v>
                </c:pt>
                <c:pt idx="66">
                  <c:v>68.11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1530312"/>
        <c:axId val="711531880"/>
      </c:lineChart>
      <c:catAx>
        <c:axId val="7115303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1531880"/>
        <c:crosses val="autoZero"/>
        <c:auto val="1"/>
        <c:lblAlgn val="ctr"/>
        <c:lblOffset val="100"/>
        <c:noMultiLvlLbl val="0"/>
      </c:catAx>
      <c:valAx>
        <c:axId val="711531880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1530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11/2/2016</c:v>
                </c:pt>
                <c:pt idx="1">
                  <c:v>11/1/2016</c:v>
                </c:pt>
                <c:pt idx="2">
                  <c:v>10/31/2016</c:v>
                </c:pt>
                <c:pt idx="3">
                  <c:v>10/28/2016</c:v>
                </c:pt>
                <c:pt idx="4">
                  <c:v>10/27/2016</c:v>
                </c:pt>
                <c:pt idx="5">
                  <c:v>10/26/2016</c:v>
                </c:pt>
                <c:pt idx="6">
                  <c:v>10/25/2016</c:v>
                </c:pt>
                <c:pt idx="7">
                  <c:v>10/24/2016</c:v>
                </c:pt>
                <c:pt idx="8">
                  <c:v>10/21/2016</c:v>
                </c:pt>
                <c:pt idx="9">
                  <c:v>10/20/2016</c:v>
                </c:pt>
                <c:pt idx="10">
                  <c:v>10/19/2016</c:v>
                </c:pt>
                <c:pt idx="11">
                  <c:v>10/18/2016</c:v>
                </c:pt>
                <c:pt idx="12">
                  <c:v>10/17/2016</c:v>
                </c:pt>
                <c:pt idx="13">
                  <c:v>10/14/2016</c:v>
                </c:pt>
                <c:pt idx="14">
                  <c:v>10/13/2016</c:v>
                </c:pt>
                <c:pt idx="15">
                  <c:v>10/12/2016</c:v>
                </c:pt>
                <c:pt idx="16">
                  <c:v>10/11/2016</c:v>
                </c:pt>
                <c:pt idx="17">
                  <c:v>10/10/2016</c:v>
                </c:pt>
                <c:pt idx="18">
                  <c:v>10/7/2016</c:v>
                </c:pt>
                <c:pt idx="19">
                  <c:v>10/6/2016</c:v>
                </c:pt>
                <c:pt idx="20">
                  <c:v>10/5/2016</c:v>
                </c:pt>
                <c:pt idx="21">
                  <c:v>10/4/2016</c:v>
                </c:pt>
                <c:pt idx="22">
                  <c:v>10/3/2016</c:v>
                </c:pt>
                <c:pt idx="23">
                  <c:v>9/30/2016</c:v>
                </c:pt>
                <c:pt idx="24">
                  <c:v>9/29/2016</c:v>
                </c:pt>
                <c:pt idx="25">
                  <c:v>9/28/2016</c:v>
                </c:pt>
                <c:pt idx="26">
                  <c:v>9/27/2016</c:v>
                </c:pt>
                <c:pt idx="27">
                  <c:v>9/26/2016</c:v>
                </c:pt>
                <c:pt idx="28">
                  <c:v>9/23/2016</c:v>
                </c:pt>
                <c:pt idx="29">
                  <c:v>9/22/2016</c:v>
                </c:pt>
                <c:pt idx="30">
                  <c:v>9/21/2016</c:v>
                </c:pt>
                <c:pt idx="31">
                  <c:v>9/20/2016</c:v>
                </c:pt>
                <c:pt idx="32">
                  <c:v>9/19/2016</c:v>
                </c:pt>
                <c:pt idx="33">
                  <c:v>9/16/2016</c:v>
                </c:pt>
                <c:pt idx="34">
                  <c:v>9/15/2016</c:v>
                </c:pt>
                <c:pt idx="35">
                  <c:v>9/14/2016</c:v>
                </c:pt>
                <c:pt idx="36">
                  <c:v>9/13/2016</c:v>
                </c:pt>
                <c:pt idx="37">
                  <c:v>9/12/2016</c:v>
                </c:pt>
                <c:pt idx="38">
                  <c:v>9/9/2016</c:v>
                </c:pt>
                <c:pt idx="39">
                  <c:v>9/8/2016</c:v>
                </c:pt>
                <c:pt idx="40">
                  <c:v>9/7/2016</c:v>
                </c:pt>
                <c:pt idx="41">
                  <c:v>9/6/2016</c:v>
                </c:pt>
                <c:pt idx="42">
                  <c:v>9/2/2016</c:v>
                </c:pt>
                <c:pt idx="43">
                  <c:v>9/1/2016</c:v>
                </c:pt>
                <c:pt idx="44">
                  <c:v>8/31/2016</c:v>
                </c:pt>
                <c:pt idx="45">
                  <c:v>8/30/2016</c:v>
                </c:pt>
                <c:pt idx="46">
                  <c:v>8/29/2016</c:v>
                </c:pt>
                <c:pt idx="47">
                  <c:v>8/26/2016</c:v>
                </c:pt>
                <c:pt idx="48">
                  <c:v>8/25/2016</c:v>
                </c:pt>
                <c:pt idx="49">
                  <c:v>8/24/2016</c:v>
                </c:pt>
                <c:pt idx="50">
                  <c:v>8/23/2016</c:v>
                </c:pt>
                <c:pt idx="51">
                  <c:v>8/22/2016</c:v>
                </c:pt>
                <c:pt idx="52">
                  <c:v>8/19/2016</c:v>
                </c:pt>
                <c:pt idx="53">
                  <c:v>8/18/2016</c:v>
                </c:pt>
                <c:pt idx="54">
                  <c:v>8/17/2016</c:v>
                </c:pt>
                <c:pt idx="55">
                  <c:v>8/16/2016</c:v>
                </c:pt>
                <c:pt idx="56">
                  <c:v>8/15/2016</c:v>
                </c:pt>
                <c:pt idx="57">
                  <c:v>8/12/2016</c:v>
                </c:pt>
                <c:pt idx="58">
                  <c:v>8/11/2016</c:v>
                </c:pt>
                <c:pt idx="59">
                  <c:v>8/10/2016</c:v>
                </c:pt>
                <c:pt idx="60">
                  <c:v>8/9/2016</c:v>
                </c:pt>
                <c:pt idx="61">
                  <c:v>8/8/2016</c:v>
                </c:pt>
                <c:pt idx="62">
                  <c:v>8/5/2016</c:v>
                </c:pt>
                <c:pt idx="63">
                  <c:v>8/4/2016</c:v>
                </c:pt>
                <c:pt idx="64">
                  <c:v>8/4/2016</c:v>
                </c:pt>
                <c:pt idx="65">
                  <c:v>8/3/2016</c:v>
                </c:pt>
                <c:pt idx="66">
                  <c:v>8/2/2016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91.99</c:v>
                </c:pt>
                <c:pt idx="1">
                  <c:v>91.6</c:v>
                </c:pt>
                <c:pt idx="2">
                  <c:v>93</c:v>
                </c:pt>
                <c:pt idx="3">
                  <c:v>92.27</c:v>
                </c:pt>
                <c:pt idx="4">
                  <c:v>91.35</c:v>
                </c:pt>
                <c:pt idx="5">
                  <c:v>90.03</c:v>
                </c:pt>
                <c:pt idx="6">
                  <c:v>93.27</c:v>
                </c:pt>
                <c:pt idx="7">
                  <c:v>92.95</c:v>
                </c:pt>
                <c:pt idx="8">
                  <c:v>92.92</c:v>
                </c:pt>
                <c:pt idx="9">
                  <c:v>93.13</c:v>
                </c:pt>
                <c:pt idx="10">
                  <c:v>95.64</c:v>
                </c:pt>
                <c:pt idx="11">
                  <c:v>94.98</c:v>
                </c:pt>
                <c:pt idx="12">
                  <c:v>94.84</c:v>
                </c:pt>
                <c:pt idx="13">
                  <c:v>94.94</c:v>
                </c:pt>
                <c:pt idx="14">
                  <c:v>94.82</c:v>
                </c:pt>
                <c:pt idx="15">
                  <c:v>93.42</c:v>
                </c:pt>
                <c:pt idx="16">
                  <c:v>94.67</c:v>
                </c:pt>
                <c:pt idx="17">
                  <c:v>95.83</c:v>
                </c:pt>
                <c:pt idx="18">
                  <c:v>96.78</c:v>
                </c:pt>
                <c:pt idx="19">
                  <c:v>97.45</c:v>
                </c:pt>
                <c:pt idx="20">
                  <c:v>97.04</c:v>
                </c:pt>
                <c:pt idx="21">
                  <c:v>95.79</c:v>
                </c:pt>
                <c:pt idx="22">
                  <c:v>96.91</c:v>
                </c:pt>
                <c:pt idx="23">
                  <c:v>97.06</c:v>
                </c:pt>
                <c:pt idx="24">
                  <c:v>95.15</c:v>
                </c:pt>
                <c:pt idx="25">
                  <c:v>95.53</c:v>
                </c:pt>
                <c:pt idx="26">
                  <c:v>94.48</c:v>
                </c:pt>
                <c:pt idx="27">
                  <c:v>93.28</c:v>
                </c:pt>
                <c:pt idx="28">
                  <c:v>93.62</c:v>
                </c:pt>
                <c:pt idx="29">
                  <c:v>93.91</c:v>
                </c:pt>
                <c:pt idx="30">
                  <c:v>93.11</c:v>
                </c:pt>
                <c:pt idx="31">
                  <c:v>91.92</c:v>
                </c:pt>
                <c:pt idx="32">
                  <c:v>92.03</c:v>
                </c:pt>
                <c:pt idx="33">
                  <c:v>91.35</c:v>
                </c:pt>
                <c:pt idx="34">
                  <c:v>91.51</c:v>
                </c:pt>
                <c:pt idx="35">
                  <c:v>90.67</c:v>
                </c:pt>
                <c:pt idx="36">
                  <c:v>90.74</c:v>
                </c:pt>
                <c:pt idx="37">
                  <c:v>92.38</c:v>
                </c:pt>
                <c:pt idx="38">
                  <c:v>90.78</c:v>
                </c:pt>
                <c:pt idx="39">
                  <c:v>93.99</c:v>
                </c:pt>
                <c:pt idx="40">
                  <c:v>93.94</c:v>
                </c:pt>
                <c:pt idx="41">
                  <c:v>95.15</c:v>
                </c:pt>
                <c:pt idx="42">
                  <c:v>94.16</c:v>
                </c:pt>
                <c:pt idx="43">
                  <c:v>93.8</c:v>
                </c:pt>
                <c:pt idx="44">
                  <c:v>93.9</c:v>
                </c:pt>
                <c:pt idx="45">
                  <c:v>94.37</c:v>
                </c:pt>
                <c:pt idx="46">
                  <c:v>94.01</c:v>
                </c:pt>
                <c:pt idx="47">
                  <c:v>92.27</c:v>
                </c:pt>
                <c:pt idx="48">
                  <c:v>92.08</c:v>
                </c:pt>
                <c:pt idx="49">
                  <c:v>92.1</c:v>
                </c:pt>
                <c:pt idx="50">
                  <c:v>92.03</c:v>
                </c:pt>
                <c:pt idx="51">
                  <c:v>91.36</c:v>
                </c:pt>
                <c:pt idx="52">
                  <c:v>91.58</c:v>
                </c:pt>
                <c:pt idx="53">
                  <c:v>91.67</c:v>
                </c:pt>
                <c:pt idx="54">
                  <c:v>89.82</c:v>
                </c:pt>
                <c:pt idx="55">
                  <c:v>89.12</c:v>
                </c:pt>
                <c:pt idx="56">
                  <c:v>88.92</c:v>
                </c:pt>
                <c:pt idx="57">
                  <c:v>88.36</c:v>
                </c:pt>
                <c:pt idx="58">
                  <c:v>89.48</c:v>
                </c:pt>
                <c:pt idx="59">
                  <c:v>88.57</c:v>
                </c:pt>
                <c:pt idx="60">
                  <c:v>89.25</c:v>
                </c:pt>
                <c:pt idx="61">
                  <c:v>89.52</c:v>
                </c:pt>
                <c:pt idx="62">
                  <c:v>88.88</c:v>
                </c:pt>
                <c:pt idx="63">
                  <c:v>87.61</c:v>
                </c:pt>
                <c:pt idx="65">
                  <c:v>88.33</c:v>
                </c:pt>
                <c:pt idx="66">
                  <c:v>87.17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1540504"/>
        <c:axId val="711542072"/>
      </c:lineChart>
      <c:catAx>
        <c:axId val="7115405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1542072"/>
        <c:crosses val="autoZero"/>
        <c:auto val="1"/>
        <c:lblAlgn val="ctr"/>
        <c:lblOffset val="100"/>
        <c:noMultiLvlLbl val="0"/>
      </c:catAx>
      <c:valAx>
        <c:axId val="71154207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1540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2-Nov-16</c:v>
                </c:pt>
                <c:pt idx="1">
                  <c:v>1-Nov-16</c:v>
                </c:pt>
                <c:pt idx="2">
                  <c:v>31-Oct-16</c:v>
                </c:pt>
                <c:pt idx="3">
                  <c:v>28-Oct-16</c:v>
                </c:pt>
                <c:pt idx="4">
                  <c:v>27-Oct-16</c:v>
                </c:pt>
                <c:pt idx="5">
                  <c:v>26-Oct-16</c:v>
                </c:pt>
                <c:pt idx="6">
                  <c:v>25-Oct-16</c:v>
                </c:pt>
                <c:pt idx="7">
                  <c:v>24-Oct-16</c:v>
                </c:pt>
                <c:pt idx="8">
                  <c:v>21-Oct-16</c:v>
                </c:pt>
                <c:pt idx="9">
                  <c:v>20-Oct-16</c:v>
                </c:pt>
                <c:pt idx="10">
                  <c:v>19-Oct-16</c:v>
                </c:pt>
                <c:pt idx="11">
                  <c:v>18-Oct-16</c:v>
                </c:pt>
                <c:pt idx="12">
                  <c:v>17-Oct-16</c:v>
                </c:pt>
                <c:pt idx="13">
                  <c:v>14-Oct-16</c:v>
                </c:pt>
                <c:pt idx="14">
                  <c:v>13-Oct-16</c:v>
                </c:pt>
                <c:pt idx="15">
                  <c:v>12-Oct-16</c:v>
                </c:pt>
                <c:pt idx="16">
                  <c:v>11-Oct-16</c:v>
                </c:pt>
                <c:pt idx="17">
                  <c:v>10-Oct-16</c:v>
                </c:pt>
                <c:pt idx="18">
                  <c:v>7-Oct-16</c:v>
                </c:pt>
                <c:pt idx="19">
                  <c:v>6-Oct-16</c:v>
                </c:pt>
                <c:pt idx="20">
                  <c:v>5-Oct-16</c:v>
                </c:pt>
                <c:pt idx="21">
                  <c:v>4-Oct-16</c:v>
                </c:pt>
                <c:pt idx="22">
                  <c:v>3-Oct-16</c:v>
                </c:pt>
                <c:pt idx="23">
                  <c:v>30-Sep-16</c:v>
                </c:pt>
                <c:pt idx="24">
                  <c:v>29-Sep-16</c:v>
                </c:pt>
                <c:pt idx="25">
                  <c:v>28-Sep-16</c:v>
                </c:pt>
                <c:pt idx="26">
                  <c:v>27-Sep-16</c:v>
                </c:pt>
                <c:pt idx="27">
                  <c:v>26-Sep-16</c:v>
                </c:pt>
                <c:pt idx="28">
                  <c:v>23-Sep-16</c:v>
                </c:pt>
                <c:pt idx="29">
                  <c:v>22-Sep-16</c:v>
                </c:pt>
                <c:pt idx="30">
                  <c:v>21-Sep-16</c:v>
                </c:pt>
                <c:pt idx="31">
                  <c:v>20-Sep-16</c:v>
                </c:pt>
                <c:pt idx="32">
                  <c:v>19-Sep-16</c:v>
                </c:pt>
                <c:pt idx="33">
                  <c:v>16-Sep-16</c:v>
                </c:pt>
                <c:pt idx="34">
                  <c:v>15-Sep-16</c:v>
                </c:pt>
                <c:pt idx="35">
                  <c:v>15-Sep-16</c:v>
                </c:pt>
                <c:pt idx="36">
                  <c:v>14-Sep-16</c:v>
                </c:pt>
                <c:pt idx="37">
                  <c:v>13-Sep-16</c:v>
                </c:pt>
                <c:pt idx="38">
                  <c:v>12-Sep-16</c:v>
                </c:pt>
                <c:pt idx="39">
                  <c:v>9-Sep-16</c:v>
                </c:pt>
                <c:pt idx="40">
                  <c:v>8-Sep-16</c:v>
                </c:pt>
                <c:pt idx="41">
                  <c:v>7-Sep-16</c:v>
                </c:pt>
                <c:pt idx="42">
                  <c:v>6-Sep-16</c:v>
                </c:pt>
                <c:pt idx="43">
                  <c:v>2-Sep-16</c:v>
                </c:pt>
                <c:pt idx="44">
                  <c:v>1-Sep-16</c:v>
                </c:pt>
                <c:pt idx="45">
                  <c:v>31-Aug-16</c:v>
                </c:pt>
                <c:pt idx="46">
                  <c:v>30-Aug-16</c:v>
                </c:pt>
                <c:pt idx="47">
                  <c:v>29-Aug-16</c:v>
                </c:pt>
                <c:pt idx="48">
                  <c:v>26-Aug-16</c:v>
                </c:pt>
                <c:pt idx="49">
                  <c:v>25-Aug-16</c:v>
                </c:pt>
                <c:pt idx="50">
                  <c:v>24-Aug-16</c:v>
                </c:pt>
                <c:pt idx="51">
                  <c:v>23-Aug-16</c:v>
                </c:pt>
                <c:pt idx="52">
                  <c:v>22-Aug-16</c:v>
                </c:pt>
                <c:pt idx="53">
                  <c:v>19-Aug-16</c:v>
                </c:pt>
                <c:pt idx="54">
                  <c:v>18-Aug-16</c:v>
                </c:pt>
                <c:pt idx="55">
                  <c:v>17-Aug-16</c:v>
                </c:pt>
                <c:pt idx="56">
                  <c:v>16-Aug-16</c:v>
                </c:pt>
                <c:pt idx="57">
                  <c:v>15-Aug-16</c:v>
                </c:pt>
                <c:pt idx="58">
                  <c:v>12-Aug-16</c:v>
                </c:pt>
                <c:pt idx="59">
                  <c:v>11-Aug-16</c:v>
                </c:pt>
                <c:pt idx="60">
                  <c:v>10-Aug-16</c:v>
                </c:pt>
                <c:pt idx="61">
                  <c:v>9-Aug-16</c:v>
                </c:pt>
                <c:pt idx="62">
                  <c:v>8-Aug-16</c:v>
                </c:pt>
                <c:pt idx="63">
                  <c:v>5-Aug-16</c:v>
                </c:pt>
                <c:pt idx="64">
                  <c:v>4-Aug-16</c:v>
                </c:pt>
                <c:pt idx="65">
                  <c:v>3-Aug-16</c:v>
                </c:pt>
                <c:pt idx="66">
                  <c:v>2-Aug-16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172.56</c:v>
                </c:pt>
                <c:pt idx="1">
                  <c:v>168.8</c:v>
                </c:pt>
                <c:pt idx="2">
                  <c:v>170.28</c:v>
                </c:pt>
                <c:pt idx="3">
                  <c:v>169.35</c:v>
                </c:pt>
                <c:pt idx="4">
                  <c:v>172.24</c:v>
                </c:pt>
                <c:pt idx="5">
                  <c:v>173</c:v>
                </c:pt>
                <c:pt idx="6">
                  <c:v>173.65</c:v>
                </c:pt>
                <c:pt idx="7">
                  <c:v>176.55</c:v>
                </c:pt>
                <c:pt idx="8">
                  <c:v>172.92</c:v>
                </c:pt>
                <c:pt idx="9">
                  <c:v>173.41</c:v>
                </c:pt>
                <c:pt idx="10">
                  <c:v>171.87</c:v>
                </c:pt>
                <c:pt idx="11">
                  <c:v>172.17</c:v>
                </c:pt>
                <c:pt idx="12">
                  <c:v>168.88</c:v>
                </c:pt>
                <c:pt idx="13">
                  <c:v>170.09</c:v>
                </c:pt>
                <c:pt idx="14">
                  <c:v>168.94</c:v>
                </c:pt>
                <c:pt idx="15">
                  <c:v>170.47</c:v>
                </c:pt>
                <c:pt idx="16">
                  <c:v>171.17</c:v>
                </c:pt>
                <c:pt idx="17">
                  <c:v>174.77</c:v>
                </c:pt>
                <c:pt idx="18">
                  <c:v>174.21</c:v>
                </c:pt>
                <c:pt idx="19">
                  <c:v>174.19</c:v>
                </c:pt>
                <c:pt idx="20">
                  <c:v>173.48</c:v>
                </c:pt>
                <c:pt idx="21">
                  <c:v>169.05</c:v>
                </c:pt>
                <c:pt idx="22">
                  <c:v>170.07</c:v>
                </c:pt>
                <c:pt idx="23">
                  <c:v>172.52</c:v>
                </c:pt>
                <c:pt idx="24">
                  <c:v>172.46</c:v>
                </c:pt>
                <c:pt idx="25">
                  <c:v>170.7</c:v>
                </c:pt>
                <c:pt idx="26">
                  <c:v>170.86</c:v>
                </c:pt>
                <c:pt idx="27">
                  <c:v>166.69</c:v>
                </c:pt>
                <c:pt idx="28">
                  <c:v>166.65</c:v>
                </c:pt>
                <c:pt idx="29">
                  <c:v>168.84</c:v>
                </c:pt>
                <c:pt idx="30">
                  <c:v>169.83</c:v>
                </c:pt>
                <c:pt idx="31">
                  <c:v>168.23</c:v>
                </c:pt>
                <c:pt idx="32">
                  <c:v>170.73</c:v>
                </c:pt>
                <c:pt idx="33">
                  <c:v>171.24</c:v>
                </c:pt>
                <c:pt idx="34">
                  <c:v>172.72</c:v>
                </c:pt>
                <c:pt idx="36">
                  <c:v>169.61</c:v>
                </c:pt>
                <c:pt idx="37">
                  <c:v>165.24</c:v>
                </c:pt>
                <c:pt idx="38">
                  <c:v>164.48</c:v>
                </c:pt>
                <c:pt idx="39">
                  <c:v>160.78</c:v>
                </c:pt>
                <c:pt idx="40">
                  <c:v>168.38</c:v>
                </c:pt>
                <c:pt idx="41">
                  <c:v>168.9</c:v>
                </c:pt>
                <c:pt idx="42">
                  <c:v>171.1</c:v>
                </c:pt>
                <c:pt idx="43">
                  <c:v>173.11</c:v>
                </c:pt>
                <c:pt idx="44">
                  <c:v>177.09</c:v>
                </c:pt>
                <c:pt idx="45">
                  <c:v>176.42</c:v>
                </c:pt>
                <c:pt idx="46">
                  <c:v>177</c:v>
                </c:pt>
                <c:pt idx="47">
                  <c:v>177.4</c:v>
                </c:pt>
                <c:pt idx="48">
                  <c:v>177.16</c:v>
                </c:pt>
                <c:pt idx="49">
                  <c:v>176.04</c:v>
                </c:pt>
                <c:pt idx="50">
                  <c:v>175.3</c:v>
                </c:pt>
                <c:pt idx="51">
                  <c:v>177.34</c:v>
                </c:pt>
                <c:pt idx="52">
                  <c:v>175.93</c:v>
                </c:pt>
                <c:pt idx="53">
                  <c:v>174.93</c:v>
                </c:pt>
                <c:pt idx="54">
                  <c:v>173.93</c:v>
                </c:pt>
                <c:pt idx="55">
                  <c:v>173.03</c:v>
                </c:pt>
                <c:pt idx="56">
                  <c:v>172.4</c:v>
                </c:pt>
                <c:pt idx="57">
                  <c:v>175.54</c:v>
                </c:pt>
                <c:pt idx="58">
                  <c:v>172.47</c:v>
                </c:pt>
                <c:pt idx="59">
                  <c:v>172.09</c:v>
                </c:pt>
                <c:pt idx="60">
                  <c:v>171.85</c:v>
                </c:pt>
                <c:pt idx="61">
                  <c:v>171.17</c:v>
                </c:pt>
                <c:pt idx="62">
                  <c:v>168.35</c:v>
                </c:pt>
                <c:pt idx="63">
                  <c:v>170.12</c:v>
                </c:pt>
                <c:pt idx="64">
                  <c:v>166.99</c:v>
                </c:pt>
                <c:pt idx="65">
                  <c:v>164.11</c:v>
                </c:pt>
                <c:pt idx="66">
                  <c:v>162.88999999999999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1542856"/>
        <c:axId val="711539720"/>
      </c:lineChart>
      <c:catAx>
        <c:axId val="7115428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1539720"/>
        <c:crosses val="autoZero"/>
        <c:auto val="1"/>
        <c:lblAlgn val="ctr"/>
        <c:lblOffset val="100"/>
        <c:noMultiLvlLbl val="0"/>
      </c:catAx>
      <c:valAx>
        <c:axId val="71153972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1542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42676</c:v>
                </c:pt>
                <c:pt idx="1">
                  <c:v>42675</c:v>
                </c:pt>
                <c:pt idx="2">
                  <c:v>42674</c:v>
                </c:pt>
                <c:pt idx="3">
                  <c:v>42671</c:v>
                </c:pt>
                <c:pt idx="4">
                  <c:v>42670</c:v>
                </c:pt>
                <c:pt idx="5">
                  <c:v>42669</c:v>
                </c:pt>
                <c:pt idx="6">
                  <c:v>42668</c:v>
                </c:pt>
                <c:pt idx="7">
                  <c:v>42667</c:v>
                </c:pt>
                <c:pt idx="8">
                  <c:v>42664</c:v>
                </c:pt>
                <c:pt idx="9">
                  <c:v>42663</c:v>
                </c:pt>
                <c:pt idx="10">
                  <c:v>42662</c:v>
                </c:pt>
                <c:pt idx="11">
                  <c:v>42661</c:v>
                </c:pt>
                <c:pt idx="12">
                  <c:v>42660</c:v>
                </c:pt>
                <c:pt idx="13">
                  <c:v>42657</c:v>
                </c:pt>
                <c:pt idx="14">
                  <c:v>42656</c:v>
                </c:pt>
                <c:pt idx="15">
                  <c:v>42655</c:v>
                </c:pt>
                <c:pt idx="16">
                  <c:v>42654</c:v>
                </c:pt>
                <c:pt idx="17">
                  <c:v>42653</c:v>
                </c:pt>
                <c:pt idx="18">
                  <c:v>42650</c:v>
                </c:pt>
                <c:pt idx="19">
                  <c:v>42649</c:v>
                </c:pt>
                <c:pt idx="20">
                  <c:v>42648</c:v>
                </c:pt>
                <c:pt idx="21">
                  <c:v>42647</c:v>
                </c:pt>
                <c:pt idx="22">
                  <c:v>42646</c:v>
                </c:pt>
                <c:pt idx="23">
                  <c:v>42643</c:v>
                </c:pt>
                <c:pt idx="24">
                  <c:v>42642</c:v>
                </c:pt>
                <c:pt idx="25">
                  <c:v>42641</c:v>
                </c:pt>
                <c:pt idx="26">
                  <c:v>42640</c:v>
                </c:pt>
                <c:pt idx="27">
                  <c:v>42639</c:v>
                </c:pt>
                <c:pt idx="28">
                  <c:v>42636</c:v>
                </c:pt>
                <c:pt idx="29">
                  <c:v>42635</c:v>
                </c:pt>
                <c:pt idx="30">
                  <c:v>42634</c:v>
                </c:pt>
                <c:pt idx="31">
                  <c:v>42633</c:v>
                </c:pt>
                <c:pt idx="32">
                  <c:v>42632</c:v>
                </c:pt>
                <c:pt idx="33">
                  <c:v>42629</c:v>
                </c:pt>
                <c:pt idx="34">
                  <c:v>42628</c:v>
                </c:pt>
                <c:pt idx="35">
                  <c:v>42627</c:v>
                </c:pt>
                <c:pt idx="36">
                  <c:v>42626</c:v>
                </c:pt>
                <c:pt idx="37">
                  <c:v>42625</c:v>
                </c:pt>
                <c:pt idx="38">
                  <c:v>42622</c:v>
                </c:pt>
                <c:pt idx="39">
                  <c:v>42621</c:v>
                </c:pt>
                <c:pt idx="40">
                  <c:v>42620</c:v>
                </c:pt>
                <c:pt idx="41">
                  <c:v>42619</c:v>
                </c:pt>
                <c:pt idx="42">
                  <c:v>42615</c:v>
                </c:pt>
                <c:pt idx="43">
                  <c:v>42614</c:v>
                </c:pt>
                <c:pt idx="44">
                  <c:v>42613</c:v>
                </c:pt>
                <c:pt idx="45">
                  <c:v>42612</c:v>
                </c:pt>
                <c:pt idx="46">
                  <c:v>42611</c:v>
                </c:pt>
                <c:pt idx="47">
                  <c:v>42608</c:v>
                </c:pt>
                <c:pt idx="48">
                  <c:v>42607</c:v>
                </c:pt>
                <c:pt idx="49">
                  <c:v>42606</c:v>
                </c:pt>
                <c:pt idx="50">
                  <c:v>42605</c:v>
                </c:pt>
                <c:pt idx="51">
                  <c:v>42604</c:v>
                </c:pt>
                <c:pt idx="52">
                  <c:v>42601</c:v>
                </c:pt>
                <c:pt idx="53">
                  <c:v>42600</c:v>
                </c:pt>
                <c:pt idx="54">
                  <c:v>42599</c:v>
                </c:pt>
                <c:pt idx="55">
                  <c:v>42598</c:v>
                </c:pt>
                <c:pt idx="56">
                  <c:v>42597</c:v>
                </c:pt>
                <c:pt idx="57">
                  <c:v>42594</c:v>
                </c:pt>
                <c:pt idx="58">
                  <c:v>42593</c:v>
                </c:pt>
                <c:pt idx="59">
                  <c:v>42592</c:v>
                </c:pt>
                <c:pt idx="60">
                  <c:v>42591</c:v>
                </c:pt>
                <c:pt idx="61">
                  <c:v>42590</c:v>
                </c:pt>
                <c:pt idx="62">
                  <c:v>42587</c:v>
                </c:pt>
                <c:pt idx="63">
                  <c:v>42586</c:v>
                </c:pt>
                <c:pt idx="64">
                  <c:v>42585</c:v>
                </c:pt>
                <c:pt idx="65">
                  <c:v>42584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56.14</c:v>
                </c:pt>
                <c:pt idx="1">
                  <c:v>56</c:v>
                </c:pt>
                <c:pt idx="2">
                  <c:v>56.23</c:v>
                </c:pt>
                <c:pt idx="3">
                  <c:v>55.11</c:v>
                </c:pt>
                <c:pt idx="4">
                  <c:v>54.42</c:v>
                </c:pt>
                <c:pt idx="5">
                  <c:v>53.98</c:v>
                </c:pt>
                <c:pt idx="6">
                  <c:v>54.63</c:v>
                </c:pt>
                <c:pt idx="7">
                  <c:v>55.04</c:v>
                </c:pt>
                <c:pt idx="8">
                  <c:v>55.6</c:v>
                </c:pt>
                <c:pt idx="9">
                  <c:v>56.57</c:v>
                </c:pt>
                <c:pt idx="10">
                  <c:v>55.44</c:v>
                </c:pt>
                <c:pt idx="11">
                  <c:v>53.68</c:v>
                </c:pt>
                <c:pt idx="12">
                  <c:v>53.03</c:v>
                </c:pt>
                <c:pt idx="13">
                  <c:v>53.2</c:v>
                </c:pt>
                <c:pt idx="14">
                  <c:v>53.69</c:v>
                </c:pt>
                <c:pt idx="15">
                  <c:v>52.88</c:v>
                </c:pt>
                <c:pt idx="16">
                  <c:v>53.52</c:v>
                </c:pt>
                <c:pt idx="17">
                  <c:v>54.2</c:v>
                </c:pt>
                <c:pt idx="18">
                  <c:v>52.82</c:v>
                </c:pt>
                <c:pt idx="19">
                  <c:v>53.98</c:v>
                </c:pt>
                <c:pt idx="20">
                  <c:v>53.82</c:v>
                </c:pt>
                <c:pt idx="21">
                  <c:v>53.73</c:v>
                </c:pt>
                <c:pt idx="22">
                  <c:v>53.25</c:v>
                </c:pt>
                <c:pt idx="23">
                  <c:v>52.47</c:v>
                </c:pt>
                <c:pt idx="24">
                  <c:v>51.14</c:v>
                </c:pt>
                <c:pt idx="25">
                  <c:v>50.66</c:v>
                </c:pt>
                <c:pt idx="26">
                  <c:v>50.41</c:v>
                </c:pt>
                <c:pt idx="27">
                  <c:v>49.45</c:v>
                </c:pt>
                <c:pt idx="28">
                  <c:v>50.95</c:v>
                </c:pt>
                <c:pt idx="29">
                  <c:v>51.04</c:v>
                </c:pt>
                <c:pt idx="30">
                  <c:v>50.23</c:v>
                </c:pt>
                <c:pt idx="31">
                  <c:v>50.31</c:v>
                </c:pt>
                <c:pt idx="32">
                  <c:v>50.96</c:v>
                </c:pt>
                <c:pt idx="33">
                  <c:v>51</c:v>
                </c:pt>
                <c:pt idx="34">
                  <c:v>51.71</c:v>
                </c:pt>
                <c:pt idx="35">
                  <c:v>51</c:v>
                </c:pt>
                <c:pt idx="36">
                  <c:v>51.64</c:v>
                </c:pt>
                <c:pt idx="37">
                  <c:v>53.25</c:v>
                </c:pt>
                <c:pt idx="38">
                  <c:v>52.45</c:v>
                </c:pt>
                <c:pt idx="39">
                  <c:v>54.36</c:v>
                </c:pt>
                <c:pt idx="40">
                  <c:v>53.68</c:v>
                </c:pt>
                <c:pt idx="41">
                  <c:v>51.14</c:v>
                </c:pt>
                <c:pt idx="42">
                  <c:v>51.09</c:v>
                </c:pt>
                <c:pt idx="43">
                  <c:v>50.89</c:v>
                </c:pt>
                <c:pt idx="44">
                  <c:v>50.41</c:v>
                </c:pt>
                <c:pt idx="45">
                  <c:v>50.99</c:v>
                </c:pt>
                <c:pt idx="46">
                  <c:v>46.95</c:v>
                </c:pt>
                <c:pt idx="47">
                  <c:v>46.87</c:v>
                </c:pt>
                <c:pt idx="48">
                  <c:v>47.53</c:v>
                </c:pt>
                <c:pt idx="49">
                  <c:v>47.6</c:v>
                </c:pt>
                <c:pt idx="50">
                  <c:v>47.49</c:v>
                </c:pt>
                <c:pt idx="51">
                  <c:v>46.95</c:v>
                </c:pt>
                <c:pt idx="52">
                  <c:v>47.09</c:v>
                </c:pt>
                <c:pt idx="53">
                  <c:v>47.6</c:v>
                </c:pt>
                <c:pt idx="54">
                  <c:v>48.18</c:v>
                </c:pt>
                <c:pt idx="55">
                  <c:v>47.99</c:v>
                </c:pt>
                <c:pt idx="56">
                  <c:v>48.01</c:v>
                </c:pt>
                <c:pt idx="57">
                  <c:v>47.1</c:v>
                </c:pt>
                <c:pt idx="58">
                  <c:v>47.27</c:v>
                </c:pt>
                <c:pt idx="59">
                  <c:v>47.12</c:v>
                </c:pt>
                <c:pt idx="60">
                  <c:v>47.81</c:v>
                </c:pt>
                <c:pt idx="61">
                  <c:v>48.49</c:v>
                </c:pt>
                <c:pt idx="62">
                  <c:v>48.41</c:v>
                </c:pt>
                <c:pt idx="63">
                  <c:v>45.9</c:v>
                </c:pt>
                <c:pt idx="64">
                  <c:v>44.9</c:v>
                </c:pt>
                <c:pt idx="65">
                  <c:v>44.4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1541680"/>
        <c:axId val="711543640"/>
      </c:lineChart>
      <c:dateAx>
        <c:axId val="711541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1543640"/>
        <c:crosses val="autoZero"/>
        <c:auto val="1"/>
        <c:lblOffset val="100"/>
        <c:baseTimeUnit val="days"/>
      </c:dateAx>
      <c:valAx>
        <c:axId val="71154364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1541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42676</c:v>
                </c:pt>
                <c:pt idx="1">
                  <c:v>42675</c:v>
                </c:pt>
                <c:pt idx="2">
                  <c:v>42674</c:v>
                </c:pt>
                <c:pt idx="3">
                  <c:v>42671</c:v>
                </c:pt>
                <c:pt idx="4">
                  <c:v>42670</c:v>
                </c:pt>
                <c:pt idx="5">
                  <c:v>42669</c:v>
                </c:pt>
                <c:pt idx="6">
                  <c:v>42668</c:v>
                </c:pt>
                <c:pt idx="7">
                  <c:v>42667</c:v>
                </c:pt>
                <c:pt idx="8">
                  <c:v>42664</c:v>
                </c:pt>
                <c:pt idx="9">
                  <c:v>42663</c:v>
                </c:pt>
                <c:pt idx="10">
                  <c:v>42662</c:v>
                </c:pt>
                <c:pt idx="11">
                  <c:v>42661</c:v>
                </c:pt>
                <c:pt idx="12">
                  <c:v>42660</c:v>
                </c:pt>
                <c:pt idx="13">
                  <c:v>42657</c:v>
                </c:pt>
                <c:pt idx="14">
                  <c:v>42656</c:v>
                </c:pt>
                <c:pt idx="15">
                  <c:v>42655</c:v>
                </c:pt>
                <c:pt idx="16">
                  <c:v>42654</c:v>
                </c:pt>
                <c:pt idx="17">
                  <c:v>42653</c:v>
                </c:pt>
                <c:pt idx="18">
                  <c:v>42650</c:v>
                </c:pt>
                <c:pt idx="19">
                  <c:v>42649</c:v>
                </c:pt>
                <c:pt idx="20">
                  <c:v>42648</c:v>
                </c:pt>
                <c:pt idx="21">
                  <c:v>42647</c:v>
                </c:pt>
                <c:pt idx="22">
                  <c:v>42646</c:v>
                </c:pt>
                <c:pt idx="23">
                  <c:v>42643</c:v>
                </c:pt>
                <c:pt idx="24">
                  <c:v>42642</c:v>
                </c:pt>
                <c:pt idx="25">
                  <c:v>42642</c:v>
                </c:pt>
                <c:pt idx="26">
                  <c:v>42641</c:v>
                </c:pt>
                <c:pt idx="27">
                  <c:v>42640</c:v>
                </c:pt>
                <c:pt idx="28">
                  <c:v>42639</c:v>
                </c:pt>
                <c:pt idx="29">
                  <c:v>42636</c:v>
                </c:pt>
                <c:pt idx="30">
                  <c:v>42635</c:v>
                </c:pt>
                <c:pt idx="31">
                  <c:v>42634</c:v>
                </c:pt>
                <c:pt idx="32">
                  <c:v>42633</c:v>
                </c:pt>
                <c:pt idx="33">
                  <c:v>42632</c:v>
                </c:pt>
                <c:pt idx="34">
                  <c:v>42629</c:v>
                </c:pt>
                <c:pt idx="35">
                  <c:v>42628</c:v>
                </c:pt>
                <c:pt idx="36">
                  <c:v>42627</c:v>
                </c:pt>
                <c:pt idx="37">
                  <c:v>42626</c:v>
                </c:pt>
                <c:pt idx="38">
                  <c:v>42625</c:v>
                </c:pt>
                <c:pt idx="39">
                  <c:v>42622</c:v>
                </c:pt>
                <c:pt idx="40">
                  <c:v>42621</c:v>
                </c:pt>
                <c:pt idx="41">
                  <c:v>42620</c:v>
                </c:pt>
                <c:pt idx="42">
                  <c:v>42619</c:v>
                </c:pt>
                <c:pt idx="43">
                  <c:v>42615</c:v>
                </c:pt>
                <c:pt idx="44">
                  <c:v>42614</c:v>
                </c:pt>
                <c:pt idx="45">
                  <c:v>42613</c:v>
                </c:pt>
                <c:pt idx="46">
                  <c:v>42612</c:v>
                </c:pt>
                <c:pt idx="47">
                  <c:v>42611</c:v>
                </c:pt>
                <c:pt idx="48">
                  <c:v>42608</c:v>
                </c:pt>
                <c:pt idx="49">
                  <c:v>42607</c:v>
                </c:pt>
                <c:pt idx="50">
                  <c:v>42606</c:v>
                </c:pt>
                <c:pt idx="51">
                  <c:v>42605</c:v>
                </c:pt>
                <c:pt idx="52">
                  <c:v>42604</c:v>
                </c:pt>
                <c:pt idx="53">
                  <c:v>42601</c:v>
                </c:pt>
                <c:pt idx="54">
                  <c:v>42600</c:v>
                </c:pt>
                <c:pt idx="55">
                  <c:v>42599</c:v>
                </c:pt>
                <c:pt idx="56">
                  <c:v>42598</c:v>
                </c:pt>
                <c:pt idx="57">
                  <c:v>42597</c:v>
                </c:pt>
                <c:pt idx="58">
                  <c:v>42594</c:v>
                </c:pt>
                <c:pt idx="59">
                  <c:v>42593</c:v>
                </c:pt>
                <c:pt idx="60">
                  <c:v>42592</c:v>
                </c:pt>
                <c:pt idx="61">
                  <c:v>42591</c:v>
                </c:pt>
                <c:pt idx="62">
                  <c:v>42590</c:v>
                </c:pt>
                <c:pt idx="63">
                  <c:v>42587</c:v>
                </c:pt>
                <c:pt idx="64">
                  <c:v>42586</c:v>
                </c:pt>
                <c:pt idx="65">
                  <c:v>42585</c:v>
                </c:pt>
                <c:pt idx="66">
                  <c:v>42584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68.66</c:v>
                </c:pt>
                <c:pt idx="1">
                  <c:v>66.89</c:v>
                </c:pt>
                <c:pt idx="2">
                  <c:v>68.69</c:v>
                </c:pt>
                <c:pt idx="3">
                  <c:v>67.5</c:v>
                </c:pt>
                <c:pt idx="4">
                  <c:v>74.8</c:v>
                </c:pt>
                <c:pt idx="5">
                  <c:v>74.400000000000006</c:v>
                </c:pt>
                <c:pt idx="6">
                  <c:v>74.91</c:v>
                </c:pt>
                <c:pt idx="7">
                  <c:v>75.61</c:v>
                </c:pt>
                <c:pt idx="8">
                  <c:v>75.150000000000006</c:v>
                </c:pt>
                <c:pt idx="9">
                  <c:v>75.58</c:v>
                </c:pt>
                <c:pt idx="10">
                  <c:v>75.209999999999994</c:v>
                </c:pt>
                <c:pt idx="11">
                  <c:v>75.73</c:v>
                </c:pt>
                <c:pt idx="12">
                  <c:v>74.959999999999994</c:v>
                </c:pt>
                <c:pt idx="13">
                  <c:v>75.27</c:v>
                </c:pt>
                <c:pt idx="14">
                  <c:v>75.34</c:v>
                </c:pt>
                <c:pt idx="15">
                  <c:v>75.790000000000006</c:v>
                </c:pt>
                <c:pt idx="16">
                  <c:v>75.319999999999993</c:v>
                </c:pt>
                <c:pt idx="17">
                  <c:v>76.47</c:v>
                </c:pt>
                <c:pt idx="18">
                  <c:v>76.400000000000006</c:v>
                </c:pt>
                <c:pt idx="19">
                  <c:v>76.709999999999994</c:v>
                </c:pt>
                <c:pt idx="20">
                  <c:v>75.88</c:v>
                </c:pt>
                <c:pt idx="21">
                  <c:v>75.69</c:v>
                </c:pt>
                <c:pt idx="22">
                  <c:v>75.790000000000006</c:v>
                </c:pt>
                <c:pt idx="23">
                  <c:v>77.7</c:v>
                </c:pt>
                <c:pt idx="24">
                  <c:v>76.900000000000006</c:v>
                </c:pt>
                <c:pt idx="26">
                  <c:v>78.260000000000005</c:v>
                </c:pt>
                <c:pt idx="27">
                  <c:v>78.14</c:v>
                </c:pt>
                <c:pt idx="28">
                  <c:v>76.88</c:v>
                </c:pt>
                <c:pt idx="29">
                  <c:v>77.66</c:v>
                </c:pt>
                <c:pt idx="30">
                  <c:v>77.56</c:v>
                </c:pt>
                <c:pt idx="31">
                  <c:v>76.849999999999994</c:v>
                </c:pt>
                <c:pt idx="32">
                  <c:v>75.959999999999994</c:v>
                </c:pt>
                <c:pt idx="33">
                  <c:v>76.569999999999993</c:v>
                </c:pt>
                <c:pt idx="34">
                  <c:v>77</c:v>
                </c:pt>
                <c:pt idx="35">
                  <c:v>76.599999999999994</c:v>
                </c:pt>
                <c:pt idx="36">
                  <c:v>75.260000000000005</c:v>
                </c:pt>
                <c:pt idx="37">
                  <c:v>78.09</c:v>
                </c:pt>
                <c:pt idx="38">
                  <c:v>79.98</c:v>
                </c:pt>
                <c:pt idx="39">
                  <c:v>78.81</c:v>
                </c:pt>
                <c:pt idx="40">
                  <c:v>80.709999999999994</c:v>
                </c:pt>
                <c:pt idx="41">
                  <c:v>81.16</c:v>
                </c:pt>
                <c:pt idx="42">
                  <c:v>80.81</c:v>
                </c:pt>
                <c:pt idx="43">
                  <c:v>79.73</c:v>
                </c:pt>
                <c:pt idx="44">
                  <c:v>79.7</c:v>
                </c:pt>
                <c:pt idx="45">
                  <c:v>79.67</c:v>
                </c:pt>
                <c:pt idx="46">
                  <c:v>79.72</c:v>
                </c:pt>
                <c:pt idx="47">
                  <c:v>79.77</c:v>
                </c:pt>
                <c:pt idx="48">
                  <c:v>79.349999999999994</c:v>
                </c:pt>
                <c:pt idx="49">
                  <c:v>79.36</c:v>
                </c:pt>
                <c:pt idx="50">
                  <c:v>81.08</c:v>
                </c:pt>
                <c:pt idx="51">
                  <c:v>82.02</c:v>
                </c:pt>
                <c:pt idx="52">
                  <c:v>82.15</c:v>
                </c:pt>
                <c:pt idx="53">
                  <c:v>81.72</c:v>
                </c:pt>
                <c:pt idx="54">
                  <c:v>82.42</c:v>
                </c:pt>
                <c:pt idx="55">
                  <c:v>82.78</c:v>
                </c:pt>
                <c:pt idx="56">
                  <c:v>82.68</c:v>
                </c:pt>
                <c:pt idx="57">
                  <c:v>83.19</c:v>
                </c:pt>
                <c:pt idx="58">
                  <c:v>83.6</c:v>
                </c:pt>
                <c:pt idx="59">
                  <c:v>83.61</c:v>
                </c:pt>
                <c:pt idx="60">
                  <c:v>83.55</c:v>
                </c:pt>
                <c:pt idx="61">
                  <c:v>83.8</c:v>
                </c:pt>
                <c:pt idx="62">
                  <c:v>83.78</c:v>
                </c:pt>
                <c:pt idx="63">
                  <c:v>84.36</c:v>
                </c:pt>
                <c:pt idx="64">
                  <c:v>83.58</c:v>
                </c:pt>
                <c:pt idx="65">
                  <c:v>84.64</c:v>
                </c:pt>
                <c:pt idx="66">
                  <c:v>84.92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1545208"/>
        <c:axId val="711545600"/>
      </c:lineChart>
      <c:dateAx>
        <c:axId val="711545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1545600"/>
        <c:crosses val="autoZero"/>
        <c:auto val="1"/>
        <c:lblOffset val="100"/>
        <c:baseTimeUnit val="days"/>
      </c:dateAx>
      <c:valAx>
        <c:axId val="711545600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1545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42676</c:v>
                </c:pt>
                <c:pt idx="1">
                  <c:v>42675</c:v>
                </c:pt>
                <c:pt idx="2">
                  <c:v>42674</c:v>
                </c:pt>
                <c:pt idx="3">
                  <c:v>42671</c:v>
                </c:pt>
                <c:pt idx="4">
                  <c:v>42670</c:v>
                </c:pt>
                <c:pt idx="5">
                  <c:v>42669</c:v>
                </c:pt>
                <c:pt idx="6">
                  <c:v>42668</c:v>
                </c:pt>
                <c:pt idx="7">
                  <c:v>42667</c:v>
                </c:pt>
                <c:pt idx="8">
                  <c:v>42664</c:v>
                </c:pt>
                <c:pt idx="9">
                  <c:v>42663</c:v>
                </c:pt>
                <c:pt idx="10">
                  <c:v>42662</c:v>
                </c:pt>
                <c:pt idx="11">
                  <c:v>42661</c:v>
                </c:pt>
                <c:pt idx="12">
                  <c:v>42660</c:v>
                </c:pt>
                <c:pt idx="13">
                  <c:v>42657</c:v>
                </c:pt>
                <c:pt idx="14">
                  <c:v>42656</c:v>
                </c:pt>
                <c:pt idx="15">
                  <c:v>42655</c:v>
                </c:pt>
                <c:pt idx="16">
                  <c:v>42654</c:v>
                </c:pt>
                <c:pt idx="17">
                  <c:v>42653</c:v>
                </c:pt>
                <c:pt idx="18">
                  <c:v>42650</c:v>
                </c:pt>
                <c:pt idx="19">
                  <c:v>42649</c:v>
                </c:pt>
                <c:pt idx="20">
                  <c:v>42648</c:v>
                </c:pt>
                <c:pt idx="21">
                  <c:v>42647</c:v>
                </c:pt>
                <c:pt idx="22">
                  <c:v>42646</c:v>
                </c:pt>
                <c:pt idx="23">
                  <c:v>42643</c:v>
                </c:pt>
                <c:pt idx="24">
                  <c:v>42642</c:v>
                </c:pt>
                <c:pt idx="25">
                  <c:v>42641</c:v>
                </c:pt>
                <c:pt idx="26">
                  <c:v>42640</c:v>
                </c:pt>
                <c:pt idx="27">
                  <c:v>42639</c:v>
                </c:pt>
                <c:pt idx="28">
                  <c:v>42636</c:v>
                </c:pt>
                <c:pt idx="29">
                  <c:v>42635</c:v>
                </c:pt>
                <c:pt idx="30">
                  <c:v>42634</c:v>
                </c:pt>
                <c:pt idx="31">
                  <c:v>42633</c:v>
                </c:pt>
                <c:pt idx="32">
                  <c:v>42632</c:v>
                </c:pt>
                <c:pt idx="33">
                  <c:v>42629</c:v>
                </c:pt>
                <c:pt idx="34">
                  <c:v>42628</c:v>
                </c:pt>
                <c:pt idx="35">
                  <c:v>42627</c:v>
                </c:pt>
                <c:pt idx="36">
                  <c:v>42626</c:v>
                </c:pt>
                <c:pt idx="37">
                  <c:v>42625</c:v>
                </c:pt>
                <c:pt idx="38">
                  <c:v>42622</c:v>
                </c:pt>
                <c:pt idx="39">
                  <c:v>42621</c:v>
                </c:pt>
                <c:pt idx="40">
                  <c:v>42620</c:v>
                </c:pt>
                <c:pt idx="41">
                  <c:v>42619</c:v>
                </c:pt>
                <c:pt idx="42">
                  <c:v>42615</c:v>
                </c:pt>
                <c:pt idx="43">
                  <c:v>42614</c:v>
                </c:pt>
                <c:pt idx="44">
                  <c:v>42613</c:v>
                </c:pt>
                <c:pt idx="45">
                  <c:v>42612</c:v>
                </c:pt>
                <c:pt idx="46">
                  <c:v>42611</c:v>
                </c:pt>
                <c:pt idx="47">
                  <c:v>42608</c:v>
                </c:pt>
                <c:pt idx="48">
                  <c:v>42607</c:v>
                </c:pt>
                <c:pt idx="49">
                  <c:v>42606</c:v>
                </c:pt>
                <c:pt idx="50">
                  <c:v>42605</c:v>
                </c:pt>
                <c:pt idx="51">
                  <c:v>42604</c:v>
                </c:pt>
                <c:pt idx="52">
                  <c:v>42601</c:v>
                </c:pt>
                <c:pt idx="53">
                  <c:v>42600</c:v>
                </c:pt>
                <c:pt idx="54">
                  <c:v>42599</c:v>
                </c:pt>
                <c:pt idx="55">
                  <c:v>42598</c:v>
                </c:pt>
                <c:pt idx="56">
                  <c:v>42597</c:v>
                </c:pt>
                <c:pt idx="57">
                  <c:v>42594</c:v>
                </c:pt>
                <c:pt idx="58">
                  <c:v>42593</c:v>
                </c:pt>
                <c:pt idx="59">
                  <c:v>42592</c:v>
                </c:pt>
                <c:pt idx="60">
                  <c:v>42592</c:v>
                </c:pt>
                <c:pt idx="61">
                  <c:v>42591</c:v>
                </c:pt>
                <c:pt idx="62">
                  <c:v>42590</c:v>
                </c:pt>
                <c:pt idx="63">
                  <c:v>42587</c:v>
                </c:pt>
                <c:pt idx="64">
                  <c:v>42586</c:v>
                </c:pt>
                <c:pt idx="65">
                  <c:v>42585</c:v>
                </c:pt>
                <c:pt idx="66">
                  <c:v>42584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41.93</c:v>
                </c:pt>
                <c:pt idx="1">
                  <c:v>41.88</c:v>
                </c:pt>
                <c:pt idx="2">
                  <c:v>41.77</c:v>
                </c:pt>
                <c:pt idx="3">
                  <c:v>41.34</c:v>
                </c:pt>
                <c:pt idx="4">
                  <c:v>41.47</c:v>
                </c:pt>
                <c:pt idx="5">
                  <c:v>41.4</c:v>
                </c:pt>
                <c:pt idx="6">
                  <c:v>41.21</c:v>
                </c:pt>
                <c:pt idx="7">
                  <c:v>41.37</c:v>
                </c:pt>
                <c:pt idx="8">
                  <c:v>41.17</c:v>
                </c:pt>
                <c:pt idx="9">
                  <c:v>41.46</c:v>
                </c:pt>
                <c:pt idx="10">
                  <c:v>40.9</c:v>
                </c:pt>
                <c:pt idx="11">
                  <c:v>39.46</c:v>
                </c:pt>
                <c:pt idx="12">
                  <c:v>39.35</c:v>
                </c:pt>
                <c:pt idx="13">
                  <c:v>40.04</c:v>
                </c:pt>
                <c:pt idx="14">
                  <c:v>40.01</c:v>
                </c:pt>
                <c:pt idx="15">
                  <c:v>39.270000000000003</c:v>
                </c:pt>
                <c:pt idx="16">
                  <c:v>38.94</c:v>
                </c:pt>
                <c:pt idx="17">
                  <c:v>39.770000000000003</c:v>
                </c:pt>
                <c:pt idx="18">
                  <c:v>38.950000000000003</c:v>
                </c:pt>
                <c:pt idx="19">
                  <c:v>39.94</c:v>
                </c:pt>
                <c:pt idx="20">
                  <c:v>40.32</c:v>
                </c:pt>
                <c:pt idx="21">
                  <c:v>40.15</c:v>
                </c:pt>
                <c:pt idx="22">
                  <c:v>39.979999999999997</c:v>
                </c:pt>
                <c:pt idx="23">
                  <c:v>39.36</c:v>
                </c:pt>
                <c:pt idx="24">
                  <c:v>39.03</c:v>
                </c:pt>
                <c:pt idx="25">
                  <c:v>39.229999999999997</c:v>
                </c:pt>
                <c:pt idx="26">
                  <c:v>39.21</c:v>
                </c:pt>
                <c:pt idx="27">
                  <c:v>38.04</c:v>
                </c:pt>
                <c:pt idx="28">
                  <c:v>38.78</c:v>
                </c:pt>
                <c:pt idx="29">
                  <c:v>38.5</c:v>
                </c:pt>
                <c:pt idx="30">
                  <c:v>38.049999999999997</c:v>
                </c:pt>
                <c:pt idx="31">
                  <c:v>37.630000000000003</c:v>
                </c:pt>
                <c:pt idx="32">
                  <c:v>37.57</c:v>
                </c:pt>
                <c:pt idx="33">
                  <c:v>36.770000000000003</c:v>
                </c:pt>
                <c:pt idx="34">
                  <c:v>37.29</c:v>
                </c:pt>
                <c:pt idx="35">
                  <c:v>37.119999999999997</c:v>
                </c:pt>
                <c:pt idx="36">
                  <c:v>37.53</c:v>
                </c:pt>
                <c:pt idx="37">
                  <c:v>38.44</c:v>
                </c:pt>
                <c:pt idx="38">
                  <c:v>37.75</c:v>
                </c:pt>
                <c:pt idx="39">
                  <c:v>39.29</c:v>
                </c:pt>
                <c:pt idx="40">
                  <c:v>38.9</c:v>
                </c:pt>
                <c:pt idx="41">
                  <c:v>36.82</c:v>
                </c:pt>
                <c:pt idx="42">
                  <c:v>37.17</c:v>
                </c:pt>
                <c:pt idx="43">
                  <c:v>36.82</c:v>
                </c:pt>
                <c:pt idx="44">
                  <c:v>36.75</c:v>
                </c:pt>
                <c:pt idx="45">
                  <c:v>37.159999999999997</c:v>
                </c:pt>
                <c:pt idx="46">
                  <c:v>36.549999999999997</c:v>
                </c:pt>
                <c:pt idx="47">
                  <c:v>36.090000000000003</c:v>
                </c:pt>
                <c:pt idx="48">
                  <c:v>36.47</c:v>
                </c:pt>
                <c:pt idx="49">
                  <c:v>36.770000000000003</c:v>
                </c:pt>
                <c:pt idx="50">
                  <c:v>36.69</c:v>
                </c:pt>
                <c:pt idx="51">
                  <c:v>36.61</c:v>
                </c:pt>
                <c:pt idx="52">
                  <c:v>36.770000000000003</c:v>
                </c:pt>
                <c:pt idx="53">
                  <c:v>37.07</c:v>
                </c:pt>
                <c:pt idx="54">
                  <c:v>37.51</c:v>
                </c:pt>
                <c:pt idx="55">
                  <c:v>36.94</c:v>
                </c:pt>
                <c:pt idx="56">
                  <c:v>36.92</c:v>
                </c:pt>
                <c:pt idx="57">
                  <c:v>36.35</c:v>
                </c:pt>
                <c:pt idx="58">
                  <c:v>36.700000000000003</c:v>
                </c:pt>
                <c:pt idx="59">
                  <c:v>36.479999999999997</c:v>
                </c:pt>
                <c:pt idx="61">
                  <c:v>37.15</c:v>
                </c:pt>
                <c:pt idx="62">
                  <c:v>37.44</c:v>
                </c:pt>
                <c:pt idx="63">
                  <c:v>37.67</c:v>
                </c:pt>
                <c:pt idx="64">
                  <c:v>36.54</c:v>
                </c:pt>
                <c:pt idx="65">
                  <c:v>36.479999999999997</c:v>
                </c:pt>
                <c:pt idx="66">
                  <c:v>36.39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1547560"/>
        <c:axId val="711547952"/>
      </c:lineChart>
      <c:dateAx>
        <c:axId val="711547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1547952"/>
        <c:crosses val="autoZero"/>
        <c:auto val="1"/>
        <c:lblOffset val="100"/>
        <c:baseTimeUnit val="days"/>
      </c:dateAx>
      <c:valAx>
        <c:axId val="711547952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1547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42676</c:v>
                </c:pt>
                <c:pt idx="1">
                  <c:v>42675</c:v>
                </c:pt>
                <c:pt idx="2">
                  <c:v>42674</c:v>
                </c:pt>
                <c:pt idx="3">
                  <c:v>42671</c:v>
                </c:pt>
                <c:pt idx="4">
                  <c:v>42670</c:v>
                </c:pt>
                <c:pt idx="5">
                  <c:v>42669</c:v>
                </c:pt>
                <c:pt idx="6">
                  <c:v>42668</c:v>
                </c:pt>
                <c:pt idx="7">
                  <c:v>42667</c:v>
                </c:pt>
                <c:pt idx="8">
                  <c:v>42664</c:v>
                </c:pt>
                <c:pt idx="9">
                  <c:v>42663</c:v>
                </c:pt>
                <c:pt idx="10">
                  <c:v>42662</c:v>
                </c:pt>
                <c:pt idx="11">
                  <c:v>42661</c:v>
                </c:pt>
                <c:pt idx="12">
                  <c:v>42660</c:v>
                </c:pt>
                <c:pt idx="13">
                  <c:v>42657</c:v>
                </c:pt>
                <c:pt idx="14">
                  <c:v>42656</c:v>
                </c:pt>
                <c:pt idx="15">
                  <c:v>42655</c:v>
                </c:pt>
                <c:pt idx="16">
                  <c:v>42654</c:v>
                </c:pt>
                <c:pt idx="17">
                  <c:v>42653</c:v>
                </c:pt>
                <c:pt idx="18">
                  <c:v>42650</c:v>
                </c:pt>
                <c:pt idx="19">
                  <c:v>42649</c:v>
                </c:pt>
                <c:pt idx="20">
                  <c:v>42648</c:v>
                </c:pt>
                <c:pt idx="21">
                  <c:v>42647</c:v>
                </c:pt>
                <c:pt idx="22">
                  <c:v>42646</c:v>
                </c:pt>
                <c:pt idx="23">
                  <c:v>42643</c:v>
                </c:pt>
                <c:pt idx="24">
                  <c:v>42642</c:v>
                </c:pt>
                <c:pt idx="25">
                  <c:v>42641</c:v>
                </c:pt>
                <c:pt idx="26">
                  <c:v>42640</c:v>
                </c:pt>
                <c:pt idx="27">
                  <c:v>42639</c:v>
                </c:pt>
                <c:pt idx="28">
                  <c:v>42636</c:v>
                </c:pt>
                <c:pt idx="29">
                  <c:v>42635</c:v>
                </c:pt>
                <c:pt idx="30">
                  <c:v>42634</c:v>
                </c:pt>
                <c:pt idx="31">
                  <c:v>42633</c:v>
                </c:pt>
                <c:pt idx="32">
                  <c:v>42632</c:v>
                </c:pt>
                <c:pt idx="33">
                  <c:v>42629</c:v>
                </c:pt>
                <c:pt idx="34">
                  <c:v>42628</c:v>
                </c:pt>
                <c:pt idx="35">
                  <c:v>42627</c:v>
                </c:pt>
                <c:pt idx="36">
                  <c:v>42626</c:v>
                </c:pt>
                <c:pt idx="37">
                  <c:v>42625</c:v>
                </c:pt>
                <c:pt idx="38">
                  <c:v>42622</c:v>
                </c:pt>
                <c:pt idx="39">
                  <c:v>42621</c:v>
                </c:pt>
                <c:pt idx="40">
                  <c:v>42620</c:v>
                </c:pt>
                <c:pt idx="41">
                  <c:v>42619</c:v>
                </c:pt>
                <c:pt idx="42">
                  <c:v>42615</c:v>
                </c:pt>
                <c:pt idx="43">
                  <c:v>42614</c:v>
                </c:pt>
                <c:pt idx="44">
                  <c:v>42613</c:v>
                </c:pt>
                <c:pt idx="45">
                  <c:v>42612</c:v>
                </c:pt>
                <c:pt idx="46">
                  <c:v>42611</c:v>
                </c:pt>
                <c:pt idx="47">
                  <c:v>42608</c:v>
                </c:pt>
                <c:pt idx="48">
                  <c:v>42607</c:v>
                </c:pt>
                <c:pt idx="49">
                  <c:v>42606</c:v>
                </c:pt>
                <c:pt idx="50">
                  <c:v>42605</c:v>
                </c:pt>
                <c:pt idx="51">
                  <c:v>42604</c:v>
                </c:pt>
                <c:pt idx="52">
                  <c:v>42601</c:v>
                </c:pt>
                <c:pt idx="53">
                  <c:v>42600</c:v>
                </c:pt>
                <c:pt idx="54">
                  <c:v>42599</c:v>
                </c:pt>
                <c:pt idx="55">
                  <c:v>42598</c:v>
                </c:pt>
                <c:pt idx="56">
                  <c:v>42597</c:v>
                </c:pt>
                <c:pt idx="57">
                  <c:v>42594</c:v>
                </c:pt>
                <c:pt idx="58">
                  <c:v>42593</c:v>
                </c:pt>
                <c:pt idx="59">
                  <c:v>42592</c:v>
                </c:pt>
                <c:pt idx="60">
                  <c:v>42591</c:v>
                </c:pt>
                <c:pt idx="61">
                  <c:v>42590</c:v>
                </c:pt>
                <c:pt idx="62">
                  <c:v>42587</c:v>
                </c:pt>
                <c:pt idx="63">
                  <c:v>42586</c:v>
                </c:pt>
                <c:pt idx="64">
                  <c:v>42585</c:v>
                </c:pt>
                <c:pt idx="65">
                  <c:v>42584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91.91</c:v>
                </c:pt>
                <c:pt idx="1">
                  <c:v>92.39</c:v>
                </c:pt>
                <c:pt idx="2">
                  <c:v>92.69</c:v>
                </c:pt>
                <c:pt idx="3">
                  <c:v>93.85</c:v>
                </c:pt>
                <c:pt idx="4">
                  <c:v>94.02</c:v>
                </c:pt>
                <c:pt idx="5">
                  <c:v>93.49</c:v>
                </c:pt>
                <c:pt idx="6">
                  <c:v>92.75</c:v>
                </c:pt>
                <c:pt idx="7">
                  <c:v>93.37</c:v>
                </c:pt>
                <c:pt idx="8">
                  <c:v>93.03</c:v>
                </c:pt>
                <c:pt idx="9">
                  <c:v>92.03</c:v>
                </c:pt>
                <c:pt idx="10">
                  <c:v>91.93</c:v>
                </c:pt>
                <c:pt idx="11">
                  <c:v>91.17</c:v>
                </c:pt>
                <c:pt idx="12">
                  <c:v>90.83</c:v>
                </c:pt>
                <c:pt idx="13">
                  <c:v>91.3</c:v>
                </c:pt>
                <c:pt idx="14">
                  <c:v>91.12</c:v>
                </c:pt>
                <c:pt idx="15">
                  <c:v>91.41</c:v>
                </c:pt>
                <c:pt idx="16">
                  <c:v>91.86</c:v>
                </c:pt>
                <c:pt idx="17">
                  <c:v>92.49</c:v>
                </c:pt>
                <c:pt idx="18">
                  <c:v>92.49</c:v>
                </c:pt>
                <c:pt idx="19">
                  <c:v>92.83</c:v>
                </c:pt>
                <c:pt idx="20">
                  <c:v>92.45</c:v>
                </c:pt>
                <c:pt idx="21">
                  <c:v>92.59</c:v>
                </c:pt>
                <c:pt idx="22">
                  <c:v>92.49</c:v>
                </c:pt>
                <c:pt idx="23">
                  <c:v>92.86</c:v>
                </c:pt>
                <c:pt idx="24">
                  <c:v>91.8</c:v>
                </c:pt>
                <c:pt idx="25">
                  <c:v>92.2</c:v>
                </c:pt>
                <c:pt idx="26">
                  <c:v>91.72</c:v>
                </c:pt>
                <c:pt idx="27">
                  <c:v>91.96</c:v>
                </c:pt>
                <c:pt idx="28">
                  <c:v>93.27</c:v>
                </c:pt>
                <c:pt idx="29">
                  <c:v>93.41</c:v>
                </c:pt>
                <c:pt idx="30">
                  <c:v>92.39</c:v>
                </c:pt>
                <c:pt idx="31">
                  <c:v>92.95</c:v>
                </c:pt>
                <c:pt idx="32">
                  <c:v>92.63</c:v>
                </c:pt>
                <c:pt idx="33">
                  <c:v>92.56</c:v>
                </c:pt>
                <c:pt idx="34">
                  <c:v>92.5</c:v>
                </c:pt>
                <c:pt idx="35">
                  <c:v>92.26</c:v>
                </c:pt>
                <c:pt idx="36">
                  <c:v>92.7</c:v>
                </c:pt>
                <c:pt idx="37">
                  <c:v>93.64</c:v>
                </c:pt>
                <c:pt idx="38">
                  <c:v>92.42</c:v>
                </c:pt>
                <c:pt idx="39">
                  <c:v>94.09</c:v>
                </c:pt>
                <c:pt idx="40">
                  <c:v>93.71</c:v>
                </c:pt>
                <c:pt idx="41">
                  <c:v>93.8</c:v>
                </c:pt>
                <c:pt idx="42">
                  <c:v>94.42</c:v>
                </c:pt>
                <c:pt idx="43">
                  <c:v>94.26</c:v>
                </c:pt>
                <c:pt idx="44">
                  <c:v>94.46</c:v>
                </c:pt>
                <c:pt idx="45">
                  <c:v>94.86</c:v>
                </c:pt>
                <c:pt idx="46">
                  <c:v>94.87</c:v>
                </c:pt>
                <c:pt idx="47">
                  <c:v>95.21</c:v>
                </c:pt>
                <c:pt idx="48">
                  <c:v>95.55</c:v>
                </c:pt>
                <c:pt idx="49">
                  <c:v>95.82</c:v>
                </c:pt>
                <c:pt idx="50">
                  <c:v>95.97</c:v>
                </c:pt>
                <c:pt idx="51">
                  <c:v>95.87</c:v>
                </c:pt>
                <c:pt idx="52">
                  <c:v>96.39</c:v>
                </c:pt>
                <c:pt idx="53">
                  <c:v>96.65</c:v>
                </c:pt>
                <c:pt idx="54">
                  <c:v>96.87</c:v>
                </c:pt>
                <c:pt idx="55">
                  <c:v>96.88</c:v>
                </c:pt>
                <c:pt idx="56">
                  <c:v>97.1</c:v>
                </c:pt>
                <c:pt idx="57">
                  <c:v>96.84</c:v>
                </c:pt>
                <c:pt idx="58">
                  <c:v>97.77</c:v>
                </c:pt>
                <c:pt idx="59">
                  <c:v>97.86</c:v>
                </c:pt>
                <c:pt idx="60">
                  <c:v>96.67</c:v>
                </c:pt>
                <c:pt idx="61">
                  <c:v>95.75</c:v>
                </c:pt>
                <c:pt idx="62">
                  <c:v>95.83</c:v>
                </c:pt>
                <c:pt idx="63">
                  <c:v>95.16</c:v>
                </c:pt>
                <c:pt idx="64">
                  <c:v>96.09</c:v>
                </c:pt>
                <c:pt idx="65">
                  <c:v>95.01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1612208"/>
        <c:axId val="781614560"/>
      </c:lineChart>
      <c:dateAx>
        <c:axId val="781612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614560"/>
        <c:crosses val="autoZero"/>
        <c:auto val="1"/>
        <c:lblOffset val="100"/>
        <c:baseTimeUnit val="days"/>
      </c:dateAx>
      <c:valAx>
        <c:axId val="78161456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612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42676</c:v>
                </c:pt>
                <c:pt idx="1">
                  <c:v>42675</c:v>
                </c:pt>
                <c:pt idx="2">
                  <c:v>42674</c:v>
                </c:pt>
                <c:pt idx="3">
                  <c:v>42671</c:v>
                </c:pt>
                <c:pt idx="4">
                  <c:v>42670</c:v>
                </c:pt>
                <c:pt idx="5">
                  <c:v>42669</c:v>
                </c:pt>
                <c:pt idx="6">
                  <c:v>42668</c:v>
                </c:pt>
                <c:pt idx="7">
                  <c:v>42667</c:v>
                </c:pt>
                <c:pt idx="8">
                  <c:v>42664</c:v>
                </c:pt>
                <c:pt idx="9">
                  <c:v>42663</c:v>
                </c:pt>
                <c:pt idx="10">
                  <c:v>42662</c:v>
                </c:pt>
                <c:pt idx="11">
                  <c:v>42661</c:v>
                </c:pt>
                <c:pt idx="12">
                  <c:v>42660</c:v>
                </c:pt>
                <c:pt idx="13">
                  <c:v>42657</c:v>
                </c:pt>
                <c:pt idx="14">
                  <c:v>42656</c:v>
                </c:pt>
                <c:pt idx="15">
                  <c:v>42655</c:v>
                </c:pt>
                <c:pt idx="16">
                  <c:v>42654</c:v>
                </c:pt>
                <c:pt idx="17">
                  <c:v>42653</c:v>
                </c:pt>
                <c:pt idx="18">
                  <c:v>42650</c:v>
                </c:pt>
                <c:pt idx="19">
                  <c:v>42649</c:v>
                </c:pt>
                <c:pt idx="20">
                  <c:v>42648</c:v>
                </c:pt>
                <c:pt idx="21">
                  <c:v>42647</c:v>
                </c:pt>
                <c:pt idx="22">
                  <c:v>42646</c:v>
                </c:pt>
                <c:pt idx="23">
                  <c:v>42643</c:v>
                </c:pt>
                <c:pt idx="24">
                  <c:v>42642</c:v>
                </c:pt>
                <c:pt idx="25">
                  <c:v>42641</c:v>
                </c:pt>
                <c:pt idx="26">
                  <c:v>42640</c:v>
                </c:pt>
                <c:pt idx="27">
                  <c:v>42639</c:v>
                </c:pt>
                <c:pt idx="28">
                  <c:v>42636</c:v>
                </c:pt>
                <c:pt idx="29">
                  <c:v>42635</c:v>
                </c:pt>
                <c:pt idx="30">
                  <c:v>42634</c:v>
                </c:pt>
                <c:pt idx="31">
                  <c:v>42633</c:v>
                </c:pt>
                <c:pt idx="32">
                  <c:v>42632</c:v>
                </c:pt>
                <c:pt idx="33">
                  <c:v>42629</c:v>
                </c:pt>
                <c:pt idx="34">
                  <c:v>42628</c:v>
                </c:pt>
                <c:pt idx="35">
                  <c:v>42627</c:v>
                </c:pt>
                <c:pt idx="36">
                  <c:v>42626</c:v>
                </c:pt>
                <c:pt idx="37">
                  <c:v>42626</c:v>
                </c:pt>
                <c:pt idx="38">
                  <c:v>42625</c:v>
                </c:pt>
                <c:pt idx="39">
                  <c:v>42622</c:v>
                </c:pt>
                <c:pt idx="40">
                  <c:v>42621</c:v>
                </c:pt>
                <c:pt idx="41">
                  <c:v>42620</c:v>
                </c:pt>
                <c:pt idx="42">
                  <c:v>42619</c:v>
                </c:pt>
                <c:pt idx="43">
                  <c:v>42615</c:v>
                </c:pt>
                <c:pt idx="44">
                  <c:v>42614</c:v>
                </c:pt>
                <c:pt idx="45">
                  <c:v>42613</c:v>
                </c:pt>
                <c:pt idx="46">
                  <c:v>42612</c:v>
                </c:pt>
                <c:pt idx="47">
                  <c:v>42611</c:v>
                </c:pt>
                <c:pt idx="48">
                  <c:v>42608</c:v>
                </c:pt>
                <c:pt idx="49">
                  <c:v>42607</c:v>
                </c:pt>
                <c:pt idx="50">
                  <c:v>42606</c:v>
                </c:pt>
                <c:pt idx="51">
                  <c:v>42605</c:v>
                </c:pt>
                <c:pt idx="52">
                  <c:v>42604</c:v>
                </c:pt>
                <c:pt idx="53">
                  <c:v>42601</c:v>
                </c:pt>
                <c:pt idx="54">
                  <c:v>42600</c:v>
                </c:pt>
                <c:pt idx="55">
                  <c:v>42599</c:v>
                </c:pt>
                <c:pt idx="56">
                  <c:v>42598</c:v>
                </c:pt>
                <c:pt idx="57">
                  <c:v>42597</c:v>
                </c:pt>
                <c:pt idx="58">
                  <c:v>42594</c:v>
                </c:pt>
                <c:pt idx="59">
                  <c:v>42593</c:v>
                </c:pt>
                <c:pt idx="60">
                  <c:v>42592</c:v>
                </c:pt>
                <c:pt idx="61">
                  <c:v>42591</c:v>
                </c:pt>
                <c:pt idx="62">
                  <c:v>42590</c:v>
                </c:pt>
                <c:pt idx="63">
                  <c:v>42587</c:v>
                </c:pt>
                <c:pt idx="64">
                  <c:v>42586</c:v>
                </c:pt>
                <c:pt idx="65">
                  <c:v>42585</c:v>
                </c:pt>
                <c:pt idx="66">
                  <c:v>42584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3.39</c:v>
                </c:pt>
                <c:pt idx="1">
                  <c:v>3.93</c:v>
                </c:pt>
                <c:pt idx="2">
                  <c:v>4.0199999999999996</c:v>
                </c:pt>
                <c:pt idx="3">
                  <c:v>4.03</c:v>
                </c:pt>
                <c:pt idx="4">
                  <c:v>4.17</c:v>
                </c:pt>
                <c:pt idx="5">
                  <c:v>4.09</c:v>
                </c:pt>
                <c:pt idx="6">
                  <c:v>4.1100000000000003</c:v>
                </c:pt>
                <c:pt idx="7">
                  <c:v>4.0999999999999996</c:v>
                </c:pt>
                <c:pt idx="8">
                  <c:v>4.07</c:v>
                </c:pt>
                <c:pt idx="9">
                  <c:v>4.09</c:v>
                </c:pt>
                <c:pt idx="10">
                  <c:v>4.09</c:v>
                </c:pt>
                <c:pt idx="11">
                  <c:v>4.08</c:v>
                </c:pt>
                <c:pt idx="12">
                  <c:v>3.9</c:v>
                </c:pt>
                <c:pt idx="13">
                  <c:v>3.94</c:v>
                </c:pt>
                <c:pt idx="14">
                  <c:v>4</c:v>
                </c:pt>
                <c:pt idx="15">
                  <c:v>4.0199999999999996</c:v>
                </c:pt>
                <c:pt idx="16">
                  <c:v>4.1500000000000004</c:v>
                </c:pt>
                <c:pt idx="17">
                  <c:v>4.1500000000000004</c:v>
                </c:pt>
                <c:pt idx="18">
                  <c:v>4.2300000000000004</c:v>
                </c:pt>
                <c:pt idx="19">
                  <c:v>3.99</c:v>
                </c:pt>
                <c:pt idx="20">
                  <c:v>4.03</c:v>
                </c:pt>
                <c:pt idx="21">
                  <c:v>4.0999999999999996</c:v>
                </c:pt>
                <c:pt idx="22">
                  <c:v>4.1399999999999997</c:v>
                </c:pt>
                <c:pt idx="23">
                  <c:v>4.16</c:v>
                </c:pt>
                <c:pt idx="24">
                  <c:v>4.25</c:v>
                </c:pt>
                <c:pt idx="25">
                  <c:v>4.34</c:v>
                </c:pt>
                <c:pt idx="26">
                  <c:v>4.34</c:v>
                </c:pt>
                <c:pt idx="27">
                  <c:v>4.3600000000000003</c:v>
                </c:pt>
                <c:pt idx="28">
                  <c:v>4.33</c:v>
                </c:pt>
                <c:pt idx="29">
                  <c:v>4.33</c:v>
                </c:pt>
                <c:pt idx="30">
                  <c:v>4.13</c:v>
                </c:pt>
                <c:pt idx="31">
                  <c:v>4.21</c:v>
                </c:pt>
                <c:pt idx="32">
                  <c:v>4.3</c:v>
                </c:pt>
                <c:pt idx="33">
                  <c:v>4.28</c:v>
                </c:pt>
                <c:pt idx="34">
                  <c:v>4.3499999999999996</c:v>
                </c:pt>
                <c:pt idx="35">
                  <c:v>4.3899999999999997</c:v>
                </c:pt>
                <c:pt idx="36">
                  <c:v>4.4800000000000004</c:v>
                </c:pt>
                <c:pt idx="38">
                  <c:v>4.6399999999999997</c:v>
                </c:pt>
                <c:pt idx="39">
                  <c:v>4.5599999999999996</c:v>
                </c:pt>
                <c:pt idx="40">
                  <c:v>4.7699999999999996</c:v>
                </c:pt>
                <c:pt idx="41">
                  <c:v>4.7300000000000004</c:v>
                </c:pt>
                <c:pt idx="42">
                  <c:v>4.68</c:v>
                </c:pt>
                <c:pt idx="43">
                  <c:v>4.5599999999999996</c:v>
                </c:pt>
                <c:pt idx="44">
                  <c:v>4.54</c:v>
                </c:pt>
                <c:pt idx="45">
                  <c:v>4.5999999999999996</c:v>
                </c:pt>
                <c:pt idx="46">
                  <c:v>4.63</c:v>
                </c:pt>
                <c:pt idx="47">
                  <c:v>4.66</c:v>
                </c:pt>
                <c:pt idx="48">
                  <c:v>4.6100000000000003</c:v>
                </c:pt>
                <c:pt idx="49">
                  <c:v>4.62</c:v>
                </c:pt>
                <c:pt idx="50">
                  <c:v>4.66</c:v>
                </c:pt>
                <c:pt idx="51">
                  <c:v>4.6500000000000004</c:v>
                </c:pt>
                <c:pt idx="52">
                  <c:v>4.6399999999999997</c:v>
                </c:pt>
                <c:pt idx="53">
                  <c:v>4.6900000000000004</c:v>
                </c:pt>
                <c:pt idx="54">
                  <c:v>4.78</c:v>
                </c:pt>
                <c:pt idx="55">
                  <c:v>4.72</c:v>
                </c:pt>
                <c:pt idx="56">
                  <c:v>4.8499999999999996</c:v>
                </c:pt>
                <c:pt idx="57">
                  <c:v>4.9000000000000004</c:v>
                </c:pt>
                <c:pt idx="58">
                  <c:v>4.8499999999999996</c:v>
                </c:pt>
                <c:pt idx="59">
                  <c:v>4.8499999999999996</c:v>
                </c:pt>
                <c:pt idx="60">
                  <c:v>4.88</c:v>
                </c:pt>
                <c:pt idx="61">
                  <c:v>4.95</c:v>
                </c:pt>
                <c:pt idx="62">
                  <c:v>4.93</c:v>
                </c:pt>
                <c:pt idx="63">
                  <c:v>4.8600000000000003</c:v>
                </c:pt>
                <c:pt idx="64">
                  <c:v>4.93</c:v>
                </c:pt>
                <c:pt idx="65">
                  <c:v>4.82</c:v>
                </c:pt>
                <c:pt idx="66">
                  <c:v>4.8499999999999996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1616128"/>
        <c:axId val="781612992"/>
      </c:lineChart>
      <c:dateAx>
        <c:axId val="7816161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612992"/>
        <c:crosses val="autoZero"/>
        <c:auto val="1"/>
        <c:lblOffset val="100"/>
        <c:baseTimeUnit val="days"/>
      </c:dateAx>
      <c:valAx>
        <c:axId val="781612992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616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2-Nov-16</c:v>
                </c:pt>
                <c:pt idx="1">
                  <c:v>1-Nov-16</c:v>
                </c:pt>
                <c:pt idx="2">
                  <c:v>31-Oct-16</c:v>
                </c:pt>
                <c:pt idx="3">
                  <c:v>28-Oct-16</c:v>
                </c:pt>
                <c:pt idx="4">
                  <c:v>27-Oct-16</c:v>
                </c:pt>
                <c:pt idx="5">
                  <c:v>26-Oct-16</c:v>
                </c:pt>
                <c:pt idx="6">
                  <c:v>25-Oct-16</c:v>
                </c:pt>
                <c:pt idx="7">
                  <c:v>24-Oct-16</c:v>
                </c:pt>
                <c:pt idx="8">
                  <c:v>21-Oct-16</c:v>
                </c:pt>
                <c:pt idx="9">
                  <c:v>20-Oct-16</c:v>
                </c:pt>
                <c:pt idx="10">
                  <c:v>19-Oct-16</c:v>
                </c:pt>
                <c:pt idx="11">
                  <c:v>18-Oct-16</c:v>
                </c:pt>
                <c:pt idx="12">
                  <c:v>17-Oct-16</c:v>
                </c:pt>
                <c:pt idx="13">
                  <c:v>14-Oct-16</c:v>
                </c:pt>
                <c:pt idx="14">
                  <c:v>13-Oct-16</c:v>
                </c:pt>
                <c:pt idx="15">
                  <c:v>12-Oct-16</c:v>
                </c:pt>
                <c:pt idx="16">
                  <c:v>11-Oct-16</c:v>
                </c:pt>
                <c:pt idx="17">
                  <c:v>10-Oct-16</c:v>
                </c:pt>
                <c:pt idx="18">
                  <c:v>7-Oct-16</c:v>
                </c:pt>
                <c:pt idx="19">
                  <c:v>6-Oct-16</c:v>
                </c:pt>
                <c:pt idx="20">
                  <c:v>5-Oct-16</c:v>
                </c:pt>
                <c:pt idx="21">
                  <c:v>4-Oct-16</c:v>
                </c:pt>
                <c:pt idx="22">
                  <c:v>3-Oct-16</c:v>
                </c:pt>
                <c:pt idx="23">
                  <c:v>30-Sep-16</c:v>
                </c:pt>
                <c:pt idx="24">
                  <c:v>29-Sep-16</c:v>
                </c:pt>
                <c:pt idx="25">
                  <c:v>28-Sep-16</c:v>
                </c:pt>
                <c:pt idx="26">
                  <c:v>27-Sep-16</c:v>
                </c:pt>
                <c:pt idx="27">
                  <c:v>26-Sep-16</c:v>
                </c:pt>
                <c:pt idx="28">
                  <c:v>23-Sep-16</c:v>
                </c:pt>
                <c:pt idx="29">
                  <c:v>22-Sep-16</c:v>
                </c:pt>
                <c:pt idx="30">
                  <c:v>21-Sep-16</c:v>
                </c:pt>
                <c:pt idx="31">
                  <c:v>20-Sep-16</c:v>
                </c:pt>
                <c:pt idx="32">
                  <c:v>19-Sep-16</c:v>
                </c:pt>
                <c:pt idx="33">
                  <c:v>16-Sep-16</c:v>
                </c:pt>
                <c:pt idx="34">
                  <c:v>15-Sep-16</c:v>
                </c:pt>
                <c:pt idx="35">
                  <c:v>14-Sep-16</c:v>
                </c:pt>
                <c:pt idx="36">
                  <c:v>14-Sep-16</c:v>
                </c:pt>
                <c:pt idx="37">
                  <c:v>13-Sep-16</c:v>
                </c:pt>
                <c:pt idx="38">
                  <c:v>12-Sep-16</c:v>
                </c:pt>
                <c:pt idx="39">
                  <c:v>9-Sep-16</c:v>
                </c:pt>
                <c:pt idx="40">
                  <c:v>8-Sep-16</c:v>
                </c:pt>
                <c:pt idx="41">
                  <c:v>7-Sep-16</c:v>
                </c:pt>
                <c:pt idx="42">
                  <c:v>6-Sep-16</c:v>
                </c:pt>
                <c:pt idx="43">
                  <c:v>2-Sep-16</c:v>
                </c:pt>
                <c:pt idx="44">
                  <c:v>1-Sep-16</c:v>
                </c:pt>
                <c:pt idx="45">
                  <c:v>31-Aug-16</c:v>
                </c:pt>
                <c:pt idx="46">
                  <c:v>30-Aug-16</c:v>
                </c:pt>
                <c:pt idx="47">
                  <c:v>29-Aug-16</c:v>
                </c:pt>
                <c:pt idx="48">
                  <c:v>26-Aug-16</c:v>
                </c:pt>
                <c:pt idx="49">
                  <c:v>25-Aug-16</c:v>
                </c:pt>
                <c:pt idx="50">
                  <c:v>24-Aug-16</c:v>
                </c:pt>
                <c:pt idx="51">
                  <c:v>23-Aug-16</c:v>
                </c:pt>
                <c:pt idx="52">
                  <c:v>22-Aug-16</c:v>
                </c:pt>
                <c:pt idx="53">
                  <c:v>19-Aug-16</c:v>
                </c:pt>
                <c:pt idx="54">
                  <c:v>18-Aug-16</c:v>
                </c:pt>
                <c:pt idx="55">
                  <c:v>17-Aug-16</c:v>
                </c:pt>
                <c:pt idx="56">
                  <c:v>16-Aug-16</c:v>
                </c:pt>
                <c:pt idx="57">
                  <c:v>15-Aug-16</c:v>
                </c:pt>
                <c:pt idx="58">
                  <c:v>12-Aug-16</c:v>
                </c:pt>
                <c:pt idx="59">
                  <c:v>11-Aug-16</c:v>
                </c:pt>
                <c:pt idx="60">
                  <c:v>10-Aug-16</c:v>
                </c:pt>
                <c:pt idx="61">
                  <c:v>9-Aug-16</c:v>
                </c:pt>
                <c:pt idx="62">
                  <c:v>8-Aug-16</c:v>
                </c:pt>
                <c:pt idx="63">
                  <c:v>5-Aug-16</c:v>
                </c:pt>
                <c:pt idx="64">
                  <c:v>4-Aug-16</c:v>
                </c:pt>
                <c:pt idx="65">
                  <c:v>3-Aug-16</c:v>
                </c:pt>
                <c:pt idx="66">
                  <c:v>2-Aug-16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72.510000000000005</c:v>
                </c:pt>
                <c:pt idx="1">
                  <c:v>74.069999999999993</c:v>
                </c:pt>
                <c:pt idx="2">
                  <c:v>73.63</c:v>
                </c:pt>
                <c:pt idx="3">
                  <c:v>73.88</c:v>
                </c:pt>
                <c:pt idx="4">
                  <c:v>75.83</c:v>
                </c:pt>
                <c:pt idx="5">
                  <c:v>75.38</c:v>
                </c:pt>
                <c:pt idx="6">
                  <c:v>74.41</c:v>
                </c:pt>
                <c:pt idx="7">
                  <c:v>74.150000000000006</c:v>
                </c:pt>
                <c:pt idx="8">
                  <c:v>74.290000000000006</c:v>
                </c:pt>
                <c:pt idx="9">
                  <c:v>74.31</c:v>
                </c:pt>
                <c:pt idx="10">
                  <c:v>73.34</c:v>
                </c:pt>
                <c:pt idx="11">
                  <c:v>73.41</c:v>
                </c:pt>
                <c:pt idx="12">
                  <c:v>72.64</c:v>
                </c:pt>
                <c:pt idx="13">
                  <c:v>72.75</c:v>
                </c:pt>
                <c:pt idx="14">
                  <c:v>73.06</c:v>
                </c:pt>
                <c:pt idx="15">
                  <c:v>73.03</c:v>
                </c:pt>
                <c:pt idx="16">
                  <c:v>73.819999999999993</c:v>
                </c:pt>
                <c:pt idx="17">
                  <c:v>75.489999999999995</c:v>
                </c:pt>
                <c:pt idx="18">
                  <c:v>75.239999999999995</c:v>
                </c:pt>
                <c:pt idx="19">
                  <c:v>76.209999999999994</c:v>
                </c:pt>
                <c:pt idx="20">
                  <c:v>77.569999999999993</c:v>
                </c:pt>
                <c:pt idx="21">
                  <c:v>77.239999999999995</c:v>
                </c:pt>
                <c:pt idx="22">
                  <c:v>78.03</c:v>
                </c:pt>
                <c:pt idx="23">
                  <c:v>79.12</c:v>
                </c:pt>
                <c:pt idx="24">
                  <c:v>77.86</c:v>
                </c:pt>
                <c:pt idx="25">
                  <c:v>78.97</c:v>
                </c:pt>
                <c:pt idx="26">
                  <c:v>79.25</c:v>
                </c:pt>
                <c:pt idx="27">
                  <c:v>80.62</c:v>
                </c:pt>
                <c:pt idx="28">
                  <c:v>81.37</c:v>
                </c:pt>
                <c:pt idx="29">
                  <c:v>81.52</c:v>
                </c:pt>
                <c:pt idx="30">
                  <c:v>81.7</c:v>
                </c:pt>
                <c:pt idx="31">
                  <c:v>81.78</c:v>
                </c:pt>
                <c:pt idx="32">
                  <c:v>78.989999999999995</c:v>
                </c:pt>
                <c:pt idx="33">
                  <c:v>78.8</c:v>
                </c:pt>
                <c:pt idx="34">
                  <c:v>78.84</c:v>
                </c:pt>
                <c:pt idx="35">
                  <c:v>77.62</c:v>
                </c:pt>
                <c:pt idx="37">
                  <c:v>78.06</c:v>
                </c:pt>
                <c:pt idx="38">
                  <c:v>78.849999999999994</c:v>
                </c:pt>
                <c:pt idx="39">
                  <c:v>78.05</c:v>
                </c:pt>
                <c:pt idx="40">
                  <c:v>78.989999999999995</c:v>
                </c:pt>
                <c:pt idx="41">
                  <c:v>78.22</c:v>
                </c:pt>
                <c:pt idx="42">
                  <c:v>77.88</c:v>
                </c:pt>
                <c:pt idx="43">
                  <c:v>76.89</c:v>
                </c:pt>
                <c:pt idx="44">
                  <c:v>77.42</c:v>
                </c:pt>
                <c:pt idx="45">
                  <c:v>78.38</c:v>
                </c:pt>
                <c:pt idx="46">
                  <c:v>77.92</c:v>
                </c:pt>
                <c:pt idx="47">
                  <c:v>78.17</c:v>
                </c:pt>
                <c:pt idx="48">
                  <c:v>79.77</c:v>
                </c:pt>
                <c:pt idx="49">
                  <c:v>80.08</c:v>
                </c:pt>
                <c:pt idx="50">
                  <c:v>80.5</c:v>
                </c:pt>
                <c:pt idx="51">
                  <c:v>81.47</c:v>
                </c:pt>
                <c:pt idx="52">
                  <c:v>80.92</c:v>
                </c:pt>
                <c:pt idx="53">
                  <c:v>81</c:v>
                </c:pt>
                <c:pt idx="54">
                  <c:v>80.59</c:v>
                </c:pt>
                <c:pt idx="55">
                  <c:v>80.7</c:v>
                </c:pt>
                <c:pt idx="56">
                  <c:v>79.25</c:v>
                </c:pt>
                <c:pt idx="57">
                  <c:v>79.650000000000006</c:v>
                </c:pt>
                <c:pt idx="58">
                  <c:v>79.66</c:v>
                </c:pt>
                <c:pt idx="59">
                  <c:v>79.569999999999993</c:v>
                </c:pt>
                <c:pt idx="60">
                  <c:v>78.900000000000006</c:v>
                </c:pt>
                <c:pt idx="61">
                  <c:v>79.33</c:v>
                </c:pt>
                <c:pt idx="62">
                  <c:v>79.739999999999995</c:v>
                </c:pt>
                <c:pt idx="63">
                  <c:v>80.41</c:v>
                </c:pt>
                <c:pt idx="64">
                  <c:v>79.77</c:v>
                </c:pt>
                <c:pt idx="65">
                  <c:v>80.09</c:v>
                </c:pt>
                <c:pt idx="66">
                  <c:v>79.569999999999993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1608680"/>
        <c:axId val="781615344"/>
      </c:lineChart>
      <c:catAx>
        <c:axId val="7816086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615344"/>
        <c:crosses val="autoZero"/>
        <c:auto val="1"/>
        <c:lblAlgn val="ctr"/>
        <c:lblOffset val="100"/>
        <c:noMultiLvlLbl val="0"/>
      </c:catAx>
      <c:valAx>
        <c:axId val="781615344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608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42676</c:v>
                </c:pt>
                <c:pt idx="1">
                  <c:v>42675</c:v>
                </c:pt>
                <c:pt idx="2">
                  <c:v>42674</c:v>
                </c:pt>
                <c:pt idx="3">
                  <c:v>42671</c:v>
                </c:pt>
                <c:pt idx="4">
                  <c:v>42670</c:v>
                </c:pt>
                <c:pt idx="5">
                  <c:v>42669</c:v>
                </c:pt>
                <c:pt idx="6">
                  <c:v>42668</c:v>
                </c:pt>
                <c:pt idx="7">
                  <c:v>42667</c:v>
                </c:pt>
                <c:pt idx="8">
                  <c:v>42664</c:v>
                </c:pt>
                <c:pt idx="9">
                  <c:v>42663</c:v>
                </c:pt>
                <c:pt idx="10">
                  <c:v>42662</c:v>
                </c:pt>
                <c:pt idx="11">
                  <c:v>42661</c:v>
                </c:pt>
                <c:pt idx="12">
                  <c:v>42660</c:v>
                </c:pt>
                <c:pt idx="13">
                  <c:v>42657</c:v>
                </c:pt>
                <c:pt idx="14">
                  <c:v>42656</c:v>
                </c:pt>
                <c:pt idx="15">
                  <c:v>42655</c:v>
                </c:pt>
                <c:pt idx="16">
                  <c:v>42654</c:v>
                </c:pt>
                <c:pt idx="17">
                  <c:v>42653</c:v>
                </c:pt>
                <c:pt idx="18">
                  <c:v>42650</c:v>
                </c:pt>
                <c:pt idx="19">
                  <c:v>42649</c:v>
                </c:pt>
                <c:pt idx="20">
                  <c:v>42648</c:v>
                </c:pt>
                <c:pt idx="21">
                  <c:v>42647</c:v>
                </c:pt>
                <c:pt idx="22">
                  <c:v>42646</c:v>
                </c:pt>
                <c:pt idx="23">
                  <c:v>42643</c:v>
                </c:pt>
                <c:pt idx="24">
                  <c:v>42642</c:v>
                </c:pt>
                <c:pt idx="25">
                  <c:v>42641</c:v>
                </c:pt>
                <c:pt idx="26">
                  <c:v>42640</c:v>
                </c:pt>
                <c:pt idx="27">
                  <c:v>42639</c:v>
                </c:pt>
                <c:pt idx="28">
                  <c:v>42636</c:v>
                </c:pt>
                <c:pt idx="29">
                  <c:v>42635</c:v>
                </c:pt>
                <c:pt idx="30">
                  <c:v>42634</c:v>
                </c:pt>
                <c:pt idx="31">
                  <c:v>42633</c:v>
                </c:pt>
                <c:pt idx="32">
                  <c:v>42632</c:v>
                </c:pt>
                <c:pt idx="33">
                  <c:v>42629</c:v>
                </c:pt>
                <c:pt idx="34">
                  <c:v>42628</c:v>
                </c:pt>
                <c:pt idx="35">
                  <c:v>42627</c:v>
                </c:pt>
                <c:pt idx="36">
                  <c:v>42626</c:v>
                </c:pt>
                <c:pt idx="37">
                  <c:v>42625</c:v>
                </c:pt>
                <c:pt idx="38">
                  <c:v>42622</c:v>
                </c:pt>
                <c:pt idx="39">
                  <c:v>42621</c:v>
                </c:pt>
                <c:pt idx="40">
                  <c:v>42620</c:v>
                </c:pt>
                <c:pt idx="41">
                  <c:v>42619</c:v>
                </c:pt>
                <c:pt idx="42">
                  <c:v>42615</c:v>
                </c:pt>
                <c:pt idx="43">
                  <c:v>42614</c:v>
                </c:pt>
                <c:pt idx="44">
                  <c:v>42613</c:v>
                </c:pt>
                <c:pt idx="45">
                  <c:v>42612</c:v>
                </c:pt>
                <c:pt idx="46">
                  <c:v>42611</c:v>
                </c:pt>
                <c:pt idx="47">
                  <c:v>42608</c:v>
                </c:pt>
                <c:pt idx="48">
                  <c:v>42607</c:v>
                </c:pt>
                <c:pt idx="49">
                  <c:v>42606</c:v>
                </c:pt>
                <c:pt idx="50">
                  <c:v>42605</c:v>
                </c:pt>
                <c:pt idx="51">
                  <c:v>42604</c:v>
                </c:pt>
                <c:pt idx="52">
                  <c:v>42601</c:v>
                </c:pt>
                <c:pt idx="53">
                  <c:v>42600</c:v>
                </c:pt>
                <c:pt idx="54">
                  <c:v>42599</c:v>
                </c:pt>
                <c:pt idx="55">
                  <c:v>42598</c:v>
                </c:pt>
                <c:pt idx="56">
                  <c:v>42597</c:v>
                </c:pt>
                <c:pt idx="57">
                  <c:v>42594</c:v>
                </c:pt>
                <c:pt idx="58">
                  <c:v>42593</c:v>
                </c:pt>
                <c:pt idx="59">
                  <c:v>42593</c:v>
                </c:pt>
                <c:pt idx="60">
                  <c:v>42592</c:v>
                </c:pt>
                <c:pt idx="61">
                  <c:v>42591</c:v>
                </c:pt>
                <c:pt idx="62">
                  <c:v>42590</c:v>
                </c:pt>
                <c:pt idx="63">
                  <c:v>42587</c:v>
                </c:pt>
                <c:pt idx="64">
                  <c:v>42586</c:v>
                </c:pt>
                <c:pt idx="65">
                  <c:v>42585</c:v>
                </c:pt>
                <c:pt idx="66">
                  <c:v>42584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57.67</c:v>
                </c:pt>
                <c:pt idx="1">
                  <c:v>58.98</c:v>
                </c:pt>
                <c:pt idx="2">
                  <c:v>58.54</c:v>
                </c:pt>
                <c:pt idx="3">
                  <c:v>58.42</c:v>
                </c:pt>
                <c:pt idx="4">
                  <c:v>58.91</c:v>
                </c:pt>
                <c:pt idx="5">
                  <c:v>58.45</c:v>
                </c:pt>
                <c:pt idx="6">
                  <c:v>58.88</c:v>
                </c:pt>
                <c:pt idx="7">
                  <c:v>58.51</c:v>
                </c:pt>
                <c:pt idx="8">
                  <c:v>58.65</c:v>
                </c:pt>
                <c:pt idx="9">
                  <c:v>59.21</c:v>
                </c:pt>
                <c:pt idx="10">
                  <c:v>59.28</c:v>
                </c:pt>
                <c:pt idx="11">
                  <c:v>59.54</c:v>
                </c:pt>
                <c:pt idx="12">
                  <c:v>59.21</c:v>
                </c:pt>
                <c:pt idx="13">
                  <c:v>59.19</c:v>
                </c:pt>
                <c:pt idx="14">
                  <c:v>59.43</c:v>
                </c:pt>
                <c:pt idx="15">
                  <c:v>59.19</c:v>
                </c:pt>
                <c:pt idx="16">
                  <c:v>60.9</c:v>
                </c:pt>
                <c:pt idx="17">
                  <c:v>60.65</c:v>
                </c:pt>
                <c:pt idx="18">
                  <c:v>61.99</c:v>
                </c:pt>
                <c:pt idx="19">
                  <c:v>61.87</c:v>
                </c:pt>
                <c:pt idx="20">
                  <c:v>61.72</c:v>
                </c:pt>
                <c:pt idx="21">
                  <c:v>62.57</c:v>
                </c:pt>
                <c:pt idx="22">
                  <c:v>62.48</c:v>
                </c:pt>
                <c:pt idx="23">
                  <c:v>61.59</c:v>
                </c:pt>
                <c:pt idx="24">
                  <c:v>62.16</c:v>
                </c:pt>
                <c:pt idx="25">
                  <c:v>61.41</c:v>
                </c:pt>
                <c:pt idx="26">
                  <c:v>61</c:v>
                </c:pt>
                <c:pt idx="27">
                  <c:v>61.32</c:v>
                </c:pt>
                <c:pt idx="28">
                  <c:v>61.57</c:v>
                </c:pt>
                <c:pt idx="29">
                  <c:v>60.62</c:v>
                </c:pt>
                <c:pt idx="30">
                  <c:v>60.02</c:v>
                </c:pt>
                <c:pt idx="31">
                  <c:v>60.08</c:v>
                </c:pt>
                <c:pt idx="32">
                  <c:v>59.45</c:v>
                </c:pt>
                <c:pt idx="33">
                  <c:v>60.07</c:v>
                </c:pt>
                <c:pt idx="34">
                  <c:v>59.43</c:v>
                </c:pt>
                <c:pt idx="35">
                  <c:v>59.69</c:v>
                </c:pt>
                <c:pt idx="36">
                  <c:v>61.66</c:v>
                </c:pt>
                <c:pt idx="37">
                  <c:v>60.37</c:v>
                </c:pt>
                <c:pt idx="38">
                  <c:v>62.59</c:v>
                </c:pt>
                <c:pt idx="39">
                  <c:v>62.68</c:v>
                </c:pt>
                <c:pt idx="40">
                  <c:v>62.9</c:v>
                </c:pt>
                <c:pt idx="41">
                  <c:v>63.77</c:v>
                </c:pt>
                <c:pt idx="42">
                  <c:v>62.99</c:v>
                </c:pt>
                <c:pt idx="43">
                  <c:v>62.72</c:v>
                </c:pt>
                <c:pt idx="44">
                  <c:v>62.91</c:v>
                </c:pt>
                <c:pt idx="45">
                  <c:v>63.02</c:v>
                </c:pt>
                <c:pt idx="46">
                  <c:v>62.37</c:v>
                </c:pt>
                <c:pt idx="47">
                  <c:v>61.94</c:v>
                </c:pt>
                <c:pt idx="48">
                  <c:v>61.53</c:v>
                </c:pt>
                <c:pt idx="49">
                  <c:v>62.1</c:v>
                </c:pt>
                <c:pt idx="50">
                  <c:v>62.11</c:v>
                </c:pt>
                <c:pt idx="51">
                  <c:v>61.78</c:v>
                </c:pt>
                <c:pt idx="52">
                  <c:v>61.23</c:v>
                </c:pt>
                <c:pt idx="53">
                  <c:v>60.46</c:v>
                </c:pt>
                <c:pt idx="54">
                  <c:v>59.8</c:v>
                </c:pt>
                <c:pt idx="55">
                  <c:v>60.38</c:v>
                </c:pt>
                <c:pt idx="56">
                  <c:v>59.35</c:v>
                </c:pt>
                <c:pt idx="57">
                  <c:v>59.66</c:v>
                </c:pt>
                <c:pt idx="59">
                  <c:v>59.29</c:v>
                </c:pt>
                <c:pt idx="60">
                  <c:v>59.58</c:v>
                </c:pt>
                <c:pt idx="61">
                  <c:v>59.21</c:v>
                </c:pt>
                <c:pt idx="62">
                  <c:v>58.93</c:v>
                </c:pt>
                <c:pt idx="63">
                  <c:v>58.44</c:v>
                </c:pt>
                <c:pt idx="64">
                  <c:v>58.13</c:v>
                </c:pt>
                <c:pt idx="65">
                  <c:v>57.35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1615736"/>
        <c:axId val="781609464"/>
      </c:lineChart>
      <c:dateAx>
        <c:axId val="7816157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609464"/>
        <c:crosses val="autoZero"/>
        <c:auto val="1"/>
        <c:lblOffset val="100"/>
        <c:baseTimeUnit val="days"/>
      </c:dateAx>
      <c:valAx>
        <c:axId val="78160946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615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42676</c:v>
                </c:pt>
                <c:pt idx="1">
                  <c:v>42675</c:v>
                </c:pt>
                <c:pt idx="2">
                  <c:v>42674</c:v>
                </c:pt>
                <c:pt idx="3">
                  <c:v>42671</c:v>
                </c:pt>
                <c:pt idx="4">
                  <c:v>42670</c:v>
                </c:pt>
                <c:pt idx="5">
                  <c:v>42669</c:v>
                </c:pt>
                <c:pt idx="6">
                  <c:v>42668</c:v>
                </c:pt>
                <c:pt idx="7">
                  <c:v>42667</c:v>
                </c:pt>
                <c:pt idx="8">
                  <c:v>42664</c:v>
                </c:pt>
                <c:pt idx="9">
                  <c:v>42663</c:v>
                </c:pt>
                <c:pt idx="10">
                  <c:v>42662</c:v>
                </c:pt>
                <c:pt idx="11">
                  <c:v>42661</c:v>
                </c:pt>
                <c:pt idx="12">
                  <c:v>42660</c:v>
                </c:pt>
                <c:pt idx="13">
                  <c:v>42657</c:v>
                </c:pt>
                <c:pt idx="14">
                  <c:v>42656</c:v>
                </c:pt>
                <c:pt idx="15">
                  <c:v>42655</c:v>
                </c:pt>
                <c:pt idx="16">
                  <c:v>42654</c:v>
                </c:pt>
                <c:pt idx="17">
                  <c:v>42653</c:v>
                </c:pt>
                <c:pt idx="18">
                  <c:v>42650</c:v>
                </c:pt>
                <c:pt idx="19">
                  <c:v>42649</c:v>
                </c:pt>
                <c:pt idx="20">
                  <c:v>42648</c:v>
                </c:pt>
                <c:pt idx="21">
                  <c:v>42648</c:v>
                </c:pt>
                <c:pt idx="22">
                  <c:v>42647</c:v>
                </c:pt>
                <c:pt idx="23">
                  <c:v>42646</c:v>
                </c:pt>
                <c:pt idx="24">
                  <c:v>42643</c:v>
                </c:pt>
                <c:pt idx="25">
                  <c:v>42642</c:v>
                </c:pt>
                <c:pt idx="26">
                  <c:v>42641</c:v>
                </c:pt>
                <c:pt idx="27">
                  <c:v>42640</c:v>
                </c:pt>
                <c:pt idx="28">
                  <c:v>42639</c:v>
                </c:pt>
                <c:pt idx="29">
                  <c:v>42636</c:v>
                </c:pt>
                <c:pt idx="30">
                  <c:v>42635</c:v>
                </c:pt>
                <c:pt idx="31">
                  <c:v>42634</c:v>
                </c:pt>
                <c:pt idx="32">
                  <c:v>42633</c:v>
                </c:pt>
                <c:pt idx="33">
                  <c:v>42632</c:v>
                </c:pt>
                <c:pt idx="34">
                  <c:v>42629</c:v>
                </c:pt>
                <c:pt idx="35">
                  <c:v>42628</c:v>
                </c:pt>
                <c:pt idx="36">
                  <c:v>42627</c:v>
                </c:pt>
                <c:pt idx="37">
                  <c:v>42626</c:v>
                </c:pt>
                <c:pt idx="38">
                  <c:v>42625</c:v>
                </c:pt>
                <c:pt idx="39">
                  <c:v>42622</c:v>
                </c:pt>
                <c:pt idx="40">
                  <c:v>42621</c:v>
                </c:pt>
                <c:pt idx="41">
                  <c:v>42620</c:v>
                </c:pt>
                <c:pt idx="42">
                  <c:v>42619</c:v>
                </c:pt>
                <c:pt idx="43">
                  <c:v>42615</c:v>
                </c:pt>
                <c:pt idx="44">
                  <c:v>42614</c:v>
                </c:pt>
                <c:pt idx="45">
                  <c:v>42613</c:v>
                </c:pt>
                <c:pt idx="46">
                  <c:v>42612</c:v>
                </c:pt>
                <c:pt idx="47">
                  <c:v>42611</c:v>
                </c:pt>
                <c:pt idx="48">
                  <c:v>42608</c:v>
                </c:pt>
                <c:pt idx="49">
                  <c:v>42607</c:v>
                </c:pt>
                <c:pt idx="50">
                  <c:v>42606</c:v>
                </c:pt>
                <c:pt idx="51">
                  <c:v>42605</c:v>
                </c:pt>
                <c:pt idx="52">
                  <c:v>42604</c:v>
                </c:pt>
                <c:pt idx="53">
                  <c:v>42601</c:v>
                </c:pt>
                <c:pt idx="54">
                  <c:v>42600</c:v>
                </c:pt>
                <c:pt idx="55">
                  <c:v>42599</c:v>
                </c:pt>
                <c:pt idx="56">
                  <c:v>42598</c:v>
                </c:pt>
                <c:pt idx="57">
                  <c:v>42597</c:v>
                </c:pt>
                <c:pt idx="58">
                  <c:v>42594</c:v>
                </c:pt>
                <c:pt idx="59">
                  <c:v>42593</c:v>
                </c:pt>
                <c:pt idx="60">
                  <c:v>42592</c:v>
                </c:pt>
                <c:pt idx="61">
                  <c:v>42591</c:v>
                </c:pt>
                <c:pt idx="62">
                  <c:v>42590</c:v>
                </c:pt>
                <c:pt idx="63">
                  <c:v>42587</c:v>
                </c:pt>
                <c:pt idx="64">
                  <c:v>42586</c:v>
                </c:pt>
                <c:pt idx="65">
                  <c:v>42585</c:v>
                </c:pt>
                <c:pt idx="66">
                  <c:v>42584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61.38</c:v>
                </c:pt>
                <c:pt idx="1">
                  <c:v>61.63</c:v>
                </c:pt>
                <c:pt idx="2">
                  <c:v>61.98</c:v>
                </c:pt>
                <c:pt idx="3">
                  <c:v>61.66</c:v>
                </c:pt>
                <c:pt idx="4">
                  <c:v>60.72</c:v>
                </c:pt>
                <c:pt idx="5">
                  <c:v>60.84</c:v>
                </c:pt>
                <c:pt idx="6">
                  <c:v>61.1</c:v>
                </c:pt>
                <c:pt idx="7">
                  <c:v>60.89</c:v>
                </c:pt>
                <c:pt idx="8">
                  <c:v>60.71</c:v>
                </c:pt>
                <c:pt idx="9">
                  <c:v>61</c:v>
                </c:pt>
                <c:pt idx="10">
                  <c:v>61.57</c:v>
                </c:pt>
                <c:pt idx="11">
                  <c:v>61.91</c:v>
                </c:pt>
                <c:pt idx="12">
                  <c:v>61.77</c:v>
                </c:pt>
                <c:pt idx="13">
                  <c:v>61.78</c:v>
                </c:pt>
                <c:pt idx="14">
                  <c:v>62.22</c:v>
                </c:pt>
                <c:pt idx="15">
                  <c:v>62.13</c:v>
                </c:pt>
                <c:pt idx="16">
                  <c:v>61.95</c:v>
                </c:pt>
                <c:pt idx="17">
                  <c:v>62.44</c:v>
                </c:pt>
                <c:pt idx="18">
                  <c:v>62.13</c:v>
                </c:pt>
                <c:pt idx="19">
                  <c:v>62.42</c:v>
                </c:pt>
                <c:pt idx="20">
                  <c:v>62.36</c:v>
                </c:pt>
                <c:pt idx="22">
                  <c:v>63.05</c:v>
                </c:pt>
                <c:pt idx="23">
                  <c:v>63.88</c:v>
                </c:pt>
                <c:pt idx="24">
                  <c:v>63.88</c:v>
                </c:pt>
                <c:pt idx="25">
                  <c:v>63.66</c:v>
                </c:pt>
                <c:pt idx="26">
                  <c:v>64.08</c:v>
                </c:pt>
                <c:pt idx="27">
                  <c:v>63.92</c:v>
                </c:pt>
                <c:pt idx="28">
                  <c:v>63.9</c:v>
                </c:pt>
                <c:pt idx="29">
                  <c:v>64.650000000000006</c:v>
                </c:pt>
                <c:pt idx="30">
                  <c:v>65.06</c:v>
                </c:pt>
                <c:pt idx="31">
                  <c:v>65.260000000000005</c:v>
                </c:pt>
                <c:pt idx="32">
                  <c:v>64.7</c:v>
                </c:pt>
                <c:pt idx="33">
                  <c:v>65.209999999999994</c:v>
                </c:pt>
                <c:pt idx="34">
                  <c:v>65.19</c:v>
                </c:pt>
                <c:pt idx="35">
                  <c:v>65.540000000000006</c:v>
                </c:pt>
                <c:pt idx="36">
                  <c:v>65.48</c:v>
                </c:pt>
                <c:pt idx="37">
                  <c:v>65.599999999999994</c:v>
                </c:pt>
                <c:pt idx="38">
                  <c:v>66.28</c:v>
                </c:pt>
                <c:pt idx="39">
                  <c:v>65.05</c:v>
                </c:pt>
                <c:pt idx="40">
                  <c:v>67.47</c:v>
                </c:pt>
                <c:pt idx="41">
                  <c:v>67.849999999999994</c:v>
                </c:pt>
                <c:pt idx="42">
                  <c:v>70.900000000000006</c:v>
                </c:pt>
                <c:pt idx="43">
                  <c:v>70.94</c:v>
                </c:pt>
                <c:pt idx="44">
                  <c:v>70.11</c:v>
                </c:pt>
                <c:pt idx="45">
                  <c:v>70.819999999999993</c:v>
                </c:pt>
                <c:pt idx="46">
                  <c:v>70.510000000000005</c:v>
                </c:pt>
                <c:pt idx="47">
                  <c:v>71.42</c:v>
                </c:pt>
                <c:pt idx="48">
                  <c:v>70.87</c:v>
                </c:pt>
                <c:pt idx="49">
                  <c:v>71.39</c:v>
                </c:pt>
                <c:pt idx="50">
                  <c:v>71</c:v>
                </c:pt>
                <c:pt idx="51">
                  <c:v>71.099999999999994</c:v>
                </c:pt>
                <c:pt idx="52">
                  <c:v>71.56</c:v>
                </c:pt>
                <c:pt idx="53">
                  <c:v>71.45</c:v>
                </c:pt>
                <c:pt idx="54">
                  <c:v>71.27</c:v>
                </c:pt>
                <c:pt idx="55">
                  <c:v>70.56</c:v>
                </c:pt>
                <c:pt idx="56">
                  <c:v>70.5</c:v>
                </c:pt>
                <c:pt idx="57">
                  <c:v>71.040000000000006</c:v>
                </c:pt>
                <c:pt idx="58">
                  <c:v>71.17</c:v>
                </c:pt>
                <c:pt idx="59">
                  <c:v>71.069999999999993</c:v>
                </c:pt>
                <c:pt idx="60">
                  <c:v>71.06</c:v>
                </c:pt>
                <c:pt idx="61">
                  <c:v>70.930000000000007</c:v>
                </c:pt>
                <c:pt idx="62">
                  <c:v>70.63</c:v>
                </c:pt>
                <c:pt idx="63">
                  <c:v>70.55</c:v>
                </c:pt>
                <c:pt idx="64">
                  <c:v>70.489999999999995</c:v>
                </c:pt>
                <c:pt idx="65">
                  <c:v>69.78</c:v>
                </c:pt>
                <c:pt idx="66">
                  <c:v>70.97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1614168"/>
        <c:axId val="781617304"/>
      </c:lineChart>
      <c:dateAx>
        <c:axId val="781614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617304"/>
        <c:crosses val="autoZero"/>
        <c:auto val="1"/>
        <c:lblOffset val="100"/>
        <c:baseTimeUnit val="days"/>
      </c:dateAx>
      <c:valAx>
        <c:axId val="78161730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614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2-Nov-16</c:v>
                </c:pt>
                <c:pt idx="1">
                  <c:v>1-Nov-16</c:v>
                </c:pt>
                <c:pt idx="2">
                  <c:v>31-Oct-16</c:v>
                </c:pt>
                <c:pt idx="3">
                  <c:v>28-Oct-16</c:v>
                </c:pt>
                <c:pt idx="4">
                  <c:v>27-Oct-16</c:v>
                </c:pt>
                <c:pt idx="5">
                  <c:v>26-Oct-16</c:v>
                </c:pt>
                <c:pt idx="6">
                  <c:v>25-Oct-16</c:v>
                </c:pt>
                <c:pt idx="7">
                  <c:v>24-Oct-16</c:v>
                </c:pt>
                <c:pt idx="8">
                  <c:v>21-Oct-16</c:v>
                </c:pt>
                <c:pt idx="9">
                  <c:v>20-Oct-16</c:v>
                </c:pt>
                <c:pt idx="10">
                  <c:v>19-Oct-16</c:v>
                </c:pt>
                <c:pt idx="11">
                  <c:v>18-Oct-16</c:v>
                </c:pt>
                <c:pt idx="12">
                  <c:v>17-Oct-16</c:v>
                </c:pt>
                <c:pt idx="13">
                  <c:v>14-Oct-16</c:v>
                </c:pt>
                <c:pt idx="14">
                  <c:v>13-Oct-16</c:v>
                </c:pt>
                <c:pt idx="15">
                  <c:v>12-Oct-16</c:v>
                </c:pt>
                <c:pt idx="16">
                  <c:v>11-Oct-16</c:v>
                </c:pt>
                <c:pt idx="17">
                  <c:v>10-Oct-16</c:v>
                </c:pt>
                <c:pt idx="18">
                  <c:v>7-Oct-16</c:v>
                </c:pt>
                <c:pt idx="19">
                  <c:v>6-Oct-16</c:v>
                </c:pt>
                <c:pt idx="20">
                  <c:v>5-Oct-16</c:v>
                </c:pt>
                <c:pt idx="21">
                  <c:v>4-Oct-16</c:v>
                </c:pt>
                <c:pt idx="22">
                  <c:v>3-Oct-16</c:v>
                </c:pt>
                <c:pt idx="23">
                  <c:v>30-Sep-16</c:v>
                </c:pt>
                <c:pt idx="24">
                  <c:v>29-Sep-16</c:v>
                </c:pt>
                <c:pt idx="25">
                  <c:v>28-Sep-16</c:v>
                </c:pt>
                <c:pt idx="26">
                  <c:v>27-Sep-16</c:v>
                </c:pt>
                <c:pt idx="27">
                  <c:v>26-Sep-16</c:v>
                </c:pt>
                <c:pt idx="28">
                  <c:v>23-Sep-16</c:v>
                </c:pt>
                <c:pt idx="29">
                  <c:v>22-Sep-16</c:v>
                </c:pt>
                <c:pt idx="30">
                  <c:v>21-Sep-16</c:v>
                </c:pt>
                <c:pt idx="31">
                  <c:v>20-Sep-16</c:v>
                </c:pt>
                <c:pt idx="32">
                  <c:v>19-Sep-16</c:v>
                </c:pt>
                <c:pt idx="33">
                  <c:v>16-Sep-16</c:v>
                </c:pt>
                <c:pt idx="34">
                  <c:v>15-Sep-16</c:v>
                </c:pt>
                <c:pt idx="35">
                  <c:v>14-Sep-16</c:v>
                </c:pt>
                <c:pt idx="36">
                  <c:v>13-Sep-16</c:v>
                </c:pt>
                <c:pt idx="37">
                  <c:v>12-Sep-16</c:v>
                </c:pt>
                <c:pt idx="38">
                  <c:v>9-Sep-16</c:v>
                </c:pt>
                <c:pt idx="39">
                  <c:v>8-Sep-16</c:v>
                </c:pt>
                <c:pt idx="40">
                  <c:v>7-Sep-16</c:v>
                </c:pt>
                <c:pt idx="41">
                  <c:v>7-Sep-16</c:v>
                </c:pt>
                <c:pt idx="42">
                  <c:v>6-Sep-16</c:v>
                </c:pt>
                <c:pt idx="43">
                  <c:v>2-Sep-16</c:v>
                </c:pt>
                <c:pt idx="44">
                  <c:v>1-Sep-16</c:v>
                </c:pt>
                <c:pt idx="45">
                  <c:v>31-Aug-16</c:v>
                </c:pt>
                <c:pt idx="46">
                  <c:v>30-Aug-16</c:v>
                </c:pt>
                <c:pt idx="47">
                  <c:v>29-Aug-16</c:v>
                </c:pt>
                <c:pt idx="48">
                  <c:v>26-Aug-16</c:v>
                </c:pt>
                <c:pt idx="49">
                  <c:v>25-Aug-16</c:v>
                </c:pt>
                <c:pt idx="50">
                  <c:v>24-Aug-16</c:v>
                </c:pt>
                <c:pt idx="51">
                  <c:v>23-Aug-16</c:v>
                </c:pt>
                <c:pt idx="52">
                  <c:v>22-Aug-16</c:v>
                </c:pt>
                <c:pt idx="53">
                  <c:v>19-Aug-16</c:v>
                </c:pt>
                <c:pt idx="54">
                  <c:v>18-Aug-16</c:v>
                </c:pt>
                <c:pt idx="55">
                  <c:v>17-Aug-16</c:v>
                </c:pt>
                <c:pt idx="56">
                  <c:v>16-Aug-16</c:v>
                </c:pt>
                <c:pt idx="57">
                  <c:v>15-Aug-16</c:v>
                </c:pt>
                <c:pt idx="58">
                  <c:v>12-Aug-16</c:v>
                </c:pt>
                <c:pt idx="59">
                  <c:v>11-Aug-16</c:v>
                </c:pt>
                <c:pt idx="60">
                  <c:v>10-Aug-16</c:v>
                </c:pt>
                <c:pt idx="61">
                  <c:v>9-Aug-16</c:v>
                </c:pt>
                <c:pt idx="62">
                  <c:v>8-Aug-16</c:v>
                </c:pt>
                <c:pt idx="63">
                  <c:v>5-Aug-16</c:v>
                </c:pt>
                <c:pt idx="64">
                  <c:v>4-Aug-16</c:v>
                </c:pt>
                <c:pt idx="65">
                  <c:v>3-Aug-16</c:v>
                </c:pt>
                <c:pt idx="66">
                  <c:v>2-Aug-16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31.45</c:v>
                </c:pt>
                <c:pt idx="1">
                  <c:v>31.48</c:v>
                </c:pt>
                <c:pt idx="2">
                  <c:v>31.6</c:v>
                </c:pt>
                <c:pt idx="3">
                  <c:v>31.32</c:v>
                </c:pt>
                <c:pt idx="4">
                  <c:v>31.33</c:v>
                </c:pt>
                <c:pt idx="5">
                  <c:v>31.58</c:v>
                </c:pt>
                <c:pt idx="6">
                  <c:v>31.6</c:v>
                </c:pt>
                <c:pt idx="7">
                  <c:v>32.979999999999997</c:v>
                </c:pt>
                <c:pt idx="8">
                  <c:v>32.04</c:v>
                </c:pt>
                <c:pt idx="9">
                  <c:v>31.75</c:v>
                </c:pt>
                <c:pt idx="10">
                  <c:v>31.85</c:v>
                </c:pt>
                <c:pt idx="11">
                  <c:v>31.4</c:v>
                </c:pt>
                <c:pt idx="12">
                  <c:v>31.56</c:v>
                </c:pt>
                <c:pt idx="13">
                  <c:v>31.87</c:v>
                </c:pt>
                <c:pt idx="14">
                  <c:v>31.51</c:v>
                </c:pt>
                <c:pt idx="15">
                  <c:v>31.68</c:v>
                </c:pt>
                <c:pt idx="16">
                  <c:v>31.89</c:v>
                </c:pt>
                <c:pt idx="17">
                  <c:v>32.15</c:v>
                </c:pt>
                <c:pt idx="18">
                  <c:v>32.340000000000003</c:v>
                </c:pt>
                <c:pt idx="19">
                  <c:v>32.53</c:v>
                </c:pt>
                <c:pt idx="20">
                  <c:v>32.68</c:v>
                </c:pt>
                <c:pt idx="21">
                  <c:v>32.17</c:v>
                </c:pt>
                <c:pt idx="22">
                  <c:v>32.04</c:v>
                </c:pt>
                <c:pt idx="23">
                  <c:v>31.77</c:v>
                </c:pt>
                <c:pt idx="24">
                  <c:v>31.48</c:v>
                </c:pt>
                <c:pt idx="25">
                  <c:v>31.9</c:v>
                </c:pt>
                <c:pt idx="26">
                  <c:v>31.6</c:v>
                </c:pt>
                <c:pt idx="27">
                  <c:v>31.8</c:v>
                </c:pt>
                <c:pt idx="28">
                  <c:v>32.119999999999997</c:v>
                </c:pt>
                <c:pt idx="29">
                  <c:v>32.39</c:v>
                </c:pt>
                <c:pt idx="30">
                  <c:v>32.11</c:v>
                </c:pt>
                <c:pt idx="31">
                  <c:v>31.65</c:v>
                </c:pt>
                <c:pt idx="32">
                  <c:v>31.72</c:v>
                </c:pt>
                <c:pt idx="33">
                  <c:v>30.97</c:v>
                </c:pt>
                <c:pt idx="34">
                  <c:v>31.12</c:v>
                </c:pt>
                <c:pt idx="35">
                  <c:v>30.71</c:v>
                </c:pt>
                <c:pt idx="36">
                  <c:v>30.94</c:v>
                </c:pt>
                <c:pt idx="37">
                  <c:v>31.18</c:v>
                </c:pt>
                <c:pt idx="38">
                  <c:v>30.48</c:v>
                </c:pt>
                <c:pt idx="39">
                  <c:v>31.71</c:v>
                </c:pt>
                <c:pt idx="40">
                  <c:v>31.89</c:v>
                </c:pt>
                <c:pt idx="42">
                  <c:v>32.119999999999997</c:v>
                </c:pt>
                <c:pt idx="43">
                  <c:v>32.159999999999997</c:v>
                </c:pt>
                <c:pt idx="44">
                  <c:v>31.8</c:v>
                </c:pt>
                <c:pt idx="45">
                  <c:v>31.92</c:v>
                </c:pt>
                <c:pt idx="46">
                  <c:v>31.67</c:v>
                </c:pt>
                <c:pt idx="47">
                  <c:v>31.81</c:v>
                </c:pt>
                <c:pt idx="48">
                  <c:v>31.53</c:v>
                </c:pt>
                <c:pt idx="49">
                  <c:v>31.54</c:v>
                </c:pt>
                <c:pt idx="50">
                  <c:v>31.78</c:v>
                </c:pt>
                <c:pt idx="51">
                  <c:v>31.9</c:v>
                </c:pt>
                <c:pt idx="52">
                  <c:v>31.87</c:v>
                </c:pt>
                <c:pt idx="53">
                  <c:v>31.83</c:v>
                </c:pt>
                <c:pt idx="54">
                  <c:v>31.55</c:v>
                </c:pt>
                <c:pt idx="55">
                  <c:v>31.85</c:v>
                </c:pt>
                <c:pt idx="56">
                  <c:v>31.71</c:v>
                </c:pt>
                <c:pt idx="57">
                  <c:v>31.86</c:v>
                </c:pt>
                <c:pt idx="58">
                  <c:v>31.57</c:v>
                </c:pt>
                <c:pt idx="59">
                  <c:v>31.75</c:v>
                </c:pt>
                <c:pt idx="60">
                  <c:v>31.25</c:v>
                </c:pt>
                <c:pt idx="61">
                  <c:v>31.07</c:v>
                </c:pt>
                <c:pt idx="62">
                  <c:v>30.88</c:v>
                </c:pt>
                <c:pt idx="63">
                  <c:v>30.8</c:v>
                </c:pt>
                <c:pt idx="64">
                  <c:v>30.34</c:v>
                </c:pt>
                <c:pt idx="65">
                  <c:v>30.24</c:v>
                </c:pt>
                <c:pt idx="66">
                  <c:v>29.93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1618872"/>
        <c:axId val="781625536"/>
      </c:lineChart>
      <c:catAx>
        <c:axId val="7816188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625536"/>
        <c:crosses val="autoZero"/>
        <c:auto val="1"/>
        <c:lblAlgn val="ctr"/>
        <c:lblOffset val="100"/>
        <c:noMultiLvlLbl val="0"/>
      </c:catAx>
      <c:valAx>
        <c:axId val="78162553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618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2-Nov-16</c:v>
                </c:pt>
                <c:pt idx="1">
                  <c:v>1-Nov-16</c:v>
                </c:pt>
                <c:pt idx="2">
                  <c:v>31-Oct-16</c:v>
                </c:pt>
                <c:pt idx="3">
                  <c:v>28-Oct-16</c:v>
                </c:pt>
                <c:pt idx="4">
                  <c:v>27-Oct-16</c:v>
                </c:pt>
                <c:pt idx="5">
                  <c:v>26-Oct-16</c:v>
                </c:pt>
                <c:pt idx="6">
                  <c:v>25-Oct-16</c:v>
                </c:pt>
                <c:pt idx="7">
                  <c:v>24-Oct-16</c:v>
                </c:pt>
                <c:pt idx="8">
                  <c:v>21-Oct-16</c:v>
                </c:pt>
                <c:pt idx="9">
                  <c:v>20-Oct-16</c:v>
                </c:pt>
                <c:pt idx="10">
                  <c:v>19-Oct-16</c:v>
                </c:pt>
                <c:pt idx="11">
                  <c:v>18-Oct-16</c:v>
                </c:pt>
                <c:pt idx="12">
                  <c:v>17-Oct-16</c:v>
                </c:pt>
                <c:pt idx="13">
                  <c:v>14-Oct-16</c:v>
                </c:pt>
                <c:pt idx="14">
                  <c:v>13-Oct-16</c:v>
                </c:pt>
                <c:pt idx="15">
                  <c:v>12-Oct-16</c:v>
                </c:pt>
                <c:pt idx="16">
                  <c:v>11-Oct-16</c:v>
                </c:pt>
                <c:pt idx="17">
                  <c:v>10-Oct-16</c:v>
                </c:pt>
                <c:pt idx="18">
                  <c:v>7-Oct-16</c:v>
                </c:pt>
                <c:pt idx="19">
                  <c:v>6-Oct-16</c:v>
                </c:pt>
                <c:pt idx="20">
                  <c:v>5-Oct-16</c:v>
                </c:pt>
                <c:pt idx="21">
                  <c:v>4-Oct-16</c:v>
                </c:pt>
                <c:pt idx="22">
                  <c:v>3-Oct-16</c:v>
                </c:pt>
                <c:pt idx="23">
                  <c:v>30-Sep-16</c:v>
                </c:pt>
                <c:pt idx="24">
                  <c:v>29-Sep-16</c:v>
                </c:pt>
                <c:pt idx="25">
                  <c:v>28-Sep-16</c:v>
                </c:pt>
                <c:pt idx="26">
                  <c:v>27-Sep-16</c:v>
                </c:pt>
                <c:pt idx="27">
                  <c:v>26-Sep-16</c:v>
                </c:pt>
                <c:pt idx="28">
                  <c:v>23-Sep-16</c:v>
                </c:pt>
                <c:pt idx="29">
                  <c:v>22-Sep-16</c:v>
                </c:pt>
                <c:pt idx="30">
                  <c:v>21-Sep-16</c:v>
                </c:pt>
                <c:pt idx="31">
                  <c:v>20-Sep-16</c:v>
                </c:pt>
                <c:pt idx="32">
                  <c:v>19-Sep-16</c:v>
                </c:pt>
                <c:pt idx="33">
                  <c:v>16-Sep-16</c:v>
                </c:pt>
                <c:pt idx="34">
                  <c:v>15-Sep-16</c:v>
                </c:pt>
                <c:pt idx="35">
                  <c:v>14-Sep-16</c:v>
                </c:pt>
                <c:pt idx="36">
                  <c:v>13-Sep-16</c:v>
                </c:pt>
                <c:pt idx="37">
                  <c:v>13-Sep-16</c:v>
                </c:pt>
                <c:pt idx="38">
                  <c:v>12-Sep-16</c:v>
                </c:pt>
                <c:pt idx="39">
                  <c:v>9-Sep-16</c:v>
                </c:pt>
                <c:pt idx="40">
                  <c:v>8-Sep-16</c:v>
                </c:pt>
                <c:pt idx="41">
                  <c:v>7-Sep-16</c:v>
                </c:pt>
                <c:pt idx="42">
                  <c:v>6-Sep-16</c:v>
                </c:pt>
                <c:pt idx="43">
                  <c:v>2-Sep-16</c:v>
                </c:pt>
                <c:pt idx="44">
                  <c:v>1-Sep-16</c:v>
                </c:pt>
                <c:pt idx="45">
                  <c:v>31-Aug-16</c:v>
                </c:pt>
                <c:pt idx="46">
                  <c:v>30-Aug-16</c:v>
                </c:pt>
                <c:pt idx="47">
                  <c:v>29-Aug-16</c:v>
                </c:pt>
                <c:pt idx="48">
                  <c:v>26-Aug-16</c:v>
                </c:pt>
                <c:pt idx="49">
                  <c:v>25-Aug-16</c:v>
                </c:pt>
                <c:pt idx="50">
                  <c:v>24-Aug-16</c:v>
                </c:pt>
                <c:pt idx="51">
                  <c:v>23-Aug-16</c:v>
                </c:pt>
                <c:pt idx="52">
                  <c:v>22-Aug-16</c:v>
                </c:pt>
                <c:pt idx="53">
                  <c:v>19-Aug-16</c:v>
                </c:pt>
                <c:pt idx="54">
                  <c:v>18-Aug-16</c:v>
                </c:pt>
                <c:pt idx="55">
                  <c:v>17-Aug-16</c:v>
                </c:pt>
                <c:pt idx="56">
                  <c:v>16-Aug-16</c:v>
                </c:pt>
                <c:pt idx="57">
                  <c:v>15-Aug-16</c:v>
                </c:pt>
                <c:pt idx="58">
                  <c:v>12-Aug-16</c:v>
                </c:pt>
                <c:pt idx="59">
                  <c:v>11-Aug-16</c:v>
                </c:pt>
                <c:pt idx="60">
                  <c:v>10-Aug-16</c:v>
                </c:pt>
                <c:pt idx="61">
                  <c:v>9-Aug-16</c:v>
                </c:pt>
                <c:pt idx="62">
                  <c:v>8-Aug-16</c:v>
                </c:pt>
                <c:pt idx="63">
                  <c:v>5-Aug-16</c:v>
                </c:pt>
                <c:pt idx="64">
                  <c:v>4-Aug-16</c:v>
                </c:pt>
                <c:pt idx="65">
                  <c:v>3-Aug-16</c:v>
                </c:pt>
                <c:pt idx="66">
                  <c:v>2-Aug-16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145.80000000000001</c:v>
                </c:pt>
                <c:pt idx="1">
                  <c:v>146.02000000000001</c:v>
                </c:pt>
                <c:pt idx="2">
                  <c:v>147.03</c:v>
                </c:pt>
                <c:pt idx="3">
                  <c:v>147.21</c:v>
                </c:pt>
                <c:pt idx="4">
                  <c:v>149.22</c:v>
                </c:pt>
                <c:pt idx="5">
                  <c:v>148.04</c:v>
                </c:pt>
                <c:pt idx="6">
                  <c:v>147.97</c:v>
                </c:pt>
                <c:pt idx="7">
                  <c:v>153.11000000000001</c:v>
                </c:pt>
                <c:pt idx="8">
                  <c:v>150.66</c:v>
                </c:pt>
                <c:pt idx="9">
                  <c:v>151.66</c:v>
                </c:pt>
                <c:pt idx="10">
                  <c:v>151.80000000000001</c:v>
                </c:pt>
                <c:pt idx="11">
                  <c:v>151.66999999999999</c:v>
                </c:pt>
                <c:pt idx="12">
                  <c:v>150.78</c:v>
                </c:pt>
                <c:pt idx="13">
                  <c:v>151.71</c:v>
                </c:pt>
                <c:pt idx="14">
                  <c:v>152.03</c:v>
                </c:pt>
                <c:pt idx="15">
                  <c:v>153.80000000000001</c:v>
                </c:pt>
                <c:pt idx="16">
                  <c:v>154.9</c:v>
                </c:pt>
                <c:pt idx="17">
                  <c:v>159.11000000000001</c:v>
                </c:pt>
                <c:pt idx="18">
                  <c:v>158.21</c:v>
                </c:pt>
                <c:pt idx="19">
                  <c:v>158.44</c:v>
                </c:pt>
                <c:pt idx="20">
                  <c:v>158.28</c:v>
                </c:pt>
                <c:pt idx="21">
                  <c:v>157.57</c:v>
                </c:pt>
                <c:pt idx="22">
                  <c:v>159.12</c:v>
                </c:pt>
                <c:pt idx="23">
                  <c:v>159.06</c:v>
                </c:pt>
                <c:pt idx="24">
                  <c:v>156.06</c:v>
                </c:pt>
                <c:pt idx="25">
                  <c:v>158.63999999999999</c:v>
                </c:pt>
                <c:pt idx="26">
                  <c:v>158.88</c:v>
                </c:pt>
                <c:pt idx="27">
                  <c:v>156.16</c:v>
                </c:pt>
                <c:pt idx="28">
                  <c:v>157.66</c:v>
                </c:pt>
                <c:pt idx="29">
                  <c:v>157.66</c:v>
                </c:pt>
                <c:pt idx="30">
                  <c:v>155.41999999999999</c:v>
                </c:pt>
                <c:pt idx="31">
                  <c:v>151.62</c:v>
                </c:pt>
                <c:pt idx="32">
                  <c:v>150</c:v>
                </c:pt>
                <c:pt idx="33">
                  <c:v>150.05000000000001</c:v>
                </c:pt>
                <c:pt idx="34">
                  <c:v>150</c:v>
                </c:pt>
                <c:pt idx="35">
                  <c:v>147.85</c:v>
                </c:pt>
                <c:pt idx="36">
                  <c:v>145.15</c:v>
                </c:pt>
                <c:pt idx="38">
                  <c:v>146.4</c:v>
                </c:pt>
                <c:pt idx="39">
                  <c:v>143.68</c:v>
                </c:pt>
                <c:pt idx="40">
                  <c:v>150.65</c:v>
                </c:pt>
                <c:pt idx="41">
                  <c:v>150.5</c:v>
                </c:pt>
                <c:pt idx="42">
                  <c:v>151</c:v>
                </c:pt>
                <c:pt idx="43">
                  <c:v>151.18</c:v>
                </c:pt>
                <c:pt idx="44">
                  <c:v>150.94999999999999</c:v>
                </c:pt>
                <c:pt idx="45">
                  <c:v>152.19</c:v>
                </c:pt>
                <c:pt idx="46">
                  <c:v>153.16</c:v>
                </c:pt>
                <c:pt idx="47">
                  <c:v>153.51</c:v>
                </c:pt>
                <c:pt idx="48">
                  <c:v>152.36000000000001</c:v>
                </c:pt>
                <c:pt idx="49">
                  <c:v>151.35</c:v>
                </c:pt>
                <c:pt idx="50">
                  <c:v>151.26</c:v>
                </c:pt>
                <c:pt idx="51">
                  <c:v>154.55000000000001</c:v>
                </c:pt>
                <c:pt idx="52">
                  <c:v>153.99</c:v>
                </c:pt>
                <c:pt idx="53">
                  <c:v>153.58000000000001</c:v>
                </c:pt>
                <c:pt idx="54">
                  <c:v>153.35</c:v>
                </c:pt>
                <c:pt idx="55">
                  <c:v>154.66999999999999</c:v>
                </c:pt>
                <c:pt idx="56">
                  <c:v>154.97</c:v>
                </c:pt>
                <c:pt idx="57">
                  <c:v>155.97</c:v>
                </c:pt>
                <c:pt idx="58">
                  <c:v>155.49</c:v>
                </c:pt>
                <c:pt idx="59">
                  <c:v>157.46</c:v>
                </c:pt>
                <c:pt idx="60">
                  <c:v>156.01</c:v>
                </c:pt>
                <c:pt idx="61">
                  <c:v>156.68</c:v>
                </c:pt>
                <c:pt idx="62">
                  <c:v>156.52000000000001</c:v>
                </c:pt>
                <c:pt idx="63">
                  <c:v>157.51</c:v>
                </c:pt>
                <c:pt idx="64">
                  <c:v>156.41999999999999</c:v>
                </c:pt>
                <c:pt idx="65">
                  <c:v>156</c:v>
                </c:pt>
                <c:pt idx="66">
                  <c:v>156.44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1631024"/>
        <c:axId val="781625928"/>
      </c:lineChart>
      <c:catAx>
        <c:axId val="7816310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625928"/>
        <c:crosses val="autoZero"/>
        <c:auto val="1"/>
        <c:lblAlgn val="ctr"/>
        <c:lblOffset val="100"/>
        <c:noMultiLvlLbl val="0"/>
      </c:catAx>
      <c:valAx>
        <c:axId val="78162592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631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2-Nov-16</c:v>
                </c:pt>
                <c:pt idx="1">
                  <c:v>1-Nov-16</c:v>
                </c:pt>
                <c:pt idx="2">
                  <c:v>31-Oct-16</c:v>
                </c:pt>
                <c:pt idx="3">
                  <c:v>28-Oct-16</c:v>
                </c:pt>
                <c:pt idx="4">
                  <c:v>27-Oct-16</c:v>
                </c:pt>
                <c:pt idx="5">
                  <c:v>26-Oct-16</c:v>
                </c:pt>
                <c:pt idx="6">
                  <c:v>25-Oct-16</c:v>
                </c:pt>
                <c:pt idx="7">
                  <c:v>24-Oct-16</c:v>
                </c:pt>
                <c:pt idx="8">
                  <c:v>21-Oct-16</c:v>
                </c:pt>
                <c:pt idx="9">
                  <c:v>20-Oct-16</c:v>
                </c:pt>
                <c:pt idx="10">
                  <c:v>19-Oct-16</c:v>
                </c:pt>
                <c:pt idx="11">
                  <c:v>18-Oct-16</c:v>
                </c:pt>
                <c:pt idx="12">
                  <c:v>17-Oct-16</c:v>
                </c:pt>
                <c:pt idx="13">
                  <c:v>14-Oct-16</c:v>
                </c:pt>
                <c:pt idx="14">
                  <c:v>13-Oct-16</c:v>
                </c:pt>
                <c:pt idx="15">
                  <c:v>12-Oct-16</c:v>
                </c:pt>
                <c:pt idx="16">
                  <c:v>11-Oct-16</c:v>
                </c:pt>
                <c:pt idx="17">
                  <c:v>10-Oct-16</c:v>
                </c:pt>
                <c:pt idx="18">
                  <c:v>7-Oct-16</c:v>
                </c:pt>
                <c:pt idx="19">
                  <c:v>6-Oct-16</c:v>
                </c:pt>
                <c:pt idx="20">
                  <c:v>5-Oct-16</c:v>
                </c:pt>
                <c:pt idx="21">
                  <c:v>4-Oct-16</c:v>
                </c:pt>
                <c:pt idx="22">
                  <c:v>3-Oct-16</c:v>
                </c:pt>
                <c:pt idx="23">
                  <c:v>30-Sep-16</c:v>
                </c:pt>
                <c:pt idx="24">
                  <c:v>29-Sep-16</c:v>
                </c:pt>
                <c:pt idx="25">
                  <c:v>28-Sep-16</c:v>
                </c:pt>
                <c:pt idx="26">
                  <c:v>27-Sep-16</c:v>
                </c:pt>
                <c:pt idx="27">
                  <c:v>26-Sep-16</c:v>
                </c:pt>
                <c:pt idx="28">
                  <c:v>23-Sep-16</c:v>
                </c:pt>
                <c:pt idx="29">
                  <c:v>22-Sep-16</c:v>
                </c:pt>
                <c:pt idx="30">
                  <c:v>21-Sep-16</c:v>
                </c:pt>
                <c:pt idx="31">
                  <c:v>20-Sep-16</c:v>
                </c:pt>
                <c:pt idx="32">
                  <c:v>19-Sep-16</c:v>
                </c:pt>
                <c:pt idx="33">
                  <c:v>16-Sep-16</c:v>
                </c:pt>
                <c:pt idx="34">
                  <c:v>15-Sep-16</c:v>
                </c:pt>
                <c:pt idx="35">
                  <c:v>14-Sep-16</c:v>
                </c:pt>
                <c:pt idx="36">
                  <c:v>13-Sep-16</c:v>
                </c:pt>
                <c:pt idx="37">
                  <c:v>12-Sep-16</c:v>
                </c:pt>
                <c:pt idx="38">
                  <c:v>9-Sep-16</c:v>
                </c:pt>
                <c:pt idx="39">
                  <c:v>8-Sep-16</c:v>
                </c:pt>
                <c:pt idx="40">
                  <c:v>7-Sep-16</c:v>
                </c:pt>
                <c:pt idx="41">
                  <c:v>6-Sep-16</c:v>
                </c:pt>
                <c:pt idx="42">
                  <c:v>2-Sep-16</c:v>
                </c:pt>
                <c:pt idx="43">
                  <c:v>1-Sep-16</c:v>
                </c:pt>
                <c:pt idx="44">
                  <c:v>31-Aug-16</c:v>
                </c:pt>
                <c:pt idx="45">
                  <c:v>30-Aug-16</c:v>
                </c:pt>
                <c:pt idx="46">
                  <c:v>29-Aug-16</c:v>
                </c:pt>
                <c:pt idx="47">
                  <c:v>26-Aug-16</c:v>
                </c:pt>
                <c:pt idx="48">
                  <c:v>25-Aug-16</c:v>
                </c:pt>
                <c:pt idx="49">
                  <c:v>24-Aug-16</c:v>
                </c:pt>
                <c:pt idx="50">
                  <c:v>23-Aug-16</c:v>
                </c:pt>
                <c:pt idx="51">
                  <c:v>22-Aug-16</c:v>
                </c:pt>
                <c:pt idx="52">
                  <c:v>19-Aug-16</c:v>
                </c:pt>
                <c:pt idx="53">
                  <c:v>18-Aug-16</c:v>
                </c:pt>
                <c:pt idx="54">
                  <c:v>17-Aug-16</c:v>
                </c:pt>
                <c:pt idx="55">
                  <c:v>16-Aug-16</c:v>
                </c:pt>
                <c:pt idx="56">
                  <c:v>15-Aug-16</c:v>
                </c:pt>
                <c:pt idx="57">
                  <c:v>12-Aug-16</c:v>
                </c:pt>
                <c:pt idx="58">
                  <c:v>11-Aug-16</c:v>
                </c:pt>
                <c:pt idx="59">
                  <c:v>11-Aug-16</c:v>
                </c:pt>
                <c:pt idx="60">
                  <c:v>10-Aug-16</c:v>
                </c:pt>
                <c:pt idx="61">
                  <c:v>9-Aug-16</c:v>
                </c:pt>
                <c:pt idx="62">
                  <c:v>8-Aug-16</c:v>
                </c:pt>
                <c:pt idx="63">
                  <c:v>5-Aug-16</c:v>
                </c:pt>
                <c:pt idx="64">
                  <c:v>4-Aug-16</c:v>
                </c:pt>
                <c:pt idx="65">
                  <c:v>3-Aug-16</c:v>
                </c:pt>
                <c:pt idx="66">
                  <c:v>2-Aug-16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32.049999999999997</c:v>
                </c:pt>
                <c:pt idx="1">
                  <c:v>32.6</c:v>
                </c:pt>
                <c:pt idx="2">
                  <c:v>33.049999999999997</c:v>
                </c:pt>
                <c:pt idx="3">
                  <c:v>32.979999999999997</c:v>
                </c:pt>
                <c:pt idx="4">
                  <c:v>33.200000000000003</c:v>
                </c:pt>
                <c:pt idx="5">
                  <c:v>34.950000000000003</c:v>
                </c:pt>
                <c:pt idx="6">
                  <c:v>34.590000000000003</c:v>
                </c:pt>
                <c:pt idx="7">
                  <c:v>34.4</c:v>
                </c:pt>
                <c:pt idx="8">
                  <c:v>34.46</c:v>
                </c:pt>
                <c:pt idx="9">
                  <c:v>34.21</c:v>
                </c:pt>
                <c:pt idx="10">
                  <c:v>34.590000000000003</c:v>
                </c:pt>
                <c:pt idx="11">
                  <c:v>34.65</c:v>
                </c:pt>
                <c:pt idx="12">
                  <c:v>34.520000000000003</c:v>
                </c:pt>
                <c:pt idx="13">
                  <c:v>34.42</c:v>
                </c:pt>
                <c:pt idx="14">
                  <c:v>34.26</c:v>
                </c:pt>
                <c:pt idx="15">
                  <c:v>34.71</c:v>
                </c:pt>
                <c:pt idx="16">
                  <c:v>34.49</c:v>
                </c:pt>
                <c:pt idx="17">
                  <c:v>34.89</c:v>
                </c:pt>
                <c:pt idx="18">
                  <c:v>34.950000000000003</c:v>
                </c:pt>
                <c:pt idx="19">
                  <c:v>35.869999999999997</c:v>
                </c:pt>
                <c:pt idx="20">
                  <c:v>35.409999999999997</c:v>
                </c:pt>
                <c:pt idx="21">
                  <c:v>34.56</c:v>
                </c:pt>
                <c:pt idx="22">
                  <c:v>34.880000000000003</c:v>
                </c:pt>
                <c:pt idx="23">
                  <c:v>35.14</c:v>
                </c:pt>
                <c:pt idx="24">
                  <c:v>34.56</c:v>
                </c:pt>
                <c:pt idx="25">
                  <c:v>34.69</c:v>
                </c:pt>
                <c:pt idx="26">
                  <c:v>33.81</c:v>
                </c:pt>
                <c:pt idx="27">
                  <c:v>33.619999999999997</c:v>
                </c:pt>
                <c:pt idx="28">
                  <c:v>33.26</c:v>
                </c:pt>
                <c:pt idx="29">
                  <c:v>33.67</c:v>
                </c:pt>
                <c:pt idx="30">
                  <c:v>32.93</c:v>
                </c:pt>
                <c:pt idx="31">
                  <c:v>32.22</c:v>
                </c:pt>
                <c:pt idx="32">
                  <c:v>32.44</c:v>
                </c:pt>
                <c:pt idx="33">
                  <c:v>32.17</c:v>
                </c:pt>
                <c:pt idx="34">
                  <c:v>32.53</c:v>
                </c:pt>
                <c:pt idx="35">
                  <c:v>31.87</c:v>
                </c:pt>
                <c:pt idx="36">
                  <c:v>32.35</c:v>
                </c:pt>
                <c:pt idx="37">
                  <c:v>33.369999999999997</c:v>
                </c:pt>
                <c:pt idx="38">
                  <c:v>32.75</c:v>
                </c:pt>
                <c:pt idx="39">
                  <c:v>33.68</c:v>
                </c:pt>
                <c:pt idx="40">
                  <c:v>33.81</c:v>
                </c:pt>
                <c:pt idx="41">
                  <c:v>33.51</c:v>
                </c:pt>
                <c:pt idx="42">
                  <c:v>33.950000000000003</c:v>
                </c:pt>
                <c:pt idx="43">
                  <c:v>33.700000000000003</c:v>
                </c:pt>
                <c:pt idx="44">
                  <c:v>33.869999999999997</c:v>
                </c:pt>
                <c:pt idx="45">
                  <c:v>34.380000000000003</c:v>
                </c:pt>
                <c:pt idx="46">
                  <c:v>34.380000000000003</c:v>
                </c:pt>
                <c:pt idx="47">
                  <c:v>34.15</c:v>
                </c:pt>
                <c:pt idx="48">
                  <c:v>34.200000000000003</c:v>
                </c:pt>
                <c:pt idx="49">
                  <c:v>34.07</c:v>
                </c:pt>
                <c:pt idx="50">
                  <c:v>34.299999999999997</c:v>
                </c:pt>
                <c:pt idx="51">
                  <c:v>33.64</c:v>
                </c:pt>
                <c:pt idx="52">
                  <c:v>33.72</c:v>
                </c:pt>
                <c:pt idx="53">
                  <c:v>33.6</c:v>
                </c:pt>
                <c:pt idx="54">
                  <c:v>33.630000000000003</c:v>
                </c:pt>
                <c:pt idx="55">
                  <c:v>33.54</c:v>
                </c:pt>
                <c:pt idx="56">
                  <c:v>33.72</c:v>
                </c:pt>
                <c:pt idx="57">
                  <c:v>33.520000000000003</c:v>
                </c:pt>
                <c:pt idx="58">
                  <c:v>33.880000000000003</c:v>
                </c:pt>
                <c:pt idx="60">
                  <c:v>33.729999999999997</c:v>
                </c:pt>
                <c:pt idx="61">
                  <c:v>33.880000000000003</c:v>
                </c:pt>
                <c:pt idx="62">
                  <c:v>34.159999999999997</c:v>
                </c:pt>
                <c:pt idx="63">
                  <c:v>34.01</c:v>
                </c:pt>
                <c:pt idx="64">
                  <c:v>33.36</c:v>
                </c:pt>
                <c:pt idx="65">
                  <c:v>33.42</c:v>
                </c:pt>
                <c:pt idx="66">
                  <c:v>33.340000000000003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1620832"/>
        <c:axId val="781629064"/>
      </c:lineChart>
      <c:catAx>
        <c:axId val="7816208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629064"/>
        <c:crosses val="autoZero"/>
        <c:auto val="1"/>
        <c:lblAlgn val="ctr"/>
        <c:lblOffset val="100"/>
        <c:noMultiLvlLbl val="0"/>
      </c:catAx>
      <c:valAx>
        <c:axId val="78162906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620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42676</c:v>
                </c:pt>
                <c:pt idx="1">
                  <c:v>42675</c:v>
                </c:pt>
                <c:pt idx="2">
                  <c:v>42674</c:v>
                </c:pt>
                <c:pt idx="3">
                  <c:v>42671</c:v>
                </c:pt>
                <c:pt idx="4">
                  <c:v>42670</c:v>
                </c:pt>
                <c:pt idx="5">
                  <c:v>42669</c:v>
                </c:pt>
                <c:pt idx="6">
                  <c:v>42668</c:v>
                </c:pt>
                <c:pt idx="7">
                  <c:v>42667</c:v>
                </c:pt>
                <c:pt idx="8">
                  <c:v>42664</c:v>
                </c:pt>
                <c:pt idx="9">
                  <c:v>42663</c:v>
                </c:pt>
                <c:pt idx="10">
                  <c:v>42662</c:v>
                </c:pt>
                <c:pt idx="11">
                  <c:v>42661</c:v>
                </c:pt>
                <c:pt idx="12">
                  <c:v>42660</c:v>
                </c:pt>
                <c:pt idx="13">
                  <c:v>42657</c:v>
                </c:pt>
                <c:pt idx="14">
                  <c:v>42656</c:v>
                </c:pt>
                <c:pt idx="15">
                  <c:v>42655</c:v>
                </c:pt>
                <c:pt idx="16">
                  <c:v>42654</c:v>
                </c:pt>
                <c:pt idx="17">
                  <c:v>42653</c:v>
                </c:pt>
                <c:pt idx="18">
                  <c:v>42650</c:v>
                </c:pt>
                <c:pt idx="19">
                  <c:v>42649</c:v>
                </c:pt>
                <c:pt idx="20">
                  <c:v>42648</c:v>
                </c:pt>
                <c:pt idx="21">
                  <c:v>42647</c:v>
                </c:pt>
                <c:pt idx="22">
                  <c:v>42646</c:v>
                </c:pt>
                <c:pt idx="23">
                  <c:v>42643</c:v>
                </c:pt>
                <c:pt idx="24">
                  <c:v>42642</c:v>
                </c:pt>
                <c:pt idx="25">
                  <c:v>42641</c:v>
                </c:pt>
                <c:pt idx="26">
                  <c:v>42640</c:v>
                </c:pt>
                <c:pt idx="27">
                  <c:v>42639</c:v>
                </c:pt>
                <c:pt idx="28">
                  <c:v>42636</c:v>
                </c:pt>
                <c:pt idx="29">
                  <c:v>42635</c:v>
                </c:pt>
                <c:pt idx="30">
                  <c:v>42634</c:v>
                </c:pt>
                <c:pt idx="31">
                  <c:v>42633</c:v>
                </c:pt>
                <c:pt idx="32">
                  <c:v>42632</c:v>
                </c:pt>
                <c:pt idx="33">
                  <c:v>42629</c:v>
                </c:pt>
                <c:pt idx="34">
                  <c:v>42628</c:v>
                </c:pt>
                <c:pt idx="35">
                  <c:v>42627</c:v>
                </c:pt>
                <c:pt idx="36">
                  <c:v>42626</c:v>
                </c:pt>
                <c:pt idx="37">
                  <c:v>42625</c:v>
                </c:pt>
                <c:pt idx="38">
                  <c:v>42622</c:v>
                </c:pt>
                <c:pt idx="39">
                  <c:v>42621</c:v>
                </c:pt>
                <c:pt idx="40">
                  <c:v>42620</c:v>
                </c:pt>
                <c:pt idx="41">
                  <c:v>42619</c:v>
                </c:pt>
                <c:pt idx="42">
                  <c:v>42615</c:v>
                </c:pt>
                <c:pt idx="43">
                  <c:v>42614</c:v>
                </c:pt>
                <c:pt idx="44">
                  <c:v>42613</c:v>
                </c:pt>
                <c:pt idx="45">
                  <c:v>42612</c:v>
                </c:pt>
                <c:pt idx="46">
                  <c:v>42611</c:v>
                </c:pt>
                <c:pt idx="47">
                  <c:v>42608</c:v>
                </c:pt>
                <c:pt idx="48">
                  <c:v>42607</c:v>
                </c:pt>
                <c:pt idx="49">
                  <c:v>42606</c:v>
                </c:pt>
                <c:pt idx="50">
                  <c:v>42605</c:v>
                </c:pt>
                <c:pt idx="51">
                  <c:v>42604</c:v>
                </c:pt>
                <c:pt idx="52">
                  <c:v>42601</c:v>
                </c:pt>
                <c:pt idx="53">
                  <c:v>42600</c:v>
                </c:pt>
                <c:pt idx="54">
                  <c:v>42599</c:v>
                </c:pt>
                <c:pt idx="55">
                  <c:v>42599</c:v>
                </c:pt>
                <c:pt idx="56">
                  <c:v>42598</c:v>
                </c:pt>
                <c:pt idx="57">
                  <c:v>42597</c:v>
                </c:pt>
                <c:pt idx="58">
                  <c:v>42594</c:v>
                </c:pt>
                <c:pt idx="59">
                  <c:v>42593</c:v>
                </c:pt>
                <c:pt idx="60">
                  <c:v>42592</c:v>
                </c:pt>
                <c:pt idx="61">
                  <c:v>42591</c:v>
                </c:pt>
                <c:pt idx="62">
                  <c:v>42590</c:v>
                </c:pt>
                <c:pt idx="63">
                  <c:v>42587</c:v>
                </c:pt>
                <c:pt idx="64">
                  <c:v>42586</c:v>
                </c:pt>
                <c:pt idx="65">
                  <c:v>42585</c:v>
                </c:pt>
                <c:pt idx="66">
                  <c:v>42584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101.54</c:v>
                </c:pt>
                <c:pt idx="1">
                  <c:v>102.01</c:v>
                </c:pt>
                <c:pt idx="2">
                  <c:v>102.2</c:v>
                </c:pt>
                <c:pt idx="3">
                  <c:v>101.84</c:v>
                </c:pt>
                <c:pt idx="4">
                  <c:v>100.07</c:v>
                </c:pt>
                <c:pt idx="5">
                  <c:v>101.01</c:v>
                </c:pt>
                <c:pt idx="6">
                  <c:v>101.36</c:v>
                </c:pt>
                <c:pt idx="7">
                  <c:v>99.52</c:v>
                </c:pt>
                <c:pt idx="8">
                  <c:v>98.67</c:v>
                </c:pt>
                <c:pt idx="9">
                  <c:v>99.29</c:v>
                </c:pt>
                <c:pt idx="10">
                  <c:v>99.76</c:v>
                </c:pt>
                <c:pt idx="11">
                  <c:v>99.99</c:v>
                </c:pt>
                <c:pt idx="12">
                  <c:v>99.71</c:v>
                </c:pt>
                <c:pt idx="13">
                  <c:v>100.16</c:v>
                </c:pt>
                <c:pt idx="14">
                  <c:v>99.85</c:v>
                </c:pt>
                <c:pt idx="15">
                  <c:v>98.93</c:v>
                </c:pt>
                <c:pt idx="16">
                  <c:v>98.77</c:v>
                </c:pt>
                <c:pt idx="17">
                  <c:v>99.98</c:v>
                </c:pt>
                <c:pt idx="18">
                  <c:v>100.58</c:v>
                </c:pt>
                <c:pt idx="19">
                  <c:v>102.08</c:v>
                </c:pt>
                <c:pt idx="20">
                  <c:v>102.25</c:v>
                </c:pt>
                <c:pt idx="21">
                  <c:v>101.43</c:v>
                </c:pt>
                <c:pt idx="22">
                  <c:v>102.43</c:v>
                </c:pt>
                <c:pt idx="23">
                  <c:v>101.6</c:v>
                </c:pt>
                <c:pt idx="24">
                  <c:v>101.06</c:v>
                </c:pt>
                <c:pt idx="25">
                  <c:v>102.35</c:v>
                </c:pt>
                <c:pt idx="26">
                  <c:v>102.35</c:v>
                </c:pt>
                <c:pt idx="27">
                  <c:v>102.23</c:v>
                </c:pt>
                <c:pt idx="28">
                  <c:v>102.56</c:v>
                </c:pt>
                <c:pt idx="29">
                  <c:v>103</c:v>
                </c:pt>
                <c:pt idx="30">
                  <c:v>101.96</c:v>
                </c:pt>
                <c:pt idx="31">
                  <c:v>100.24</c:v>
                </c:pt>
                <c:pt idx="32">
                  <c:v>100.44</c:v>
                </c:pt>
                <c:pt idx="33">
                  <c:v>100.1</c:v>
                </c:pt>
                <c:pt idx="34">
                  <c:v>102.71</c:v>
                </c:pt>
                <c:pt idx="35">
                  <c:v>101.66</c:v>
                </c:pt>
                <c:pt idx="36">
                  <c:v>102.32</c:v>
                </c:pt>
                <c:pt idx="37">
                  <c:v>104.03</c:v>
                </c:pt>
                <c:pt idx="38">
                  <c:v>102.68</c:v>
                </c:pt>
                <c:pt idx="39">
                  <c:v>105.75</c:v>
                </c:pt>
                <c:pt idx="40">
                  <c:v>105.85</c:v>
                </c:pt>
                <c:pt idx="41">
                  <c:v>106.01</c:v>
                </c:pt>
                <c:pt idx="42">
                  <c:v>106.93</c:v>
                </c:pt>
                <c:pt idx="43">
                  <c:v>106.72</c:v>
                </c:pt>
                <c:pt idx="44">
                  <c:v>106.43</c:v>
                </c:pt>
                <c:pt idx="45">
                  <c:v>107.35</c:v>
                </c:pt>
                <c:pt idx="46">
                  <c:v>107.97</c:v>
                </c:pt>
                <c:pt idx="47">
                  <c:v>107.31</c:v>
                </c:pt>
                <c:pt idx="48">
                  <c:v>107.72</c:v>
                </c:pt>
                <c:pt idx="49">
                  <c:v>107.96</c:v>
                </c:pt>
                <c:pt idx="50">
                  <c:v>108</c:v>
                </c:pt>
                <c:pt idx="51">
                  <c:v>108.5</c:v>
                </c:pt>
                <c:pt idx="52">
                  <c:v>109.14</c:v>
                </c:pt>
                <c:pt idx="53">
                  <c:v>109.33</c:v>
                </c:pt>
                <c:pt idx="54">
                  <c:v>108.94</c:v>
                </c:pt>
                <c:pt idx="56">
                  <c:v>109.16</c:v>
                </c:pt>
                <c:pt idx="57">
                  <c:v>109.69</c:v>
                </c:pt>
                <c:pt idx="58">
                  <c:v>108.87</c:v>
                </c:pt>
                <c:pt idx="59">
                  <c:v>109.18</c:v>
                </c:pt>
                <c:pt idx="60">
                  <c:v>108.12</c:v>
                </c:pt>
                <c:pt idx="61">
                  <c:v>108.34</c:v>
                </c:pt>
                <c:pt idx="62">
                  <c:v>107.79</c:v>
                </c:pt>
                <c:pt idx="63">
                  <c:v>107.74</c:v>
                </c:pt>
                <c:pt idx="64">
                  <c:v>106.36</c:v>
                </c:pt>
                <c:pt idx="65">
                  <c:v>106.29</c:v>
                </c:pt>
                <c:pt idx="66">
                  <c:v>106.27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1627888"/>
        <c:axId val="781629456"/>
      </c:lineChart>
      <c:dateAx>
        <c:axId val="7816278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629456"/>
        <c:crosses val="autoZero"/>
        <c:auto val="1"/>
        <c:lblOffset val="100"/>
        <c:baseTimeUnit val="days"/>
      </c:dateAx>
      <c:valAx>
        <c:axId val="78162945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627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42676</c:v>
                </c:pt>
                <c:pt idx="1">
                  <c:v>42675</c:v>
                </c:pt>
                <c:pt idx="2">
                  <c:v>42674</c:v>
                </c:pt>
                <c:pt idx="3">
                  <c:v>42671</c:v>
                </c:pt>
                <c:pt idx="4">
                  <c:v>42670</c:v>
                </c:pt>
                <c:pt idx="5">
                  <c:v>42669</c:v>
                </c:pt>
                <c:pt idx="6">
                  <c:v>42668</c:v>
                </c:pt>
                <c:pt idx="7">
                  <c:v>42667</c:v>
                </c:pt>
                <c:pt idx="8">
                  <c:v>42664</c:v>
                </c:pt>
                <c:pt idx="9">
                  <c:v>42663</c:v>
                </c:pt>
                <c:pt idx="10">
                  <c:v>42662</c:v>
                </c:pt>
                <c:pt idx="11">
                  <c:v>42661</c:v>
                </c:pt>
                <c:pt idx="12">
                  <c:v>42660</c:v>
                </c:pt>
                <c:pt idx="13">
                  <c:v>42657</c:v>
                </c:pt>
                <c:pt idx="14">
                  <c:v>42656</c:v>
                </c:pt>
                <c:pt idx="15">
                  <c:v>42655</c:v>
                </c:pt>
                <c:pt idx="16">
                  <c:v>42654</c:v>
                </c:pt>
                <c:pt idx="17">
                  <c:v>42653</c:v>
                </c:pt>
                <c:pt idx="18">
                  <c:v>42650</c:v>
                </c:pt>
                <c:pt idx="19">
                  <c:v>42649</c:v>
                </c:pt>
                <c:pt idx="20">
                  <c:v>42648</c:v>
                </c:pt>
                <c:pt idx="21">
                  <c:v>42647</c:v>
                </c:pt>
                <c:pt idx="22">
                  <c:v>42646</c:v>
                </c:pt>
                <c:pt idx="23">
                  <c:v>42643</c:v>
                </c:pt>
                <c:pt idx="24">
                  <c:v>42642</c:v>
                </c:pt>
                <c:pt idx="25">
                  <c:v>42641</c:v>
                </c:pt>
                <c:pt idx="26">
                  <c:v>42640</c:v>
                </c:pt>
                <c:pt idx="27">
                  <c:v>42639</c:v>
                </c:pt>
                <c:pt idx="28">
                  <c:v>42636</c:v>
                </c:pt>
                <c:pt idx="29">
                  <c:v>42635</c:v>
                </c:pt>
                <c:pt idx="30">
                  <c:v>42634</c:v>
                </c:pt>
                <c:pt idx="31">
                  <c:v>42633</c:v>
                </c:pt>
                <c:pt idx="32">
                  <c:v>42632</c:v>
                </c:pt>
                <c:pt idx="33">
                  <c:v>42629</c:v>
                </c:pt>
                <c:pt idx="34">
                  <c:v>42628</c:v>
                </c:pt>
                <c:pt idx="35">
                  <c:v>42627</c:v>
                </c:pt>
                <c:pt idx="36">
                  <c:v>42626</c:v>
                </c:pt>
                <c:pt idx="37">
                  <c:v>42625</c:v>
                </c:pt>
                <c:pt idx="38">
                  <c:v>42622</c:v>
                </c:pt>
                <c:pt idx="39">
                  <c:v>42621</c:v>
                </c:pt>
                <c:pt idx="40">
                  <c:v>42620</c:v>
                </c:pt>
                <c:pt idx="41">
                  <c:v>42620</c:v>
                </c:pt>
                <c:pt idx="42">
                  <c:v>42619</c:v>
                </c:pt>
                <c:pt idx="43">
                  <c:v>42615</c:v>
                </c:pt>
                <c:pt idx="44">
                  <c:v>42614</c:v>
                </c:pt>
                <c:pt idx="45">
                  <c:v>42613</c:v>
                </c:pt>
                <c:pt idx="46">
                  <c:v>42612</c:v>
                </c:pt>
                <c:pt idx="47">
                  <c:v>42611</c:v>
                </c:pt>
                <c:pt idx="48">
                  <c:v>42608</c:v>
                </c:pt>
                <c:pt idx="49">
                  <c:v>42607</c:v>
                </c:pt>
                <c:pt idx="50">
                  <c:v>42606</c:v>
                </c:pt>
                <c:pt idx="51">
                  <c:v>42605</c:v>
                </c:pt>
                <c:pt idx="52">
                  <c:v>42604</c:v>
                </c:pt>
                <c:pt idx="53">
                  <c:v>42601</c:v>
                </c:pt>
                <c:pt idx="54">
                  <c:v>42600</c:v>
                </c:pt>
                <c:pt idx="55">
                  <c:v>42599</c:v>
                </c:pt>
                <c:pt idx="56">
                  <c:v>42598</c:v>
                </c:pt>
                <c:pt idx="57">
                  <c:v>42597</c:v>
                </c:pt>
                <c:pt idx="58">
                  <c:v>42594</c:v>
                </c:pt>
                <c:pt idx="59">
                  <c:v>42593</c:v>
                </c:pt>
                <c:pt idx="60">
                  <c:v>42592</c:v>
                </c:pt>
                <c:pt idx="61">
                  <c:v>42591</c:v>
                </c:pt>
                <c:pt idx="62">
                  <c:v>42590</c:v>
                </c:pt>
                <c:pt idx="63">
                  <c:v>42587</c:v>
                </c:pt>
                <c:pt idx="64">
                  <c:v>42586</c:v>
                </c:pt>
                <c:pt idx="65">
                  <c:v>42585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138.97999999999999</c:v>
                </c:pt>
                <c:pt idx="1">
                  <c:v>139.43</c:v>
                </c:pt>
                <c:pt idx="2">
                  <c:v>141.33000000000001</c:v>
                </c:pt>
                <c:pt idx="3">
                  <c:v>140.35</c:v>
                </c:pt>
                <c:pt idx="4">
                  <c:v>141.94</c:v>
                </c:pt>
                <c:pt idx="5">
                  <c:v>142.22999999999999</c:v>
                </c:pt>
                <c:pt idx="6">
                  <c:v>143.78</c:v>
                </c:pt>
                <c:pt idx="7">
                  <c:v>144.69</c:v>
                </c:pt>
                <c:pt idx="8">
                  <c:v>145.37</c:v>
                </c:pt>
                <c:pt idx="9">
                  <c:v>145.07</c:v>
                </c:pt>
                <c:pt idx="10">
                  <c:v>144.37</c:v>
                </c:pt>
                <c:pt idx="11">
                  <c:v>143.38999999999999</c:v>
                </c:pt>
                <c:pt idx="12">
                  <c:v>134.13</c:v>
                </c:pt>
                <c:pt idx="13">
                  <c:v>133.91999999999999</c:v>
                </c:pt>
                <c:pt idx="14">
                  <c:v>134.19</c:v>
                </c:pt>
                <c:pt idx="15">
                  <c:v>135.1</c:v>
                </c:pt>
                <c:pt idx="16">
                  <c:v>134.75</c:v>
                </c:pt>
                <c:pt idx="17">
                  <c:v>138.08000000000001</c:v>
                </c:pt>
                <c:pt idx="18">
                  <c:v>136.66</c:v>
                </c:pt>
                <c:pt idx="19">
                  <c:v>136.47</c:v>
                </c:pt>
                <c:pt idx="20">
                  <c:v>137.6</c:v>
                </c:pt>
                <c:pt idx="21">
                  <c:v>138.16</c:v>
                </c:pt>
                <c:pt idx="22">
                  <c:v>138.49</c:v>
                </c:pt>
                <c:pt idx="23">
                  <c:v>140</c:v>
                </c:pt>
                <c:pt idx="24">
                  <c:v>138.32</c:v>
                </c:pt>
                <c:pt idx="25">
                  <c:v>140.41</c:v>
                </c:pt>
                <c:pt idx="26">
                  <c:v>140.79</c:v>
                </c:pt>
                <c:pt idx="27">
                  <c:v>139.72</c:v>
                </c:pt>
                <c:pt idx="28">
                  <c:v>140.51</c:v>
                </c:pt>
                <c:pt idx="29">
                  <c:v>141.04</c:v>
                </c:pt>
                <c:pt idx="30">
                  <c:v>139.91</c:v>
                </c:pt>
                <c:pt idx="31">
                  <c:v>137.47</c:v>
                </c:pt>
                <c:pt idx="32">
                  <c:v>137.68</c:v>
                </c:pt>
                <c:pt idx="33">
                  <c:v>138.47</c:v>
                </c:pt>
                <c:pt idx="34">
                  <c:v>135.61000000000001</c:v>
                </c:pt>
                <c:pt idx="35">
                  <c:v>133.69</c:v>
                </c:pt>
                <c:pt idx="36">
                  <c:v>133.94999999999999</c:v>
                </c:pt>
                <c:pt idx="37">
                  <c:v>135.53</c:v>
                </c:pt>
                <c:pt idx="38">
                  <c:v>133.62</c:v>
                </c:pt>
                <c:pt idx="39">
                  <c:v>135.44</c:v>
                </c:pt>
                <c:pt idx="40">
                  <c:v>134.99</c:v>
                </c:pt>
                <c:pt idx="42">
                  <c:v>135.97</c:v>
                </c:pt>
                <c:pt idx="43">
                  <c:v>136.61000000000001</c:v>
                </c:pt>
                <c:pt idx="44">
                  <c:v>135.74</c:v>
                </c:pt>
                <c:pt idx="45">
                  <c:v>136.05000000000001</c:v>
                </c:pt>
                <c:pt idx="46">
                  <c:v>136.87</c:v>
                </c:pt>
                <c:pt idx="47">
                  <c:v>137.27000000000001</c:v>
                </c:pt>
                <c:pt idx="48">
                  <c:v>136.62</c:v>
                </c:pt>
                <c:pt idx="49">
                  <c:v>137.30000000000001</c:v>
                </c:pt>
                <c:pt idx="50">
                  <c:v>139.87</c:v>
                </c:pt>
                <c:pt idx="51">
                  <c:v>142.01</c:v>
                </c:pt>
                <c:pt idx="52">
                  <c:v>142.09</c:v>
                </c:pt>
                <c:pt idx="53">
                  <c:v>142.04</c:v>
                </c:pt>
                <c:pt idx="54">
                  <c:v>142.16999999999999</c:v>
                </c:pt>
                <c:pt idx="55">
                  <c:v>141.71</c:v>
                </c:pt>
                <c:pt idx="56">
                  <c:v>141.08000000000001</c:v>
                </c:pt>
                <c:pt idx="57">
                  <c:v>141.62</c:v>
                </c:pt>
                <c:pt idx="58">
                  <c:v>142.88</c:v>
                </c:pt>
                <c:pt idx="59">
                  <c:v>142.63</c:v>
                </c:pt>
                <c:pt idx="60">
                  <c:v>142.19</c:v>
                </c:pt>
                <c:pt idx="61">
                  <c:v>141.82</c:v>
                </c:pt>
                <c:pt idx="62">
                  <c:v>142.13</c:v>
                </c:pt>
                <c:pt idx="63">
                  <c:v>142.99</c:v>
                </c:pt>
                <c:pt idx="64">
                  <c:v>142.71</c:v>
                </c:pt>
                <c:pt idx="65">
                  <c:v>142.88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1620440"/>
        <c:axId val="781627104"/>
      </c:lineChart>
      <c:dateAx>
        <c:axId val="7816204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627104"/>
        <c:crosses val="autoZero"/>
        <c:auto val="1"/>
        <c:lblOffset val="100"/>
        <c:baseTimeUnit val="days"/>
      </c:dateAx>
      <c:valAx>
        <c:axId val="78162710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620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1.xml"/><Relationship Id="rId1" Type="http://schemas.openxmlformats.org/officeDocument/2006/relationships/image" Target="../media/image1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3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5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8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1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4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2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5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5.xml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6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7.xml"/></Relationships>
</file>

<file path=xl/drawings/_rels/drawing5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152400</xdr:rowOff>
    </xdr:from>
    <xdr:to>
      <xdr:col>2</xdr:col>
      <xdr:colOff>504825</xdr:colOff>
      <xdr:row>22</xdr:row>
      <xdr:rowOff>132013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244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7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MYL" connectionId="7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MYL" backgroundRefresh="0" adjustColumnWidth="0" connectionId="77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connectionId="8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adjustColumnWidth="0" connectionId="8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APL" connectionId="8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connectionId="73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connectionId="9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connectionId="9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9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connectionId="95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93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swhc" adjustColumnWidth="0" connectionId="10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swhc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F" connectionId="42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F&amp;a=00&amp;b=1&amp;c=2016&amp;d=06&amp;e=1&amp;f=2016&amp;g=d" adjustColumnWidth="0" connectionId="7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LUV" adjustColumnWidth="0" connectionId="84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luv&amp;ql=1" connectionId="85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BMY_1" connectionId="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AKAM+Historical+Prices" backgroundRefresh="0" adjustColumnWidth="0" connectionId="8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AKAM" connectionId="88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AKAM+Historical+Prices" backgroundRefresh="0" adjustColumnWidth="0" connectionId="8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vs" connectionId="10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vs" adjustColumnWidth="0" connectionId="10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MRO" adjustColumnWidth="0" connectionId="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mro" connectionId="90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KR" connectionId="20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KR" backgroundRefresh="0" adjustColumnWidth="0" connectionId="21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F" backgroundRefresh="0" adjustColumnWidth="0" connectionId="67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F" backgroundRefresh="0" adjustColumnWidth="0" connectionId="68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JNJ" connectionId="10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jnj" backgroundRefresh="0" adjustColumnWidth="0" connectionId="10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CPN+Historical+Prices" backgroundRefresh="0" adjustColumnWidth="0" connectionId="49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CPN" backgroundRefresh="0" connectionId="3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NKE" connectionId="1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nke" backgroundRefresh="0" adjustColumnWidth="0" connectionId="12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MOS" connectionId="4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MOS+Historical+Prices" backgroundRefresh="0" adjustColumnWidth="0" connectionId="7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vgk" connectionId="8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vgk" connectionId="8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MU" connectionId="74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MU" adjustColumnWidth="0" connectionId="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IP" backgroundRefresh="0" connectionId="52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IP" backgroundRefresh="0" adjustColumnWidth="0" connectionId="5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INTC+Historical+Prices" backgroundRefresh="0" adjustColumnWidth="0" connectionId="26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INTC" backgroundRefresh="0" connectionId="15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HES" backgroundRefresh="0" connectionId="8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HES" backgroundRefresh="0" adjustColumnWidth="0" connectionId="94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UNP" backgroundRefresh="0" adjustColumnWidth="0" connectionId="10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NSC" backgroundRefresh="0" adjustColumnWidth="0" connectionId="9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nclh" backgroundRefresh="0" adjustColumnWidth="0" connectionId="98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nclh" connectionId="99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SPY" connectionId="7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SPY+Historical+Prices" adjustColumnWidth="0" connectionId="69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SWKS" backgroundRefresh="0" adjustColumnWidth="0" connectionId="6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SWKS" backgroundRefresh="0" connectionId="6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CNI" backgroundRefresh="0" adjustColumnWidth="0" connectionId="55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CNI" backgroundRefresh="0" adjustColumnWidth="0" connectionId="5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WFC" backgroundRefresh="0" adjustColumnWidth="0" connectionId="64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WFC" connectionId="6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KATE" backgroundRefresh="0" adjustColumnWidth="0" connectionId="3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KATE" backgroundRefresh="0" adjustColumnWidth="0" connectionId="3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NWL" backgroundRefresh="0" connectionId="6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NWL" backgroundRefresh="0" adjustColumnWidth="0" connectionId="59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KORS" backgroundRefresh="0" adjustColumnWidth="0" connectionId="36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ALL" backgroundRefresh="0" connectionId="60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ALL+Historical+Prices" backgroundRefresh="0" adjustColumnWidth="0" connectionId="71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AVGO" backgroundRefresh="0" adjustColumnWidth="0" connectionId="24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ual" backgroundRefresh="0" adjustColumnWidth="0" connectionId="22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UAL" connectionId="23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CAH" connectionId="39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CAH" backgroundRefresh="0" adjustColumnWidth="0" connectionId="38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DAL" backgroundRefresh="0" adjustColumnWidth="0" connectionId="57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DAL" backgroundRefresh="0" adjustColumnWidth="0" connectionId="66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DIS" backgroundRefresh="0" adjustColumnWidth="0" connectionId="27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FTR" backgroundRefresh="0" adjustColumnWidth="0" connectionId="5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FTR" backgroundRefresh="0" adjustColumnWidth="0" connectionId="5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GILD" backgroundRefresh="0" connectionId="29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hp?s=GILD" backgroundRefresh="0" adjustColumnWidth="0" connectionId="30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WWD" backgroundRefresh="0" adjustColumnWidth="0" connectionId="47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WWD" backgroundRefresh="0" adjustColumnWidth="0" connectionId="48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hp?s=GIS" adjustColumnWidth="0" connectionId="70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GIS_1" adjustColumnWidth="0" connectionId="75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GM" backgroundRefresh="0" connectionId="31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hp?s=GM" backgroundRefresh="0" adjustColumnWidth="0" connectionId="32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tmo" backgroundRefresh="0" connectionId="56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hp?s=tmo" backgroundRefresh="0" adjustColumnWidth="0" connectionId="53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q?s=TKR" backgroundRefresh="0" adjustColumnWidth="0" connectionId="18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hp?s=TKR" backgroundRefresh="0" adjustColumnWidth="0" connectionId="19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hp?s=UTX" backgroundRefresh="0" adjustColumnWidth="0" connectionId="46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UTX" backgroundRefresh="0" adjustColumnWidth="0" connectionId="45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q?s=UNH" backgroundRefresh="0" adjustColumnWidth="0" connectionId="43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hp?s=UNH" backgroundRefresh="0" adjustColumnWidth="0" connectionId="44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2.xml"/><Relationship Id="rId4" Type="http://schemas.openxmlformats.org/officeDocument/2006/relationships/queryTable" Target="../queryTables/queryTable51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6.xml"/><Relationship Id="rId4" Type="http://schemas.openxmlformats.org/officeDocument/2006/relationships/queryTable" Target="../queryTables/queryTable65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7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6.xml"/><Relationship Id="rId2" Type="http://schemas.openxmlformats.org/officeDocument/2006/relationships/queryTable" Target="../queryTables/queryTable85.xml"/><Relationship Id="rId1" Type="http://schemas.openxmlformats.org/officeDocument/2006/relationships/drawing" Target="../drawings/drawing4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9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9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4.xml"/><Relationship Id="rId2" Type="http://schemas.openxmlformats.org/officeDocument/2006/relationships/queryTable" Target="../queryTables/queryTable93.xml"/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queryTable" Target="../queryTables/queryTable95.xml"/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8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9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100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1.xml"/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102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4.xml"/><Relationship Id="rId2" Type="http://schemas.openxmlformats.org/officeDocument/2006/relationships/queryTable" Target="../queryTables/queryTable103.xml"/><Relationship Id="rId1" Type="http://schemas.openxmlformats.org/officeDocument/2006/relationships/drawing" Target="../drawings/drawing5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workbookViewId="0">
      <pane ySplit="1" topLeftCell="A240" activePane="bottomLeft" state="frozen"/>
      <selection activeCell="E5" sqref="E5"/>
      <selection pane="bottomLeft" activeCell="T277" sqref="T277"/>
    </sheetView>
  </sheetViews>
  <sheetFormatPr defaultColWidth="9.140625" defaultRowHeight="18" customHeight="1" x14ac:dyDescent="0.25"/>
  <cols>
    <col min="1" max="1" width="9.5703125" style="287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134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135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587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587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587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587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135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124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135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135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135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135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135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135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135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135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135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135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135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135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135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135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587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587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135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135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135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135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135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41"/>
      <c r="O205" s="442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66" t="s">
        <v>243</v>
      </c>
      <c r="R242" s="465"/>
      <c r="S242" s="432" t="s">
        <v>230</v>
      </c>
      <c r="T242" s="430"/>
    </row>
    <row r="243" spans="1:21" ht="18" customHeight="1" x14ac:dyDescent="0.25">
      <c r="M243" s="29" t="s">
        <v>132</v>
      </c>
      <c r="N243" s="145">
        <f>SUM(N1:N241)</f>
        <v>-3929.4599999999336</v>
      </c>
      <c r="Q243" s="367">
        <v>42449</v>
      </c>
      <c r="R243" s="465">
        <v>0.02</v>
      </c>
      <c r="S243" s="430">
        <v>2015</v>
      </c>
      <c r="T243" s="430">
        <v>1003.28</v>
      </c>
    </row>
    <row r="244" spans="1:21" ht="18" customHeight="1" x14ac:dyDescent="0.25">
      <c r="M244" s="26" t="s">
        <v>155</v>
      </c>
      <c r="N244" s="577">
        <f>T263</f>
        <v>1007.8700000000002</v>
      </c>
      <c r="Q244" s="367">
        <v>42451</v>
      </c>
      <c r="R244" s="465">
        <v>0.01</v>
      </c>
      <c r="S244" s="495">
        <v>42278</v>
      </c>
      <c r="T244" s="430">
        <v>0.19</v>
      </c>
    </row>
    <row r="245" spans="1:21" ht="18" customHeight="1" x14ac:dyDescent="0.25">
      <c r="M245" s="26" t="s">
        <v>131</v>
      </c>
      <c r="N245" s="145">
        <f>SUM(ACTIVE!L:L)</f>
        <v>-47066.031999998806</v>
      </c>
      <c r="Q245" s="514"/>
      <c r="R245" s="465"/>
      <c r="S245" s="495">
        <v>42309</v>
      </c>
      <c r="T245" s="430">
        <v>0.26</v>
      </c>
    </row>
    <row r="246" spans="1:21" ht="18" customHeight="1" x14ac:dyDescent="0.25">
      <c r="Q246" s="366"/>
      <c r="R246" s="465"/>
      <c r="S246" s="495">
        <v>42339</v>
      </c>
      <c r="T246" s="430">
        <v>0.23</v>
      </c>
    </row>
    <row r="247" spans="1:21" ht="18" customHeight="1" x14ac:dyDescent="0.25">
      <c r="M247" s="26" t="s">
        <v>146</v>
      </c>
      <c r="N247" s="145">
        <f>SUM(N242:N245)</f>
        <v>-49177.611999998742</v>
      </c>
      <c r="Q247" s="366"/>
      <c r="R247" s="465"/>
      <c r="S247" s="495">
        <v>42370</v>
      </c>
      <c r="T247" s="430">
        <v>0.08</v>
      </c>
    </row>
    <row r="248" spans="1:21" ht="18" customHeight="1" x14ac:dyDescent="0.25">
      <c r="M248" s="26" t="s">
        <v>147</v>
      </c>
      <c r="N248" s="145">
        <f>Balance!X2</f>
        <v>-49177.640000000014</v>
      </c>
      <c r="Q248" s="366"/>
      <c r="R248" s="465"/>
      <c r="S248" s="495">
        <v>42401</v>
      </c>
      <c r="T248" s="430">
        <v>0.57999999999999996</v>
      </c>
    </row>
    <row r="249" spans="1:21" ht="18" customHeight="1" x14ac:dyDescent="0.25">
      <c r="M249" s="26" t="s">
        <v>198</v>
      </c>
      <c r="N249" s="578">
        <f>R263</f>
        <v>0.03</v>
      </c>
      <c r="O249" s="353"/>
      <c r="Q249" s="366"/>
      <c r="R249" s="465"/>
      <c r="S249" s="495">
        <v>42430</v>
      </c>
      <c r="T249" s="430">
        <v>0.68</v>
      </c>
    </row>
    <row r="250" spans="1:21" ht="18" customHeight="1" x14ac:dyDescent="0.25">
      <c r="Q250" s="366"/>
      <c r="R250" s="465"/>
      <c r="S250" s="495">
        <v>42461</v>
      </c>
      <c r="T250" s="430">
        <v>0.37</v>
      </c>
    </row>
    <row r="251" spans="1:21" ht="18" customHeight="1" x14ac:dyDescent="0.25">
      <c r="M251" s="26" t="s">
        <v>133</v>
      </c>
      <c r="N251" s="579">
        <f>N247-N249-N248</f>
        <v>-1.9999987271148711E-3</v>
      </c>
      <c r="Q251" s="366"/>
      <c r="R251" s="465"/>
      <c r="S251" s="495">
        <v>42491</v>
      </c>
      <c r="T251" s="430">
        <v>0.13</v>
      </c>
    </row>
    <row r="252" spans="1:21" ht="18" customHeight="1" x14ac:dyDescent="0.25">
      <c r="Q252" s="366"/>
      <c r="R252" s="465"/>
      <c r="S252" s="495">
        <v>42552</v>
      </c>
      <c r="T252" s="430">
        <v>0.64</v>
      </c>
    </row>
    <row r="253" spans="1:21" ht="18" customHeight="1" x14ac:dyDescent="0.25">
      <c r="Q253" s="366"/>
      <c r="R253" s="465"/>
      <c r="S253" s="495">
        <v>42580</v>
      </c>
      <c r="T253" s="430">
        <v>-0.66</v>
      </c>
      <c r="U253" s="25" t="s">
        <v>291</v>
      </c>
    </row>
    <row r="254" spans="1:21" ht="18" customHeight="1" x14ac:dyDescent="0.25">
      <c r="Q254" s="366"/>
      <c r="R254" s="465"/>
      <c r="S254" s="495">
        <v>42582</v>
      </c>
      <c r="T254" s="430">
        <v>0.26</v>
      </c>
    </row>
    <row r="255" spans="1:21" ht="18" customHeight="1" x14ac:dyDescent="0.25">
      <c r="Q255" s="366"/>
      <c r="R255" s="465"/>
      <c r="S255" s="495">
        <v>42608</v>
      </c>
      <c r="T255" s="430">
        <v>0.44</v>
      </c>
    </row>
    <row r="256" spans="1:21" ht="18" customHeight="1" x14ac:dyDescent="0.25">
      <c r="Q256" s="366"/>
      <c r="R256" s="465"/>
      <c r="S256" s="495">
        <v>42614</v>
      </c>
      <c r="T256" s="430">
        <v>0.23</v>
      </c>
    </row>
    <row r="257" spans="17:20" ht="18" customHeight="1" x14ac:dyDescent="0.25">
      <c r="Q257" s="366"/>
      <c r="R257" s="465"/>
      <c r="S257" s="495">
        <v>42639</v>
      </c>
      <c r="T257" s="430">
        <v>0.56999999999999995</v>
      </c>
    </row>
    <row r="258" spans="17:20" ht="18" customHeight="1" x14ac:dyDescent="0.25">
      <c r="Q258" s="366"/>
      <c r="R258" s="465"/>
      <c r="S258" s="495">
        <v>42644</v>
      </c>
      <c r="T258" s="430">
        <v>0.14000000000000001</v>
      </c>
    </row>
    <row r="259" spans="17:20" ht="18" customHeight="1" x14ac:dyDescent="0.25">
      <c r="Q259" s="366"/>
      <c r="R259" s="465"/>
      <c r="S259" s="495">
        <v>42674</v>
      </c>
      <c r="T259" s="430">
        <v>0.45</v>
      </c>
    </row>
    <row r="260" spans="17:20" ht="18" customHeight="1" x14ac:dyDescent="0.25">
      <c r="Q260" s="366"/>
      <c r="R260" s="465"/>
      <c r="S260" s="495"/>
      <c r="T260" s="430"/>
    </row>
    <row r="261" spans="17:20" ht="18" customHeight="1" x14ac:dyDescent="0.25">
      <c r="Q261" s="366"/>
      <c r="R261" s="465"/>
      <c r="S261" s="495"/>
      <c r="T261" s="430"/>
    </row>
    <row r="262" spans="17:20" ht="18" customHeight="1" x14ac:dyDescent="0.25">
      <c r="Q262" s="366"/>
      <c r="R262" s="465"/>
      <c r="S262" s="495"/>
      <c r="T262" s="430"/>
    </row>
    <row r="263" spans="17:20" ht="18" customHeight="1" x14ac:dyDescent="0.25">
      <c r="Q263" s="366" t="s">
        <v>81</v>
      </c>
      <c r="R263" s="465">
        <f>SUM(R243:R262)</f>
        <v>0.03</v>
      </c>
      <c r="S263" s="431" t="s">
        <v>81</v>
      </c>
      <c r="T263" s="430">
        <f>SUM(T243:T259)</f>
        <v>1007.8700000000002</v>
      </c>
    </row>
    <row r="274" spans="1:1" ht="18" customHeight="1" x14ac:dyDescent="0.25">
      <c r="A274" s="544"/>
    </row>
    <row r="275" spans="1:1" ht="18" customHeight="1" x14ac:dyDescent="0.25">
      <c r="A275" s="545"/>
    </row>
    <row r="276" spans="1:1" ht="18" customHeight="1" x14ac:dyDescent="0.25">
      <c r="A276" s="545"/>
    </row>
    <row r="277" spans="1:1" ht="18" customHeight="1" x14ac:dyDescent="0.25">
      <c r="A277" s="544"/>
    </row>
    <row r="278" spans="1:1" ht="18" customHeight="1" x14ac:dyDescent="0.25">
      <c r="A278" s="545"/>
    </row>
    <row r="279" spans="1:1" ht="18" customHeight="1" x14ac:dyDescent="0.25">
      <c r="A279" s="545"/>
    </row>
    <row r="280" spans="1:1" ht="18" customHeight="1" x14ac:dyDescent="0.25">
      <c r="A280" s="544"/>
    </row>
    <row r="281" spans="1:1" ht="18" customHeight="1" x14ac:dyDescent="0.25">
      <c r="A281" s="545"/>
    </row>
    <row r="282" spans="1:1" ht="18" customHeight="1" x14ac:dyDescent="0.25">
      <c r="A282" s="545"/>
    </row>
    <row r="283" spans="1:1" ht="18" customHeight="1" x14ac:dyDescent="0.25">
      <c r="A283" s="545"/>
    </row>
  </sheetData>
  <mergeCells count="3">
    <mergeCell ref="B12:B13"/>
    <mergeCell ref="B14:B15"/>
    <mergeCell ref="B163:B164"/>
  </mergeCells>
  <conditionalFormatting sqref="Q13">
    <cfRule type="expression" dxfId="865" priority="5">
      <formula>#REF!&gt;0</formula>
    </cfRule>
    <cfRule type="expression" dxfId="864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302"/>
  <sheetViews>
    <sheetView tabSelected="1" zoomScaleNormal="100" workbookViewId="0">
      <pane ySplit="1" topLeftCell="A280" activePane="bottomLeft" state="frozen"/>
      <selection pane="bottomLeft" activeCell="R304" sqref="R304"/>
    </sheetView>
  </sheetViews>
  <sheetFormatPr defaultColWidth="9.140625" defaultRowHeight="20.100000000000001" customHeight="1" x14ac:dyDescent="0.25"/>
  <cols>
    <col min="1" max="1" width="6.42578125" style="170" bestFit="1" customWidth="1"/>
    <col min="2" max="2" width="11.28515625" style="181" bestFit="1" customWidth="1"/>
    <col min="3" max="3" width="9" style="170" bestFit="1" customWidth="1"/>
    <col min="4" max="4" width="12.5703125" style="182" bestFit="1" customWidth="1"/>
    <col min="5" max="5" width="13.7109375" style="182" bestFit="1" customWidth="1"/>
    <col min="6" max="6" width="8.5703125" style="182" bestFit="1" customWidth="1"/>
    <col min="7" max="7" width="12.85546875" style="182" bestFit="1" customWidth="1"/>
    <col min="8" max="8" width="13.5703125" style="182" bestFit="1" customWidth="1"/>
    <col min="9" max="9" width="14.28515625" style="228" bestFit="1" customWidth="1"/>
    <col min="10" max="10" width="12.85546875" style="170" bestFit="1" customWidth="1"/>
    <col min="11" max="11" width="10.28515625" style="170" bestFit="1" customWidth="1"/>
    <col min="12" max="12" width="12.140625" style="170" bestFit="1" customWidth="1"/>
    <col min="13" max="13" width="11.42578125" style="218" bestFit="1" customWidth="1"/>
    <col min="14" max="14" width="8.7109375" style="190" bestFit="1" customWidth="1"/>
    <col min="15" max="15" width="10" style="217" bestFit="1" customWidth="1"/>
    <col min="16" max="16" width="11.5703125" style="344" bestFit="1" customWidth="1"/>
    <col min="17" max="17" width="12.28515625" style="344" bestFit="1" customWidth="1"/>
    <col min="18" max="18" width="10.7109375" style="344" bestFit="1" customWidth="1"/>
    <col min="19" max="19" width="11.5703125" style="344" bestFit="1" customWidth="1"/>
    <col min="20" max="20" width="12" style="344" customWidth="1"/>
    <col min="21" max="21" width="9" style="190" bestFit="1" customWidth="1"/>
    <col min="22" max="22" width="8" style="190" bestFit="1" customWidth="1"/>
    <col min="23" max="23" width="8.28515625" style="218" bestFit="1" customWidth="1"/>
    <col min="24" max="24" width="11.42578125" style="170" bestFit="1" customWidth="1"/>
    <col min="25" max="25" width="9.140625" style="170"/>
    <col min="26" max="26" width="11.42578125" style="170" bestFit="1" customWidth="1"/>
    <col min="27" max="16384" width="9.140625" style="170"/>
  </cols>
  <sheetData>
    <row r="1" spans="1:42" ht="20.100000000000001" customHeight="1" x14ac:dyDescent="0.25">
      <c r="A1" s="348"/>
      <c r="B1" s="349" t="s">
        <v>86</v>
      </c>
      <c r="C1" s="348" t="s">
        <v>137</v>
      </c>
      <c r="D1" s="350" t="s">
        <v>139</v>
      </c>
      <c r="E1" s="350" t="s">
        <v>143</v>
      </c>
      <c r="F1" s="350" t="s">
        <v>156</v>
      </c>
      <c r="G1" s="350" t="s">
        <v>350</v>
      </c>
      <c r="H1" s="350" t="s">
        <v>349</v>
      </c>
      <c r="I1" s="348" t="s">
        <v>85</v>
      </c>
      <c r="J1" s="348" t="s">
        <v>87</v>
      </c>
      <c r="K1" s="348" t="s">
        <v>136</v>
      </c>
      <c r="L1" s="348" t="s">
        <v>138</v>
      </c>
      <c r="M1" s="351" t="s">
        <v>96</v>
      </c>
      <c r="N1" s="351" t="s">
        <v>76</v>
      </c>
      <c r="O1" s="348" t="s">
        <v>152</v>
      </c>
      <c r="P1" s="352" t="s">
        <v>194</v>
      </c>
      <c r="Q1" s="352" t="s">
        <v>195</v>
      </c>
      <c r="R1" s="352" t="s">
        <v>196</v>
      </c>
      <c r="S1" s="352" t="s">
        <v>228</v>
      </c>
      <c r="T1" s="352" t="s">
        <v>229</v>
      </c>
      <c r="U1" s="351" t="s">
        <v>241</v>
      </c>
      <c r="V1" s="351" t="s">
        <v>242</v>
      </c>
      <c r="W1" s="351" t="s">
        <v>351</v>
      </c>
      <c r="X1" s="219" t="s">
        <v>153</v>
      </c>
      <c r="Y1" s="168"/>
      <c r="Z1" s="169"/>
      <c r="AA1" s="168"/>
      <c r="AB1" s="169"/>
      <c r="AC1" s="169"/>
      <c r="AD1" s="167"/>
      <c r="AE1" s="167"/>
      <c r="AF1" s="167"/>
      <c r="AG1" s="167"/>
    </row>
    <row r="2" spans="1:4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5"/>
      <c r="R2" s="345"/>
      <c r="S2" s="345"/>
      <c r="T2" s="345"/>
      <c r="U2" s="188"/>
      <c r="V2" s="188"/>
      <c r="W2" s="172" t="e">
        <f>N2/V2</f>
        <v>#DIV/0!</v>
      </c>
      <c r="X2" s="343">
        <f>LOOKUP(2,1/(M:M&lt;&gt;""),M:M)</f>
        <v>-49177.640000000014</v>
      </c>
      <c r="Y2" s="168"/>
      <c r="Z2" s="169"/>
      <c r="AA2" s="168"/>
      <c r="AB2" s="169"/>
      <c r="AC2" s="169"/>
      <c r="AD2" s="167"/>
      <c r="AE2" s="167"/>
      <c r="AF2" s="167"/>
      <c r="AG2" s="167"/>
    </row>
    <row r="3" spans="1:4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5"/>
      <c r="R3" s="345"/>
      <c r="S3" s="345"/>
      <c r="T3" s="345"/>
      <c r="U3" s="188"/>
      <c r="V3" s="188"/>
      <c r="W3" s="172" t="e">
        <f t="shared" ref="W3:W66" si="4">N3/V3</f>
        <v>#DIV/0!</v>
      </c>
      <c r="Y3" s="168"/>
      <c r="Z3" s="169"/>
      <c r="AA3" s="168"/>
      <c r="AB3" s="169"/>
      <c r="AC3" s="169"/>
      <c r="AD3" s="167"/>
      <c r="AE3" s="167"/>
      <c r="AF3" s="167"/>
      <c r="AG3" s="167"/>
    </row>
    <row r="4" spans="1:42" ht="20.100000000000001" customHeight="1" x14ac:dyDescent="0.25">
      <c r="A4" s="167"/>
      <c r="B4" s="171">
        <v>42235</v>
      </c>
      <c r="C4" s="205">
        <v>2079.61</v>
      </c>
      <c r="D4" s="175">
        <f t="shared" ref="D4:D67" si="5">(C4-C3)/C3</f>
        <v>-8.254964424012334E-3</v>
      </c>
      <c r="E4" s="206">
        <f t="shared" ref="E4:E43" si="6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7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8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5"/>
      <c r="R4" s="345"/>
      <c r="S4" s="345"/>
      <c r="T4" s="345"/>
      <c r="U4" s="188">
        <f>STDEV(D$2:D4)*SQRT(252)</f>
        <v>6.3190347694703594E-2</v>
      </c>
      <c r="V4" s="188">
        <f>STDEV(L$2:L4)*SQRT(252)</f>
        <v>0.19577179003677936</v>
      </c>
      <c r="W4" s="172">
        <f t="shared" si="4"/>
        <v>-0.68333843636897873</v>
      </c>
      <c r="X4" s="167"/>
      <c r="Y4" s="168"/>
      <c r="Z4" s="169"/>
      <c r="AA4" s="168"/>
      <c r="AB4" s="169"/>
      <c r="AC4" s="169"/>
      <c r="AD4" s="167"/>
      <c r="AE4" s="167"/>
      <c r="AF4" s="167"/>
      <c r="AG4" s="167"/>
    </row>
    <row r="5" spans="1:42" ht="20.100000000000001" customHeight="1" x14ac:dyDescent="0.25">
      <c r="A5" s="167"/>
      <c r="B5" s="171">
        <v>42236</v>
      </c>
      <c r="C5" s="205">
        <v>2035.73</v>
      </c>
      <c r="D5" s="175">
        <f t="shared" si="5"/>
        <v>-2.1100110116800797E-2</v>
      </c>
      <c r="E5" s="206">
        <f t="shared" si="6"/>
        <v>-3.1729799661345884E-2</v>
      </c>
      <c r="F5" s="222">
        <v>4877.49</v>
      </c>
      <c r="G5" s="175">
        <f t="shared" si="2"/>
        <v>-2.8204540699933334E-2</v>
      </c>
      <c r="H5" s="206">
        <f t="shared" si="7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8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5"/>
      <c r="R5" s="345"/>
      <c r="S5" s="345"/>
      <c r="T5" s="345"/>
      <c r="U5" s="188">
        <f>STDEV(D$2:D5)*SQRT(252)</f>
        <v>0.15031949910961184</v>
      </c>
      <c r="V5" s="188">
        <f>STDEV(L$2:L5)*SQRT(252)</f>
        <v>0.20008182112239786</v>
      </c>
      <c r="W5" s="172">
        <f t="shared" si="4"/>
        <v>-0.80942705329444609</v>
      </c>
      <c r="X5" s="167"/>
      <c r="Y5" s="168"/>
      <c r="Z5" s="169"/>
      <c r="AA5" s="168"/>
      <c r="AB5" s="169"/>
      <c r="AC5" s="169"/>
      <c r="AD5" s="167"/>
      <c r="AE5" s="167"/>
      <c r="AF5" s="167"/>
      <c r="AG5" s="167"/>
    </row>
    <row r="6" spans="1:42" ht="20.100000000000001" customHeight="1" x14ac:dyDescent="0.25">
      <c r="A6" s="167"/>
      <c r="B6" s="171">
        <v>42237</v>
      </c>
      <c r="C6" s="205">
        <v>1970.89</v>
      </c>
      <c r="D6" s="175">
        <f t="shared" si="5"/>
        <v>-3.1850982202944356E-2</v>
      </c>
      <c r="E6" s="206">
        <f t="shared" si="6"/>
        <v>-6.2570156579973724E-2</v>
      </c>
      <c r="F6" s="222">
        <v>4706.04</v>
      </c>
      <c r="G6" s="175">
        <f t="shared" si="2"/>
        <v>-3.5151276578732057E-2</v>
      </c>
      <c r="H6" s="206">
        <f t="shared" si="7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8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5"/>
      <c r="R6" s="345"/>
      <c r="S6" s="345"/>
      <c r="T6" s="345"/>
      <c r="U6" s="188">
        <f>STDEV(D$2:D6)*SQRT(252)</f>
        <v>0.20821641331654633</v>
      </c>
      <c r="V6" s="188">
        <f>STDEV(L$2:L6)*SQRT(252)</f>
        <v>0.16336924292253127</v>
      </c>
      <c r="W6" s="172">
        <f t="shared" si="4"/>
        <v>-1.1036083869970665</v>
      </c>
      <c r="X6" s="167"/>
      <c r="Y6" s="168"/>
      <c r="Z6" s="169"/>
      <c r="AA6" s="168"/>
      <c r="AB6" s="169"/>
      <c r="AC6" s="169"/>
      <c r="AD6" s="167"/>
      <c r="AE6" s="167"/>
      <c r="AF6" s="167"/>
      <c r="AG6" s="167"/>
    </row>
    <row r="7" spans="1:42" ht="20.100000000000001" customHeight="1" x14ac:dyDescent="0.25">
      <c r="A7" s="167"/>
      <c r="B7" s="176">
        <v>42240</v>
      </c>
      <c r="C7" s="207">
        <v>1893.21</v>
      </c>
      <c r="D7" s="175">
        <f t="shared" si="5"/>
        <v>-3.9413665907280494E-2</v>
      </c>
      <c r="E7" s="208">
        <f t="shared" si="6"/>
        <v>-9.95177032400449E-2</v>
      </c>
      <c r="F7" s="223">
        <v>4526.25</v>
      </c>
      <c r="G7" s="175">
        <f t="shared" si="2"/>
        <v>-3.8204095162812035E-2</v>
      </c>
      <c r="H7" s="208">
        <f t="shared" si="7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8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9">L7&gt;D7</f>
        <v>0</v>
      </c>
      <c r="P7" s="189">
        <f>COUNTIF(O$2:O7, TRUE)/(COUNTIF(O$2:O7,FALSE) + COUNTIF(O$2:O7, TRUE))</f>
        <v>0.16666666666666666</v>
      </c>
      <c r="Q7" s="346"/>
      <c r="R7" s="346"/>
      <c r="S7" s="346"/>
      <c r="T7" s="346"/>
      <c r="U7" s="189">
        <f>STDEV(D$2:D7)*SQRT(252)</f>
        <v>0.24544711494961968</v>
      </c>
      <c r="V7" s="189">
        <f>STDEV(L$2:L7)*SQRT(252)</f>
        <v>0.19389190476539761</v>
      </c>
      <c r="W7" s="178">
        <f t="shared" si="4"/>
        <v>-1.1017695385628516</v>
      </c>
      <c r="X7" s="167"/>
      <c r="Y7" s="168"/>
      <c r="Z7" s="169"/>
      <c r="AA7" s="168"/>
      <c r="AB7" s="169"/>
      <c r="AC7" s="169"/>
      <c r="AD7" s="167"/>
      <c r="AE7" s="167"/>
      <c r="AF7" s="167"/>
      <c r="AG7" s="167"/>
    </row>
    <row r="8" spans="1:42" ht="20.100000000000001" customHeight="1" x14ac:dyDescent="0.25">
      <c r="A8" s="167"/>
      <c r="B8" s="176">
        <v>42241</v>
      </c>
      <c r="C8" s="207">
        <v>1867.61</v>
      </c>
      <c r="D8" s="175">
        <f t="shared" si="5"/>
        <v>-1.3522007595565277E-2</v>
      </c>
      <c r="E8" s="208">
        <f t="shared" si="6"/>
        <v>-0.11169403169650509</v>
      </c>
      <c r="F8" s="223">
        <v>4506.49</v>
      </c>
      <c r="G8" s="175">
        <f t="shared" si="2"/>
        <v>-4.3656448494891397E-3</v>
      </c>
      <c r="H8" s="208">
        <f t="shared" si="7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8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9"/>
        <v>0</v>
      </c>
      <c r="P8" s="189">
        <f>COUNTIF(O$2:O8, TRUE)/(COUNTIF(O$2:O8,FALSE) + COUNTIF(O$2:O8, TRUE))</f>
        <v>0.14285714285714285</v>
      </c>
      <c r="Q8" s="346"/>
      <c r="R8" s="346"/>
      <c r="S8" s="346"/>
      <c r="T8" s="346"/>
      <c r="U8" s="189">
        <f>STDEV(D$2:D8)*SQRT(252)</f>
        <v>0.22434082778798065</v>
      </c>
      <c r="V8" s="189">
        <f>STDEV(L$2:L8)*SQRT(252)</f>
        <v>0.17533735395795544</v>
      </c>
      <c r="W8" s="178">
        <f t="shared" si="4"/>
        <v>-1.3158251812724333</v>
      </c>
      <c r="X8" s="167"/>
      <c r="Y8" s="168"/>
      <c r="Z8" s="169"/>
      <c r="AA8" s="168"/>
      <c r="AB8" s="169"/>
      <c r="AC8" s="169"/>
      <c r="AD8" s="167"/>
      <c r="AE8" s="167"/>
      <c r="AF8" s="167"/>
      <c r="AG8" s="167"/>
      <c r="AP8" s="543"/>
    </row>
    <row r="9" spans="1:42" ht="20.100000000000001" customHeight="1" x14ac:dyDescent="0.25">
      <c r="A9" s="167"/>
      <c r="B9" s="176">
        <v>42242</v>
      </c>
      <c r="C9" s="207">
        <v>1940.51</v>
      </c>
      <c r="D9" s="175">
        <f t="shared" si="5"/>
        <v>3.9033845395987435E-2</v>
      </c>
      <c r="E9" s="208">
        <f t="shared" si="6"/>
        <v>-7.7020033865413548E-2</v>
      </c>
      <c r="F9" s="223">
        <v>4697.54</v>
      </c>
      <c r="G9" s="175">
        <f t="shared" si="2"/>
        <v>4.239441339046579E-2</v>
      </c>
      <c r="H9" s="208">
        <f t="shared" si="7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8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9"/>
        <v>0</v>
      </c>
      <c r="P9" s="189">
        <f>COUNTIF(O$2:O9, TRUE)/(COUNTIF(O$2:O9,FALSE) + COUNTIF(O$2:O9, TRUE))</f>
        <v>0.125</v>
      </c>
      <c r="Q9" s="346"/>
      <c r="R9" s="346"/>
      <c r="S9" s="346"/>
      <c r="T9" s="346"/>
      <c r="U9" s="189">
        <f>STDEV(D$2:D9)*SQRT(252)</f>
        <v>0.40635063731985605</v>
      </c>
      <c r="V9" s="189">
        <f>STDEV(L$2:L9)*SQRT(252)</f>
        <v>0.35891083910893234</v>
      </c>
      <c r="W9" s="178">
        <f t="shared" si="4"/>
        <v>-0.58175853636192942</v>
      </c>
      <c r="X9" s="167"/>
      <c r="Y9" s="168"/>
      <c r="Z9" s="169"/>
      <c r="AA9" s="168"/>
      <c r="AB9" s="169"/>
      <c r="AC9" s="169"/>
      <c r="AD9" s="167"/>
      <c r="AE9" s="167"/>
      <c r="AF9" s="167"/>
      <c r="AG9" s="167"/>
    </row>
    <row r="10" spans="1:42" ht="20.100000000000001" customHeight="1" x14ac:dyDescent="0.25">
      <c r="A10" s="167"/>
      <c r="B10" s="176">
        <v>42243</v>
      </c>
      <c r="C10" s="207">
        <v>1987.66</v>
      </c>
      <c r="D10" s="175">
        <f t="shared" si="5"/>
        <v>2.429773616214299E-2</v>
      </c>
      <c r="E10" s="208">
        <f t="shared" si="6"/>
        <v>-5.4593710165331696E-2</v>
      </c>
      <c r="F10" s="223">
        <v>4812.71</v>
      </c>
      <c r="G10" s="175">
        <f t="shared" si="2"/>
        <v>2.4517087667161978E-2</v>
      </c>
      <c r="H10" s="208">
        <f t="shared" si="7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8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9"/>
        <v>1</v>
      </c>
      <c r="P10" s="189">
        <f>COUNTIF(O$2:O10, TRUE)/(COUNTIF(O$2:O10,FALSE) + COUNTIF(O$2:O10, TRUE))</f>
        <v>0.22222222222222221</v>
      </c>
      <c r="Q10" s="346"/>
      <c r="R10" s="346"/>
      <c r="S10" s="346"/>
      <c r="T10" s="346"/>
      <c r="U10" s="189">
        <f>STDEV(D$2:D10)*SQRT(252)</f>
        <v>0.42545538355052082</v>
      </c>
      <c r="V10" s="189">
        <f>STDEV(L$2:L10)*SQRT(252)</f>
        <v>0.52868202794227925</v>
      </c>
      <c r="W10" s="178">
        <f t="shared" si="4"/>
        <v>-0.31134561916923059</v>
      </c>
      <c r="X10" s="167" t="s">
        <v>124</v>
      </c>
      <c r="Y10" s="168"/>
      <c r="Z10" s="169"/>
      <c r="AA10" s="168"/>
      <c r="AB10" s="169"/>
      <c r="AC10" s="169"/>
      <c r="AD10" s="167"/>
      <c r="AE10" s="167"/>
      <c r="AF10" s="167"/>
      <c r="AG10" s="167"/>
    </row>
    <row r="11" spans="1:42" ht="20.100000000000001" customHeight="1" x14ac:dyDescent="0.25">
      <c r="A11" s="167"/>
      <c r="B11" s="176">
        <v>42244</v>
      </c>
      <c r="C11" s="207">
        <v>1988.87</v>
      </c>
      <c r="D11" s="175">
        <f t="shared" si="5"/>
        <v>6.0875602467213154E-4</v>
      </c>
      <c r="E11" s="208">
        <f t="shared" si="6"/>
        <v>-5.401818839063191E-2</v>
      </c>
      <c r="F11" s="223">
        <v>4828.32</v>
      </c>
      <c r="G11" s="175">
        <f t="shared" si="2"/>
        <v>3.2434948293164709E-3</v>
      </c>
      <c r="H11" s="208">
        <f t="shared" si="7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8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9"/>
        <v>1</v>
      </c>
      <c r="P11" s="189">
        <f>COUNTIF(O$2:O11, TRUE)/(COUNTIF(O$2:O11,FALSE) + COUNTIF(O$2:O11, TRUE))</f>
        <v>0.3</v>
      </c>
      <c r="Q11" s="346"/>
      <c r="R11" s="346"/>
      <c r="S11" s="346"/>
      <c r="T11" s="346"/>
      <c r="U11" s="189">
        <f>STDEV(D$2:D11)*SQRT(252)</f>
        <v>0.39984128605241964</v>
      </c>
      <c r="V11" s="189">
        <f>STDEV(L$2:L11)*SQRT(252)</f>
        <v>0.52303521027280186</v>
      </c>
      <c r="W11" s="178">
        <f t="shared" si="4"/>
        <v>-0.27647883703898773</v>
      </c>
      <c r="X11" s="167"/>
      <c r="Y11" s="168"/>
      <c r="Z11" s="169"/>
      <c r="AA11" s="168"/>
      <c r="AB11" s="169"/>
      <c r="AC11" s="169"/>
      <c r="AD11" s="167"/>
      <c r="AE11" s="167"/>
      <c r="AF11" s="167"/>
      <c r="AG11" s="167"/>
    </row>
    <row r="12" spans="1:42" ht="20.100000000000001" customHeight="1" x14ac:dyDescent="0.25">
      <c r="A12" s="167"/>
      <c r="B12" s="171">
        <v>42247</v>
      </c>
      <c r="C12" s="205">
        <v>1972.18</v>
      </c>
      <c r="D12" s="175">
        <f t="shared" si="5"/>
        <v>-8.391699809439445E-3</v>
      </c>
      <c r="E12" s="206">
        <f t="shared" si="6"/>
        <v>-6.1956583778847427E-2</v>
      </c>
      <c r="F12" s="222">
        <v>4776.51</v>
      </c>
      <c r="G12" s="175">
        <f t="shared" si="2"/>
        <v>-1.0730440401630277E-2</v>
      </c>
      <c r="H12" s="206">
        <f t="shared" si="7"/>
        <v>-6.1902704401280442E-2</v>
      </c>
      <c r="I12" s="510">
        <v>311200.71000000002</v>
      </c>
      <c r="J12" s="173">
        <v>360000</v>
      </c>
      <c r="K12" s="173">
        <f t="shared" si="3"/>
        <v>3259.6500000000233</v>
      </c>
      <c r="L12" s="175">
        <f t="shared" si="8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9"/>
        <v>1</v>
      </c>
      <c r="P12" s="188">
        <f>COUNTIF(O$2:O12, TRUE)/(COUNTIF(O$2:O12,FALSE) + COUNTIF(O$2:O12, TRUE))</f>
        <v>0.36363636363636365</v>
      </c>
      <c r="Q12" s="345"/>
      <c r="R12" s="345"/>
      <c r="S12" s="345"/>
      <c r="T12" s="345"/>
      <c r="U12" s="188">
        <f>STDEV(D$2:D12)*SQRT(252)</f>
        <v>0.37718652016375942</v>
      </c>
      <c r="V12" s="188">
        <f>STDEV(L$2:L12)*SQRT(252)</f>
        <v>0.49903486890486387</v>
      </c>
      <c r="W12" s="172">
        <f t="shared" si="4"/>
        <v>-0.27163148665504422</v>
      </c>
      <c r="X12" s="167"/>
      <c r="Y12" s="168"/>
      <c r="Z12" s="169"/>
      <c r="AA12" s="168"/>
      <c r="AB12" s="169"/>
      <c r="AC12" s="169"/>
      <c r="AD12" s="167"/>
      <c r="AE12" s="167"/>
      <c r="AF12" s="167"/>
      <c r="AG12" s="167"/>
    </row>
    <row r="13" spans="1:42" ht="20.100000000000001" customHeight="1" x14ac:dyDescent="0.25">
      <c r="A13" s="167"/>
      <c r="B13" s="171">
        <v>42248</v>
      </c>
      <c r="C13" s="205">
        <v>1913.85</v>
      </c>
      <c r="D13" s="175">
        <f t="shared" si="5"/>
        <v>-2.9576407832956501E-2</v>
      </c>
      <c r="E13" s="206">
        <f t="shared" si="6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7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8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9"/>
        <v>1</v>
      </c>
      <c r="P13" s="188">
        <f>COUNTIF(O$2:O13, TRUE)/(COUNTIF(O$2:O13,FALSE) + COUNTIF(O$2:O13, TRUE))</f>
        <v>0.41666666666666669</v>
      </c>
      <c r="Q13" s="345"/>
      <c r="R13" s="345"/>
      <c r="S13" s="345"/>
      <c r="T13" s="345"/>
      <c r="U13" s="188">
        <f>STDEV(D$2:D13)*SQRT(252)</f>
        <v>0.37502713989732378</v>
      </c>
      <c r="V13" s="188">
        <f>STDEV(L$2:L13)*SQRT(252)</f>
        <v>0.48831680410668976</v>
      </c>
      <c r="W13" s="172">
        <f t="shared" si="4"/>
        <v>-0.32293884713205662</v>
      </c>
      <c r="X13" s="167"/>
      <c r="Y13" s="168"/>
      <c r="Z13" s="169"/>
      <c r="AA13" s="168"/>
      <c r="AB13" s="169"/>
      <c r="AC13" s="169"/>
      <c r="AD13" s="167"/>
      <c r="AE13" s="167"/>
      <c r="AF13" s="167"/>
      <c r="AG13" s="167"/>
    </row>
    <row r="14" spans="1:42" ht="20.100000000000001" customHeight="1" x14ac:dyDescent="0.25">
      <c r="A14" s="167"/>
      <c r="B14" s="171">
        <v>42249</v>
      </c>
      <c r="C14" s="205">
        <v>1948.86</v>
      </c>
      <c r="D14" s="175">
        <f t="shared" si="5"/>
        <v>1.829296966846931E-2</v>
      </c>
      <c r="E14" s="206">
        <f t="shared" si="6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7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8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9"/>
        <v>0</v>
      </c>
      <c r="P14" s="188">
        <f>COUNTIF(O$2:O14, TRUE)/(COUNTIF(O$2:O14,FALSE) + COUNTIF(O$2:O14, TRUE))</f>
        <v>0.38461538461538464</v>
      </c>
      <c r="Q14" s="345"/>
      <c r="R14" s="345"/>
      <c r="S14" s="345"/>
      <c r="T14" s="345"/>
      <c r="U14" s="188">
        <f>STDEV(D$2:D14)*SQRT(252)</f>
        <v>0.37770238456909672</v>
      </c>
      <c r="V14" s="188">
        <f>STDEV(L$2:L14)*SQRT(252)</f>
        <v>0.47214016149480637</v>
      </c>
      <c r="W14" s="172">
        <f t="shared" si="4"/>
        <v>-0.30080307101322079</v>
      </c>
      <c r="Y14" s="168"/>
      <c r="Z14" s="169"/>
      <c r="AA14" s="168"/>
      <c r="AB14" s="169"/>
      <c r="AC14" s="169"/>
      <c r="AD14" s="167"/>
      <c r="AE14" s="167"/>
      <c r="AF14" s="167"/>
      <c r="AG14" s="167"/>
    </row>
    <row r="15" spans="1:42" ht="20.100000000000001" customHeight="1" x14ac:dyDescent="0.25">
      <c r="A15" s="167"/>
      <c r="B15" s="171">
        <v>42250</v>
      </c>
      <c r="C15" s="205">
        <v>1951.13</v>
      </c>
      <c r="D15" s="175">
        <f t="shared" si="5"/>
        <v>1.1647835144649741E-3</v>
      </c>
      <c r="E15" s="206">
        <f t="shared" si="6"/>
        <v>-7.1968760107303867E-2</v>
      </c>
      <c r="F15" s="222">
        <v>4733.5</v>
      </c>
      <c r="G15" s="175">
        <f t="shared" si="2"/>
        <v>-3.469488292582193E-3</v>
      </c>
      <c r="H15" s="206">
        <f t="shared" si="7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8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9"/>
        <v>1</v>
      </c>
      <c r="P15" s="188">
        <f>COUNTIF(O$2:O15, TRUE)/(COUNTIF(O$2:O15,FALSE) + COUNTIF(O$2:O15, TRUE))</f>
        <v>0.42857142857142855</v>
      </c>
      <c r="Q15" s="345"/>
      <c r="R15" s="345"/>
      <c r="S15" s="345"/>
      <c r="T15" s="345"/>
      <c r="U15" s="188">
        <f>STDEV(D$2:D15)*SQRT(252)</f>
        <v>0.3630118196770083</v>
      </c>
      <c r="V15" s="188">
        <f>STDEV(L$2:L15)*SQRT(252)</f>
        <v>0.45448950679382538</v>
      </c>
      <c r="W15" s="172">
        <f t="shared" si="4"/>
        <v>-0.29981967174141433</v>
      </c>
      <c r="X15" s="167"/>
      <c r="Y15" s="168"/>
      <c r="Z15" s="169"/>
      <c r="AA15" s="168"/>
      <c r="AB15" s="169"/>
      <c r="AC15" s="169"/>
      <c r="AD15" s="167"/>
      <c r="AE15" s="167"/>
      <c r="AF15" s="167"/>
      <c r="AG15" s="167"/>
    </row>
    <row r="16" spans="1:42" ht="20.100000000000001" customHeight="1" x14ac:dyDescent="0.25">
      <c r="A16" s="167"/>
      <c r="B16" s="171">
        <v>42251</v>
      </c>
      <c r="C16" s="205">
        <v>1921.22</v>
      </c>
      <c r="D16" s="175">
        <f t="shared" si="5"/>
        <v>-1.5329578244402004E-2</v>
      </c>
      <c r="E16" s="206">
        <f t="shared" si="6"/>
        <v>-8.6195087612488355E-2</v>
      </c>
      <c r="F16" s="222">
        <v>4683.92</v>
      </c>
      <c r="G16" s="175">
        <f t="shared" si="2"/>
        <v>-1.0474279074680454E-2</v>
      </c>
      <c r="H16" s="206">
        <f t="shared" si="7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8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9"/>
        <v>1</v>
      </c>
      <c r="P16" s="188">
        <f>COUNTIF(O$2:O16, TRUE)/(COUNTIF(O$2:O16,FALSE) + COUNTIF(O$2:O16, TRUE))</f>
        <v>0.46666666666666667</v>
      </c>
      <c r="Q16" s="345"/>
      <c r="R16" s="345"/>
      <c r="S16" s="345"/>
      <c r="T16" s="345"/>
      <c r="U16" s="188">
        <f>STDEV(D$2:D16)*SQRT(252)</f>
        <v>0.35126122417304334</v>
      </c>
      <c r="V16" s="188">
        <f>STDEV(L$2:L16)*SQRT(252)</f>
        <v>0.43762621603032426</v>
      </c>
      <c r="W16" s="172">
        <f t="shared" si="4"/>
        <v>-0.33115619282027942</v>
      </c>
      <c r="X16" s="167"/>
      <c r="Y16" s="168"/>
      <c r="Z16" s="169"/>
      <c r="AA16" s="168"/>
      <c r="AB16" s="169"/>
      <c r="AC16" s="169"/>
      <c r="AD16" s="167"/>
      <c r="AE16" s="167"/>
      <c r="AF16" s="167"/>
      <c r="AG16" s="167"/>
    </row>
    <row r="17" spans="1:33" ht="20.100000000000001" customHeight="1" x14ac:dyDescent="0.25">
      <c r="A17" s="167"/>
      <c r="B17" s="176">
        <v>42255</v>
      </c>
      <c r="C17" s="207">
        <v>1969.41</v>
      </c>
      <c r="D17" s="175">
        <f t="shared" si="5"/>
        <v>2.5083020164270647E-2</v>
      </c>
      <c r="E17" s="208">
        <f t="shared" si="6"/>
        <v>-6.3274100568862832E-2</v>
      </c>
      <c r="F17" s="223">
        <v>4811.93</v>
      </c>
      <c r="G17" s="175">
        <f t="shared" si="2"/>
        <v>2.7329672581939961E-2</v>
      </c>
      <c r="H17" s="208">
        <f t="shared" si="7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8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9"/>
        <v>0</v>
      </c>
      <c r="P17" s="189">
        <f>COUNTIF(O$2:O17, TRUE)/(COUNTIF(O$2:O17,FALSE) + COUNTIF(O$2:O17, TRUE))</f>
        <v>0.4375</v>
      </c>
      <c r="Q17" s="346"/>
      <c r="R17" s="346"/>
      <c r="S17" s="346"/>
      <c r="T17" s="346"/>
      <c r="U17" s="189">
        <f>STDEV(D$2:D17)*SQRT(252)</f>
        <v>0.36194228365900932</v>
      </c>
      <c r="V17" s="189">
        <f>STDEV(L$2:L17)*SQRT(252)</f>
        <v>0.43324605788841486</v>
      </c>
      <c r="W17" s="178">
        <f t="shared" si="4"/>
        <v>-0.29390190582659192</v>
      </c>
      <c r="X17" s="167"/>
      <c r="Y17" s="168"/>
      <c r="Z17" s="169"/>
      <c r="AA17" s="168"/>
      <c r="AB17" s="169"/>
      <c r="AC17" s="169"/>
      <c r="AD17" s="167"/>
      <c r="AE17" s="167"/>
      <c r="AF17" s="167"/>
      <c r="AG17" s="167"/>
    </row>
    <row r="18" spans="1:33" ht="20.100000000000001" customHeight="1" x14ac:dyDescent="0.25">
      <c r="A18" s="167"/>
      <c r="B18" s="176">
        <v>42256</v>
      </c>
      <c r="C18" s="207">
        <v>1942.04</v>
      </c>
      <c r="D18" s="175">
        <f t="shared" si="5"/>
        <v>-1.3897563229596741E-2</v>
      </c>
      <c r="E18" s="208">
        <f t="shared" si="6"/>
        <v>-7.629230798500794E-2</v>
      </c>
      <c r="F18" s="223">
        <v>4756.53</v>
      </c>
      <c r="G18" s="175">
        <f t="shared" si="2"/>
        <v>-1.1513051935502084E-2</v>
      </c>
      <c r="H18" s="208">
        <f t="shared" si="7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8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9"/>
        <v>0</v>
      </c>
      <c r="P18" s="189">
        <f>COUNTIF(O$2:O18, TRUE)/(COUNTIF(O$2:O18,FALSE) + COUNTIF(O$2:O18, TRUE))</f>
        <v>0.41176470588235292</v>
      </c>
      <c r="Q18" s="346"/>
      <c r="R18" s="346"/>
      <c r="S18" s="346"/>
      <c r="T18" s="346"/>
      <c r="U18" s="189">
        <f>STDEV(D$2:D18)*SQRT(252)</f>
        <v>0.35182224095506454</v>
      </c>
      <c r="V18" s="189">
        <f>STDEV(L$2:L18)*SQRT(252)</f>
        <v>0.43262248943141224</v>
      </c>
      <c r="W18" s="178">
        <f t="shared" si="4"/>
        <v>-0.35406777953648449</v>
      </c>
      <c r="X18" s="167"/>
      <c r="Y18" s="168"/>
      <c r="Z18" s="169"/>
      <c r="AA18" s="168"/>
      <c r="AB18" s="169"/>
      <c r="AC18" s="169"/>
      <c r="AD18" s="167"/>
      <c r="AE18" s="167"/>
      <c r="AF18" s="167"/>
      <c r="AG18" s="167"/>
    </row>
    <row r="19" spans="1:33" ht="20.100000000000001" customHeight="1" x14ac:dyDescent="0.25">
      <c r="A19" s="167"/>
      <c r="B19" s="176">
        <v>42257</v>
      </c>
      <c r="C19" s="207">
        <v>1952.29</v>
      </c>
      <c r="D19" s="175">
        <f t="shared" si="5"/>
        <v>5.2779551399559227E-3</v>
      </c>
      <c r="E19" s="208">
        <f t="shared" si="6"/>
        <v>-7.1417020224120581E-2</v>
      </c>
      <c r="F19" s="223">
        <v>4796.25</v>
      </c>
      <c r="G19" s="175">
        <f t="shared" si="2"/>
        <v>8.3506253508335397E-3</v>
      </c>
      <c r="H19" s="208">
        <f t="shared" si="7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8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9"/>
        <v>0</v>
      </c>
      <c r="P19" s="189">
        <f>COUNTIF(O$2:O19, TRUE)/(COUNTIF(O$2:O19,FALSE) + COUNTIF(O$2:O19, TRUE))</f>
        <v>0.3888888888888889</v>
      </c>
      <c r="Q19" s="346"/>
      <c r="R19" s="346"/>
      <c r="S19" s="346"/>
      <c r="T19" s="346"/>
      <c r="U19" s="189">
        <f>STDEV(D$2:D19)*SQRT(252)</f>
        <v>0.34281735693264087</v>
      </c>
      <c r="V19" s="189">
        <f>STDEV(L$2:L19)*SQRT(252)</f>
        <v>0.42023205119752755</v>
      </c>
      <c r="W19" s="178">
        <f t="shared" si="4"/>
        <v>-0.35450344661190919</v>
      </c>
      <c r="X19" s="167"/>
      <c r="Y19" s="168"/>
      <c r="Z19" s="169"/>
      <c r="AA19" s="168"/>
      <c r="AB19" s="169"/>
      <c r="AC19" s="169"/>
      <c r="AD19" s="167"/>
      <c r="AE19" s="167"/>
      <c r="AF19" s="167"/>
      <c r="AG19" s="167"/>
    </row>
    <row r="20" spans="1:33" ht="20.100000000000001" customHeight="1" x14ac:dyDescent="0.25">
      <c r="A20" s="167"/>
      <c r="B20" s="176">
        <v>42258</v>
      </c>
      <c r="C20" s="207">
        <v>1961.05</v>
      </c>
      <c r="D20" s="175">
        <f t="shared" si="5"/>
        <v>4.4870382986134183E-3</v>
      </c>
      <c r="E20" s="208">
        <f t="shared" si="6"/>
        <v>-6.7250432830425644E-2</v>
      </c>
      <c r="F20" s="223">
        <v>4822.34</v>
      </c>
      <c r="G20" s="175">
        <f t="shared" si="2"/>
        <v>5.4396664060464206E-3</v>
      </c>
      <c r="H20" s="208">
        <f t="shared" si="7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8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9"/>
        <v>0</v>
      </c>
      <c r="P20" s="189">
        <f>COUNTIF(O$2:O20, TRUE)/(COUNTIF(O$2:O20,FALSE) + COUNTIF(O$2:O20, TRUE))</f>
        <v>0.36842105263157893</v>
      </c>
      <c r="Q20" s="346"/>
      <c r="R20" s="346"/>
      <c r="S20" s="346"/>
      <c r="T20" s="346"/>
      <c r="U20" s="189">
        <f>STDEV(D$2:D20)*SQRT(252)</f>
        <v>0.33414073790213511</v>
      </c>
      <c r="V20" s="189">
        <f>STDEV(L$2:L20)*SQRT(252)</f>
        <v>0.40776589668846686</v>
      </c>
      <c r="W20" s="178">
        <f t="shared" si="4"/>
        <v>-0.36760230668590366</v>
      </c>
      <c r="X20" s="167"/>
      <c r="Y20" s="168"/>
      <c r="Z20" s="169"/>
      <c r="AA20" s="168"/>
      <c r="AB20" s="169"/>
      <c r="AC20" s="169"/>
      <c r="AD20" s="167"/>
      <c r="AE20" s="167"/>
      <c r="AF20" s="167"/>
      <c r="AG20" s="167"/>
    </row>
    <row r="21" spans="1:33" ht="20.100000000000001" customHeight="1" x14ac:dyDescent="0.25">
      <c r="A21" s="167"/>
      <c r="B21" s="171">
        <v>42261</v>
      </c>
      <c r="C21" s="205">
        <v>1953.03</v>
      </c>
      <c r="D21" s="175">
        <f t="shared" si="5"/>
        <v>-4.0896458529869114E-3</v>
      </c>
      <c r="E21" s="206">
        <f t="shared" si="6"/>
        <v>-7.1065048229676034E-2</v>
      </c>
      <c r="F21" s="222">
        <v>4805.76</v>
      </c>
      <c r="G21" s="175">
        <f t="shared" si="2"/>
        <v>-3.4381648743141147E-3</v>
      </c>
      <c r="H21" s="206">
        <f t="shared" si="7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8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9"/>
        <v>1</v>
      </c>
      <c r="P21" s="188">
        <f>COUNTIF(O$2:O21, TRUE)/(COUNTIF(O$2:O21,FALSE) + COUNTIF(O$2:O21, TRUE))</f>
        <v>0.4</v>
      </c>
      <c r="Q21" s="345"/>
      <c r="R21" s="345"/>
      <c r="S21" s="345"/>
      <c r="T21" s="345"/>
      <c r="U21" s="188">
        <f>STDEV(D$2:D21)*SQRT(252)</f>
        <v>0.3247303591191491</v>
      </c>
      <c r="V21" s="188">
        <f>STDEV(L$2:L21)*SQRT(252)</f>
        <v>0.39882009643497413</v>
      </c>
      <c r="W21" s="172">
        <f t="shared" si="4"/>
        <v>-0.35621027390387933</v>
      </c>
      <c r="X21" s="167"/>
      <c r="Y21" s="168"/>
      <c r="Z21" s="169"/>
      <c r="AA21" s="168"/>
      <c r="AB21" s="169"/>
      <c r="AC21" s="169"/>
      <c r="AD21" s="167"/>
      <c r="AE21" s="167"/>
      <c r="AF21" s="167"/>
      <c r="AG21" s="167"/>
    </row>
    <row r="22" spans="1:33" ht="20.100000000000001" customHeight="1" x14ac:dyDescent="0.25">
      <c r="A22" s="179"/>
      <c r="B22" s="171">
        <v>42262</v>
      </c>
      <c r="C22" s="205">
        <v>1978.09</v>
      </c>
      <c r="D22" s="175">
        <f t="shared" si="5"/>
        <v>1.2831344116577803E-2</v>
      </c>
      <c r="E22" s="206">
        <f t="shared" si="6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7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8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9"/>
        <v>0</v>
      </c>
      <c r="P22" s="188">
        <f>COUNTIF(O$2:O22, TRUE)/(COUNTIF(O$2:O22,FALSE) + COUNTIF(O$2:O22, TRUE))</f>
        <v>0.38095238095238093</v>
      </c>
      <c r="Q22" s="345"/>
      <c r="R22" s="345"/>
      <c r="S22" s="345"/>
      <c r="T22" s="345"/>
      <c r="U22" s="188">
        <f>STDEV(D$2:D22)*SQRT(252)</f>
        <v>0.32145355759875488</v>
      </c>
      <c r="V22" s="188">
        <f>STDEV(L$2:L22)*SQRT(252)</f>
        <v>0.38986525703766828</v>
      </c>
      <c r="W22" s="172">
        <f t="shared" si="4"/>
        <v>-0.34742948176436061</v>
      </c>
      <c r="X22" s="167"/>
      <c r="Y22" s="168"/>
      <c r="Z22" s="169"/>
      <c r="AA22" s="168"/>
      <c r="AB22" s="169"/>
      <c r="AC22" s="169"/>
      <c r="AD22" s="167"/>
      <c r="AE22" s="167"/>
      <c r="AF22" s="167"/>
      <c r="AG22" s="167"/>
    </row>
    <row r="23" spans="1:33" ht="20.100000000000001" customHeight="1" x14ac:dyDescent="0.25">
      <c r="A23" s="179"/>
      <c r="B23" s="171">
        <v>42263</v>
      </c>
      <c r="C23" s="205">
        <v>1995.31</v>
      </c>
      <c r="D23" s="175">
        <f t="shared" si="5"/>
        <v>8.7053672987579076E-3</v>
      </c>
      <c r="E23" s="206">
        <f t="shared" si="6"/>
        <v>-5.0955080763303642E-2</v>
      </c>
      <c r="F23" s="222">
        <v>4889.24</v>
      </c>
      <c r="G23" s="175">
        <f t="shared" si="2"/>
        <v>5.908832799782604E-3</v>
      </c>
      <c r="H23" s="206">
        <f t="shared" si="7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8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9"/>
        <v>1</v>
      </c>
      <c r="P23" s="188">
        <f>COUNTIF(O$2:O23, TRUE)/(COUNTIF(O$2:O23,FALSE) + COUNTIF(O$2:O23, TRUE))</f>
        <v>0.40909090909090912</v>
      </c>
      <c r="Q23" s="345"/>
      <c r="R23" s="345"/>
      <c r="S23" s="345"/>
      <c r="T23" s="345"/>
      <c r="U23" s="188">
        <f>STDEV(D$2:D23)*SQRT(252)</f>
        <v>0.31586031332458192</v>
      </c>
      <c r="V23" s="188">
        <f>STDEV(L$2:L23)*SQRT(252)</f>
        <v>0.38411926521956707</v>
      </c>
      <c r="W23" s="172">
        <f t="shared" si="4"/>
        <v>-0.32059032754381772</v>
      </c>
      <c r="X23" s="167"/>
      <c r="Y23" s="168"/>
      <c r="Z23" s="169"/>
      <c r="AA23" s="168"/>
      <c r="AB23" s="169"/>
      <c r="AC23" s="169"/>
      <c r="AD23" s="167"/>
      <c r="AE23" s="167"/>
      <c r="AF23" s="167"/>
      <c r="AG23" s="167"/>
    </row>
    <row r="24" spans="1:33" ht="20.100000000000001" customHeight="1" x14ac:dyDescent="0.25">
      <c r="A24" s="179"/>
      <c r="B24" s="171">
        <v>42264</v>
      </c>
      <c r="C24" s="205">
        <v>1990.2</v>
      </c>
      <c r="D24" s="175">
        <f t="shared" si="5"/>
        <v>-2.5610055580335385E-3</v>
      </c>
      <c r="E24" s="206">
        <f t="shared" si="6"/>
        <v>-5.3385590076292309E-2</v>
      </c>
      <c r="F24" s="222">
        <v>4893.95</v>
      </c>
      <c r="G24" s="175">
        <f t="shared" si="2"/>
        <v>9.6333990558860607E-4</v>
      </c>
      <c r="H24" s="206">
        <f t="shared" si="7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8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9"/>
        <v>1</v>
      </c>
      <c r="P24" s="188">
        <f>COUNTIF(O$2:O24, TRUE)/(COUNTIF(O$2:O24,FALSE) + COUNTIF(O$2:O24, TRUE))</f>
        <v>0.43478260869565216</v>
      </c>
      <c r="Q24" s="345"/>
      <c r="R24" s="345"/>
      <c r="S24" s="345"/>
      <c r="T24" s="345"/>
      <c r="U24" s="188">
        <f>STDEV(D$2:D24)*SQRT(252)</f>
        <v>0.30824938276419228</v>
      </c>
      <c r="V24" s="188">
        <f>STDEV(L$2:L24)*SQRT(252)</f>
        <v>0.37503116894241934</v>
      </c>
      <c r="W24" s="172">
        <f t="shared" si="4"/>
        <v>-0.32339038386121877</v>
      </c>
      <c r="X24" s="167"/>
      <c r="Y24" s="168"/>
      <c r="Z24" s="169"/>
      <c r="AA24" s="168"/>
      <c r="AB24" s="169"/>
      <c r="AC24" s="169"/>
      <c r="AD24" s="167"/>
      <c r="AE24" s="167"/>
      <c r="AF24" s="167"/>
      <c r="AG24" s="167"/>
    </row>
    <row r="25" spans="1:33" ht="20.100000000000001" customHeight="1" x14ac:dyDescent="0.25">
      <c r="A25" s="179"/>
      <c r="B25" s="171">
        <v>42265</v>
      </c>
      <c r="C25" s="205">
        <v>1958.08</v>
      </c>
      <c r="D25" s="175">
        <f t="shared" si="5"/>
        <v>-1.6139081499346859E-2</v>
      </c>
      <c r="E25" s="206">
        <f t="shared" si="6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7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8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9"/>
        <v>0</v>
      </c>
      <c r="P25" s="188">
        <f>COUNTIF(O$2:O25, TRUE)/(COUNTIF(O$2:O25,FALSE) + COUNTIF(O$2:O25, TRUE))</f>
        <v>0.41666666666666669</v>
      </c>
      <c r="Q25" s="345"/>
      <c r="R25" s="345"/>
      <c r="S25" s="345"/>
      <c r="T25" s="345"/>
      <c r="U25" s="188">
        <f>STDEV(D$2:D25)*SQRT(252)</f>
        <v>0.30462094080099172</v>
      </c>
      <c r="V25" s="188">
        <f>STDEV(L$2:L25)*SQRT(252)</f>
        <v>0.37697940519041084</v>
      </c>
      <c r="W25" s="172">
        <f t="shared" si="4"/>
        <v>-0.37668180302729731</v>
      </c>
      <c r="X25" s="167"/>
      <c r="Y25" s="168"/>
      <c r="Z25" s="169"/>
      <c r="AA25" s="168"/>
      <c r="AB25" s="169"/>
      <c r="AC25" s="169"/>
      <c r="AD25" s="167"/>
      <c r="AE25" s="167"/>
      <c r="AF25" s="167"/>
      <c r="AG25" s="167"/>
    </row>
    <row r="26" spans="1:33" ht="20.100000000000001" customHeight="1" x14ac:dyDescent="0.25">
      <c r="A26" s="179"/>
      <c r="B26" s="176">
        <v>42268</v>
      </c>
      <c r="C26" s="207">
        <v>1966.97</v>
      </c>
      <c r="D26" s="175">
        <f t="shared" si="5"/>
        <v>4.5401617911423947E-3</v>
      </c>
      <c r="E26" s="208">
        <f t="shared" si="6"/>
        <v>-6.4434656874869212E-2</v>
      </c>
      <c r="F26" s="223">
        <v>4828.95</v>
      </c>
      <c r="G26" s="175">
        <f t="shared" si="2"/>
        <v>3.5631200502156618E-4</v>
      </c>
      <c r="H26" s="208">
        <f t="shared" si="7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8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9"/>
        <v>1</v>
      </c>
      <c r="P26" s="189">
        <f>COUNTIF(O$2:O26, TRUE)/(COUNTIF(O$2:O26,FALSE) + COUNTIF(O$2:O26, TRUE))</f>
        <v>0.44</v>
      </c>
      <c r="Q26" s="346"/>
      <c r="R26" s="346"/>
      <c r="S26" s="346"/>
      <c r="T26" s="346"/>
      <c r="U26" s="189">
        <f>STDEV(D$2:D26)*SQRT(252)</f>
        <v>0.29890210628506431</v>
      </c>
      <c r="V26" s="189">
        <f>STDEV(L$2:L26)*SQRT(252)</f>
        <v>0.36977509623053162</v>
      </c>
      <c r="W26" s="178">
        <f t="shared" si="4"/>
        <v>-0.36892106013481385</v>
      </c>
      <c r="X26" s="167"/>
      <c r="Y26" s="168"/>
      <c r="Z26" s="169"/>
      <c r="AA26" s="168"/>
      <c r="AB26" s="169"/>
      <c r="AC26" s="169"/>
      <c r="AD26" s="167"/>
      <c r="AE26" s="167"/>
      <c r="AF26" s="167"/>
      <c r="AG26" s="167"/>
    </row>
    <row r="27" spans="1:33" ht="20.100000000000001" customHeight="1" x14ac:dyDescent="0.25">
      <c r="A27" s="179"/>
      <c r="B27" s="176">
        <v>42269</v>
      </c>
      <c r="C27" s="207">
        <v>1942.74</v>
      </c>
      <c r="D27" s="175">
        <f t="shared" si="5"/>
        <v>-1.2318439020422282E-2</v>
      </c>
      <c r="E27" s="208">
        <f t="shared" si="6"/>
        <v>-7.5959361503776579E-2</v>
      </c>
      <c r="F27" s="223">
        <v>4756.72</v>
      </c>
      <c r="G27" s="175">
        <f t="shared" si="2"/>
        <v>-1.4957703020325239E-2</v>
      </c>
      <c r="H27" s="208">
        <f t="shared" si="7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8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9"/>
        <v>0</v>
      </c>
      <c r="P27" s="189">
        <f>COUNTIF(O$2:O27, TRUE)/(COUNTIF(O$2:O27,FALSE) + COUNTIF(O$2:O27, TRUE))</f>
        <v>0.42307692307692307</v>
      </c>
      <c r="Q27" s="346"/>
      <c r="R27" s="346"/>
      <c r="S27" s="346"/>
      <c r="T27" s="346"/>
      <c r="U27" s="189">
        <f>STDEV(D$2:D27)*SQRT(252)</f>
        <v>0.29423063039577757</v>
      </c>
      <c r="V27" s="189">
        <f>STDEV(L$2:L27)*SQRT(252)</f>
        <v>0.36891081336097858</v>
      </c>
      <c r="W27" s="178">
        <f t="shared" si="4"/>
        <v>-0.42656283124902872</v>
      </c>
      <c r="X27" s="167"/>
      <c r="Y27" s="168"/>
      <c r="Z27" s="169"/>
      <c r="AA27" s="168"/>
      <c r="AB27" s="169"/>
      <c r="AC27" s="169"/>
      <c r="AD27" s="167"/>
      <c r="AE27" s="167"/>
      <c r="AF27" s="167"/>
      <c r="AG27" s="167"/>
    </row>
    <row r="28" spans="1:33" ht="20.100000000000001" customHeight="1" x14ac:dyDescent="0.25">
      <c r="A28" s="179"/>
      <c r="B28" s="176">
        <v>42270</v>
      </c>
      <c r="C28" s="207">
        <v>1938.76</v>
      </c>
      <c r="D28" s="175">
        <f t="shared" si="5"/>
        <v>-2.0486529334857047E-3</v>
      </c>
      <c r="E28" s="208">
        <f t="shared" si="6"/>
        <v>-7.7852400068491881E-2</v>
      </c>
      <c r="F28" s="223">
        <v>4752.74</v>
      </c>
      <c r="G28" s="175">
        <f t="shared" si="2"/>
        <v>-8.3671101094882037E-4</v>
      </c>
      <c r="H28" s="208">
        <f t="shared" si="7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8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9"/>
        <v>0</v>
      </c>
      <c r="P28" s="189">
        <f>COUNTIF(O$2:O28, TRUE)/(COUNTIF(O$2:O28,FALSE) + COUNTIF(O$2:O28, TRUE))</f>
        <v>0.40740740740740738</v>
      </c>
      <c r="Q28" s="346"/>
      <c r="R28" s="346"/>
      <c r="S28" s="346"/>
      <c r="T28" s="346"/>
      <c r="U28" s="189">
        <f>STDEV(D$2:D28)*SQRT(252)</f>
        <v>0.288300857286579</v>
      </c>
      <c r="V28" s="189">
        <f>STDEV(L$2:L28)*SQRT(252)</f>
        <v>0.36576166417456935</v>
      </c>
      <c r="W28" s="178">
        <f t="shared" si="4"/>
        <v>-0.47796845756393919</v>
      </c>
      <c r="X28" s="168"/>
      <c r="Y28" s="169"/>
      <c r="Z28" s="169"/>
      <c r="AA28" s="167"/>
      <c r="AB28" s="167"/>
      <c r="AC28" s="167"/>
      <c r="AD28" s="167"/>
    </row>
    <row r="29" spans="1:33" ht="20.100000000000001" customHeight="1" x14ac:dyDescent="0.25">
      <c r="A29" s="179"/>
      <c r="B29" s="176">
        <v>42271</v>
      </c>
      <c r="C29" s="207">
        <v>1932.24</v>
      </c>
      <c r="D29" s="175">
        <f t="shared" si="5"/>
        <v>-3.3629742722152212E-3</v>
      </c>
      <c r="E29" s="208">
        <f t="shared" si="6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7"/>
        <v>-7.0157314845729374E-2</v>
      </c>
      <c r="I29" s="227">
        <v>323446.15999999997</v>
      </c>
      <c r="J29" s="177">
        <v>390000</v>
      </c>
      <c r="K29" s="177">
        <f t="shared" ref="K29:K49" si="10">I29-I28-J29+J28</f>
        <v>1626.9499999999534</v>
      </c>
      <c r="L29" s="175">
        <f t="shared" si="8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9"/>
        <v>1</v>
      </c>
      <c r="P29" s="189">
        <f>COUNTIF(O$2:O29, TRUE)/(COUNTIF(O$2:O29,FALSE) + COUNTIF(O$2:O29, TRUE))</f>
        <v>0.42857142857142855</v>
      </c>
      <c r="Q29" s="346"/>
      <c r="R29" s="346"/>
      <c r="S29" s="346"/>
      <c r="T29" s="346"/>
      <c r="U29" s="189">
        <f>STDEV(D$2:D29)*SQRT(252)</f>
        <v>0.28270501442194107</v>
      </c>
      <c r="V29" s="189">
        <f>STDEV(L$2:L29)*SQRT(252)</f>
        <v>0.35959656379312804</v>
      </c>
      <c r="W29" s="178">
        <f t="shared" si="4"/>
        <v>-0.47456202026737232</v>
      </c>
      <c r="X29" s="168"/>
      <c r="Y29" s="169"/>
      <c r="Z29" s="169"/>
      <c r="AA29" s="167"/>
      <c r="AB29" s="167"/>
      <c r="AC29" s="167"/>
      <c r="AD29" s="167"/>
    </row>
    <row r="30" spans="1:33" ht="20.100000000000001" customHeight="1" x14ac:dyDescent="0.25">
      <c r="A30" s="179"/>
      <c r="B30" s="176">
        <v>42272</v>
      </c>
      <c r="C30" s="207">
        <v>1931.34</v>
      </c>
      <c r="D30" s="175">
        <f t="shared" si="5"/>
        <v>-4.6578064836670961E-4</v>
      </c>
      <c r="E30" s="208">
        <f t="shared" si="6"/>
        <v>-8.1381632769544021E-2</v>
      </c>
      <c r="F30" s="223">
        <v>4686.5</v>
      </c>
      <c r="G30" s="175">
        <f t="shared" si="2"/>
        <v>-1.0134164681232061E-2</v>
      </c>
      <c r="H30" s="208">
        <f t="shared" si="7"/>
        <v>-7.9580493744721773E-2</v>
      </c>
      <c r="I30" s="226">
        <v>320711.92</v>
      </c>
      <c r="J30" s="177">
        <v>390000</v>
      </c>
      <c r="K30" s="177">
        <f t="shared" si="10"/>
        <v>-2734.2399999999907</v>
      </c>
      <c r="L30" s="175">
        <f t="shared" si="8"/>
        <v>-8.4534625484500754E-3</v>
      </c>
      <c r="M30" s="178">
        <f t="shared" ref="M30:M61" si="11">I30-J30</f>
        <v>-69288.080000000016</v>
      </c>
      <c r="N30" s="189">
        <f t="shared" ref="N30:N61" si="12">M30/J30</f>
        <v>-0.17766174358974363</v>
      </c>
      <c r="O30" s="178" t="b">
        <f t="shared" si="9"/>
        <v>0</v>
      </c>
      <c r="P30" s="189">
        <f>COUNTIF(O$2:O30, TRUE)/(COUNTIF(O$2:O30,FALSE) + COUNTIF(O$2:O30, TRUE))</f>
        <v>0.41379310344827586</v>
      </c>
      <c r="Q30" s="346"/>
      <c r="R30" s="346"/>
      <c r="S30" s="346"/>
      <c r="T30" s="346"/>
      <c r="U30" s="189">
        <f>STDEV(D$2:D30)*SQRT(252)</f>
        <v>0.27752195461786261</v>
      </c>
      <c r="V30" s="189">
        <f>STDEV(L$2:L30)*SQRT(252)</f>
        <v>0.35323644241397795</v>
      </c>
      <c r="W30" s="178">
        <f t="shared" si="4"/>
        <v>-0.50295417532693776</v>
      </c>
      <c r="X30" s="168"/>
      <c r="Y30" s="169"/>
      <c r="Z30" s="169"/>
      <c r="AA30" s="167"/>
      <c r="AB30" s="167"/>
      <c r="AC30" s="167"/>
      <c r="AD30" s="167"/>
    </row>
    <row r="31" spans="1:33" ht="20.100000000000001" customHeight="1" x14ac:dyDescent="0.25">
      <c r="A31" s="179"/>
      <c r="B31" s="171">
        <v>42275</v>
      </c>
      <c r="C31" s="205">
        <v>1881.77</v>
      </c>
      <c r="D31" s="175">
        <f t="shared" si="5"/>
        <v>-2.5666117824929811E-2</v>
      </c>
      <c r="E31" s="206">
        <f t="shared" si="6"/>
        <v>-0.10495900001902554</v>
      </c>
      <c r="F31" s="222">
        <v>4543.97</v>
      </c>
      <c r="G31" s="175">
        <f t="shared" si="2"/>
        <v>-3.041288808279094E-2</v>
      </c>
      <c r="H31" s="206">
        <f t="shared" si="7"/>
        <v>-0.10757310917768124</v>
      </c>
      <c r="I31" s="225">
        <v>308867.92</v>
      </c>
      <c r="J31" s="173">
        <v>390000</v>
      </c>
      <c r="K31" s="173">
        <f t="shared" si="10"/>
        <v>-11844</v>
      </c>
      <c r="L31" s="175">
        <f t="shared" si="8"/>
        <v>-3.693033922780295E-2</v>
      </c>
      <c r="M31" s="172">
        <f t="shared" si="11"/>
        <v>-81132.080000000016</v>
      </c>
      <c r="N31" s="188">
        <f t="shared" si="12"/>
        <v>-0.20803097435897441</v>
      </c>
      <c r="O31" s="172" t="b">
        <f t="shared" si="9"/>
        <v>0</v>
      </c>
      <c r="P31" s="188">
        <f>COUNTIF(O$2:O31, TRUE)/(COUNTIF(O$2:O31,FALSE) + COUNTIF(O$2:O31, TRUE))</f>
        <v>0.4</v>
      </c>
      <c r="Q31" s="345"/>
      <c r="R31" s="345"/>
      <c r="S31" s="345"/>
      <c r="T31" s="345"/>
      <c r="U31" s="188">
        <f>STDEV(D$2:D31)*SQRT(252)</f>
        <v>0.28067725027853285</v>
      </c>
      <c r="V31" s="188">
        <f>STDEV(L$2:L31)*SQRT(252)</f>
        <v>0.36074758156117998</v>
      </c>
      <c r="W31" s="172">
        <f t="shared" si="4"/>
        <v>-0.57666630350976855</v>
      </c>
      <c r="X31" s="168"/>
      <c r="Y31" s="169"/>
      <c r="Z31" s="169"/>
      <c r="AA31" s="167"/>
      <c r="AB31" s="167"/>
      <c r="AC31" s="167"/>
      <c r="AD31" s="167"/>
    </row>
    <row r="32" spans="1:33" ht="20.100000000000001" customHeight="1" x14ac:dyDescent="0.25">
      <c r="A32" s="179"/>
      <c r="B32" s="171">
        <v>42276</v>
      </c>
      <c r="C32" s="205">
        <v>1884.09</v>
      </c>
      <c r="D32" s="175">
        <f t="shared" si="5"/>
        <v>1.2328818080849075E-3</v>
      </c>
      <c r="E32" s="206">
        <f t="shared" si="6"/>
        <v>-0.10385552025265887</v>
      </c>
      <c r="F32" s="222">
        <v>4517.32</v>
      </c>
      <c r="G32" s="175">
        <f t="shared" si="2"/>
        <v>-5.8649154813963439E-3</v>
      </c>
      <c r="H32" s="206">
        <f t="shared" si="7"/>
        <v>-0.11280711746567947</v>
      </c>
      <c r="I32" s="225">
        <v>312033</v>
      </c>
      <c r="J32" s="173">
        <v>390000</v>
      </c>
      <c r="K32" s="173">
        <f t="shared" si="10"/>
        <v>3165.0800000000163</v>
      </c>
      <c r="L32" s="175">
        <f t="shared" si="8"/>
        <v>1.0247357511262472E-2</v>
      </c>
      <c r="M32" s="172">
        <f t="shared" si="11"/>
        <v>-77967</v>
      </c>
      <c r="N32" s="188">
        <f t="shared" si="12"/>
        <v>-0.19991538461538461</v>
      </c>
      <c r="O32" s="172" t="b">
        <f t="shared" si="9"/>
        <v>1</v>
      </c>
      <c r="P32" s="188">
        <f>COUNTIF(O$2:O32, TRUE)/(COUNTIF(O$2:O32,FALSE) + COUNTIF(O$2:O32, TRUE))</f>
        <v>0.41935483870967744</v>
      </c>
      <c r="Q32" s="345"/>
      <c r="R32" s="345"/>
      <c r="S32" s="345"/>
      <c r="T32" s="345"/>
      <c r="U32" s="188">
        <f>STDEV(D$2:D32)*SQRT(252)</f>
        <v>0.27616064910345123</v>
      </c>
      <c r="V32" s="188">
        <f>STDEV(L$2:L32)*SQRT(252)</f>
        <v>0.35703191736213136</v>
      </c>
      <c r="W32" s="172">
        <f t="shared" si="4"/>
        <v>-0.55993701093287374</v>
      </c>
      <c r="X32" s="168"/>
      <c r="Y32" s="169"/>
      <c r="Z32" s="169"/>
      <c r="AA32" s="167"/>
      <c r="AB32" s="167"/>
      <c r="AC32" s="167"/>
      <c r="AD32" s="167"/>
    </row>
    <row r="33" spans="1:30" ht="20.100000000000001" customHeight="1" x14ac:dyDescent="0.25">
      <c r="A33" s="179"/>
      <c r="B33" s="171">
        <v>42277</v>
      </c>
      <c r="C33" s="205">
        <v>1920.03</v>
      </c>
      <c r="D33" s="175">
        <f t="shared" si="5"/>
        <v>1.9075521869974393E-2</v>
      </c>
      <c r="E33" s="206">
        <f t="shared" si="6"/>
        <v>-8.6761096630581652E-2</v>
      </c>
      <c r="F33" s="222">
        <v>4620.16</v>
      </c>
      <c r="G33" s="175">
        <f t="shared" si="2"/>
        <v>2.2765710642593431E-2</v>
      </c>
      <c r="H33" s="206">
        <f t="shared" si="7"/>
        <v>-9.2609541017734748E-2</v>
      </c>
      <c r="I33" s="511">
        <v>320653.48</v>
      </c>
      <c r="J33" s="173">
        <v>390000</v>
      </c>
      <c r="K33" s="173">
        <f t="shared" si="10"/>
        <v>8620.4799999999814</v>
      </c>
      <c r="L33" s="175">
        <f t="shared" si="8"/>
        <v>2.762682152208254E-2</v>
      </c>
      <c r="M33" s="172">
        <f t="shared" si="11"/>
        <v>-69346.520000000019</v>
      </c>
      <c r="N33" s="188">
        <f t="shared" si="12"/>
        <v>-0.17781158974358979</v>
      </c>
      <c r="O33" s="172" t="b">
        <f t="shared" si="9"/>
        <v>1</v>
      </c>
      <c r="P33" s="188">
        <f>COUNTIF(O$2:O33, TRUE)/(COUNTIF(O$2:O33,FALSE) + COUNTIF(O$2:O33, TRUE))</f>
        <v>0.4375</v>
      </c>
      <c r="Q33" s="345"/>
      <c r="R33" s="345"/>
      <c r="S33" s="345"/>
      <c r="T33" s="345"/>
      <c r="U33" s="188">
        <f>STDEV(D$2:D33)*SQRT(252)</f>
        <v>0.27904525871697899</v>
      </c>
      <c r="V33" s="188">
        <f>STDEV(L$2:L33)*SQRT(252)</f>
        <v>0.36241608593546876</v>
      </c>
      <c r="W33" s="172">
        <f t="shared" si="4"/>
        <v>-0.49062830443803934</v>
      </c>
      <c r="X33" s="168"/>
      <c r="Y33" s="169"/>
      <c r="Z33" s="169"/>
      <c r="AA33" s="167"/>
      <c r="AB33" s="167"/>
      <c r="AC33" s="167"/>
      <c r="AD33" s="167"/>
    </row>
    <row r="34" spans="1:30" ht="20.100000000000001" customHeight="1" x14ac:dyDescent="0.25">
      <c r="B34" s="171">
        <v>42278</v>
      </c>
      <c r="C34" s="205">
        <v>1923.82</v>
      </c>
      <c r="D34" s="175">
        <f t="shared" si="5"/>
        <v>1.9739274907162718E-3</v>
      </c>
      <c r="E34" s="206">
        <f t="shared" si="6"/>
        <v>-8.4958429253629175E-2</v>
      </c>
      <c r="F34" s="222">
        <v>4627.08</v>
      </c>
      <c r="G34" s="175">
        <f t="shared" si="2"/>
        <v>1.497783626541088E-3</v>
      </c>
      <c r="H34" s="206">
        <f t="shared" si="7"/>
        <v>-9.1250466445391504E-2</v>
      </c>
      <c r="I34" s="225">
        <v>321963.56</v>
      </c>
      <c r="J34" s="173">
        <v>390000</v>
      </c>
      <c r="K34" s="173">
        <f t="shared" si="10"/>
        <v>1310.0800000000163</v>
      </c>
      <c r="L34" s="175">
        <f t="shared" si="8"/>
        <v>4.0856565785595605E-3</v>
      </c>
      <c r="M34" s="172">
        <f t="shared" si="11"/>
        <v>-68036.44</v>
      </c>
      <c r="N34" s="188">
        <f t="shared" si="12"/>
        <v>-0.17445241025641026</v>
      </c>
      <c r="O34" s="172" t="b">
        <f t="shared" si="9"/>
        <v>1</v>
      </c>
      <c r="P34" s="188">
        <f>COUNTIF(O$2:O34, TRUE)/(COUNTIF(O$2:O34,FALSE) + COUNTIF(O$2:O34, TRUE))</f>
        <v>0.45454545454545453</v>
      </c>
      <c r="Q34" s="345"/>
      <c r="R34" s="345"/>
      <c r="S34" s="345"/>
      <c r="T34" s="345"/>
      <c r="U34" s="188">
        <f>STDEV(D$2:D34)*SQRT(252)</f>
        <v>0.27483074679675301</v>
      </c>
      <c r="V34" s="188">
        <f>STDEV(L$2:L34)*SQRT(252)</f>
        <v>0.35707118458821713</v>
      </c>
      <c r="W34" s="172">
        <f t="shared" si="4"/>
        <v>-0.48856479544153886</v>
      </c>
    </row>
    <row r="35" spans="1:30" ht="20.100000000000001" customHeight="1" x14ac:dyDescent="0.25">
      <c r="B35" s="171">
        <v>42279</v>
      </c>
      <c r="C35" s="205">
        <v>1951.36</v>
      </c>
      <c r="D35" s="175">
        <f t="shared" si="5"/>
        <v>1.4315268580220584E-2</v>
      </c>
      <c r="E35" s="206">
        <f t="shared" si="6"/>
        <v>-7.1859363406327953E-2</v>
      </c>
      <c r="F35" s="222">
        <v>4707.78</v>
      </c>
      <c r="G35" s="175">
        <f t="shared" si="2"/>
        <v>1.7440805000129633E-2</v>
      </c>
      <c r="H35" s="206">
        <f t="shared" si="7"/>
        <v>-7.5401143036706808E-2</v>
      </c>
      <c r="I35" s="225">
        <v>336327.01</v>
      </c>
      <c r="J35" s="173">
        <v>390000</v>
      </c>
      <c r="K35" s="173">
        <f t="shared" si="10"/>
        <v>14363.450000000012</v>
      </c>
      <c r="L35" s="175">
        <f t="shared" si="8"/>
        <v>4.4612036219254164E-2</v>
      </c>
      <c r="M35" s="172">
        <f t="shared" si="11"/>
        <v>-53672.989999999991</v>
      </c>
      <c r="N35" s="188">
        <f t="shared" si="12"/>
        <v>-0.13762305128205127</v>
      </c>
      <c r="O35" s="172" t="b">
        <f t="shared" si="9"/>
        <v>1</v>
      </c>
      <c r="P35" s="188">
        <f>COUNTIF(O$2:O35, TRUE)/(COUNTIF(O$2:O35,FALSE) + COUNTIF(O$2:O35, TRUE))</f>
        <v>0.47058823529411764</v>
      </c>
      <c r="Q35" s="345"/>
      <c r="R35" s="345"/>
      <c r="S35" s="345"/>
      <c r="T35" s="345"/>
      <c r="U35" s="188">
        <f>STDEV(D$2:D35)*SQRT(252)</f>
        <v>0.27452334333609368</v>
      </c>
      <c r="V35" s="188">
        <f>STDEV(L$2:L35)*SQRT(252)</f>
        <v>0.37502060427916972</v>
      </c>
      <c r="W35" s="172">
        <f t="shared" si="4"/>
        <v>-0.36697464009098302</v>
      </c>
    </row>
    <row r="36" spans="1:30" ht="20.100000000000001" customHeight="1" x14ac:dyDescent="0.25">
      <c r="B36" s="176">
        <v>42282</v>
      </c>
      <c r="C36" s="207">
        <v>1987.05</v>
      </c>
      <c r="D36" s="175">
        <f t="shared" si="5"/>
        <v>1.8289808133814395E-2</v>
      </c>
      <c r="E36" s="208">
        <f t="shared" si="6"/>
        <v>-5.4883849241833343E-2</v>
      </c>
      <c r="F36" s="223">
        <v>4781.26</v>
      </c>
      <c r="G36" s="175">
        <f t="shared" si="2"/>
        <v>1.5608205990934257E-2</v>
      </c>
      <c r="H36" s="208">
        <f t="shared" si="7"/>
        <v>-6.0969813618241372E-2</v>
      </c>
      <c r="I36" s="226">
        <v>348049.53</v>
      </c>
      <c r="J36" s="177">
        <v>390000</v>
      </c>
      <c r="K36" s="177">
        <f t="shared" si="10"/>
        <v>11722.520000000019</v>
      </c>
      <c r="L36" s="175">
        <f t="shared" si="8"/>
        <v>3.4854530416691835E-2</v>
      </c>
      <c r="M36" s="178">
        <f t="shared" si="11"/>
        <v>-41950.469999999972</v>
      </c>
      <c r="N36" s="189">
        <f t="shared" si="12"/>
        <v>-0.10756530769230763</v>
      </c>
      <c r="O36" s="178" t="b">
        <f t="shared" si="9"/>
        <v>1</v>
      </c>
      <c r="P36" s="189">
        <f>COUNTIF(O$2:O36, TRUE)/(COUNTIF(O$2:O36,FALSE) + COUNTIF(O$2:O36, TRUE))</f>
        <v>0.48571428571428571</v>
      </c>
      <c r="Q36" s="346"/>
      <c r="R36" s="346"/>
      <c r="S36" s="346"/>
      <c r="T36" s="346"/>
      <c r="U36" s="189">
        <f>STDEV(D$2:D36)*SQRT(252)</f>
        <v>0.27597887919090974</v>
      </c>
      <c r="V36" s="189">
        <f>STDEV(L$2:L36)*SQRT(252)</f>
        <v>0.38219304301343621</v>
      </c>
      <c r="W36" s="178">
        <f t="shared" si="4"/>
        <v>-0.28144234872565721</v>
      </c>
    </row>
    <row r="37" spans="1:30" ht="20.100000000000001" customHeight="1" x14ac:dyDescent="0.25">
      <c r="B37" s="176">
        <v>42283</v>
      </c>
      <c r="C37" s="207">
        <v>1979.92</v>
      </c>
      <c r="D37" s="175">
        <f t="shared" si="5"/>
        <v>-3.5882338139452364E-3</v>
      </c>
      <c r="E37" s="208">
        <f t="shared" si="6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7"/>
        <v>-6.7431309778659423E-2</v>
      </c>
      <c r="I37" s="226">
        <v>349442.62</v>
      </c>
      <c r="J37" s="177">
        <v>390000</v>
      </c>
      <c r="K37" s="177">
        <f t="shared" si="10"/>
        <v>1393.0899999999674</v>
      </c>
      <c r="L37" s="175">
        <f t="shared" si="8"/>
        <v>4.0025625088474254E-3</v>
      </c>
      <c r="M37" s="178">
        <f t="shared" si="11"/>
        <v>-40557.380000000005</v>
      </c>
      <c r="N37" s="189">
        <f t="shared" si="12"/>
        <v>-0.10399328205128207</v>
      </c>
      <c r="O37" s="178" t="b">
        <f t="shared" si="9"/>
        <v>1</v>
      </c>
      <c r="P37" s="189">
        <f>COUNTIF(O$2:O37, TRUE)/(COUNTIF(O$2:O37,FALSE) + COUNTIF(O$2:O37, TRUE))</f>
        <v>0.5</v>
      </c>
      <c r="Q37" s="346"/>
      <c r="R37" s="346"/>
      <c r="S37" s="346"/>
      <c r="T37" s="346"/>
      <c r="U37" s="189">
        <f>STDEV(D$2:D37)*SQRT(252)</f>
        <v>0.27194715501453054</v>
      </c>
      <c r="V37" s="189">
        <f>STDEV(L$2:L37)*SQRT(252)</f>
        <v>0.37670306697854899</v>
      </c>
      <c r="W37" s="178">
        <f t="shared" si="4"/>
        <v>-0.27606168138048071</v>
      </c>
    </row>
    <row r="38" spans="1:30" ht="20.100000000000001" customHeight="1" x14ac:dyDescent="0.25">
      <c r="B38" s="176">
        <v>42284</v>
      </c>
      <c r="C38" s="207">
        <v>1995.83</v>
      </c>
      <c r="D38" s="175">
        <f t="shared" si="5"/>
        <v>8.0356782092205013E-3</v>
      </c>
      <c r="E38" s="208">
        <f t="shared" si="6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7"/>
        <v>-5.9027436808924368E-2</v>
      </c>
      <c r="I38" s="226">
        <v>351672.29</v>
      </c>
      <c r="J38" s="177">
        <v>390000</v>
      </c>
      <c r="K38" s="177">
        <f t="shared" si="10"/>
        <v>2229.6699999999837</v>
      </c>
      <c r="L38" s="175">
        <f t="shared" si="8"/>
        <v>6.3806469857625942E-3</v>
      </c>
      <c r="M38" s="178">
        <f t="shared" si="11"/>
        <v>-38327.710000000021</v>
      </c>
      <c r="N38" s="189">
        <f t="shared" si="12"/>
        <v>-9.8276179487179538E-2</v>
      </c>
      <c r="O38" s="178" t="b">
        <f t="shared" si="9"/>
        <v>0</v>
      </c>
      <c r="P38" s="189">
        <f>COUNTIF(O$2:O38, TRUE)/(COUNTIF(O$2:O38,FALSE) + COUNTIF(O$2:O38, TRUE))</f>
        <v>0.48648648648648651</v>
      </c>
      <c r="Q38" s="346"/>
      <c r="R38" s="346"/>
      <c r="S38" s="346"/>
      <c r="T38" s="346"/>
      <c r="U38" s="189">
        <f>STDEV(D$2:D38)*SQRT(252)</f>
        <v>0.26923649970087526</v>
      </c>
      <c r="V38" s="189">
        <f>STDEV(L$2:L38)*SQRT(252)</f>
        <v>0.37168118749449619</v>
      </c>
      <c r="W38" s="178">
        <f t="shared" si="4"/>
        <v>-0.26440988350704403</v>
      </c>
    </row>
    <row r="39" spans="1:30" ht="20.100000000000001" customHeight="1" x14ac:dyDescent="0.25">
      <c r="B39" s="176">
        <v>42285</v>
      </c>
      <c r="C39" s="207">
        <v>2013.43</v>
      </c>
      <c r="D39" s="175">
        <f t="shared" si="5"/>
        <v>8.8183863355096054E-3</v>
      </c>
      <c r="E39" s="208">
        <f t="shared" si="6"/>
        <v>-4.2336523277715414E-2</v>
      </c>
      <c r="F39" s="223">
        <v>4810.79</v>
      </c>
      <c r="G39" s="175">
        <f t="shared" si="2"/>
        <v>4.0992246120451934E-3</v>
      </c>
      <c r="H39" s="208">
        <f t="shared" si="7"/>
        <v>-5.5170178918632254E-2</v>
      </c>
      <c r="I39" s="226">
        <v>354527.57</v>
      </c>
      <c r="J39" s="177">
        <v>390000</v>
      </c>
      <c r="K39" s="177">
        <f t="shared" si="10"/>
        <v>2855.2800000000279</v>
      </c>
      <c r="L39" s="175">
        <f t="shared" si="8"/>
        <v>8.119149791415264E-3</v>
      </c>
      <c r="M39" s="178">
        <f t="shared" si="11"/>
        <v>-35472.429999999993</v>
      </c>
      <c r="N39" s="189">
        <f t="shared" si="12"/>
        <v>-9.0954948717948694E-2</v>
      </c>
      <c r="O39" s="178" t="b">
        <f t="shared" si="9"/>
        <v>0</v>
      </c>
      <c r="P39" s="189">
        <f>COUNTIF(O$2:O39, TRUE)/(COUNTIF(O$2:O39,FALSE) + COUNTIF(O$2:O39, TRUE))</f>
        <v>0.47368421052631576</v>
      </c>
      <c r="Q39" s="346"/>
      <c r="R39" s="346"/>
      <c r="S39" s="346"/>
      <c r="T39" s="346"/>
      <c r="U39" s="189">
        <f>STDEV(D$2:D39)*SQRT(252)</f>
        <v>0.26678199068533232</v>
      </c>
      <c r="V39" s="189">
        <f>STDEV(L$2:L39)*SQRT(252)</f>
        <v>0.36708606132795213</v>
      </c>
      <c r="W39" s="178">
        <f t="shared" si="4"/>
        <v>-0.24777554448380479</v>
      </c>
    </row>
    <row r="40" spans="1:30" ht="20.100000000000001" customHeight="1" x14ac:dyDescent="0.25">
      <c r="B40" s="176">
        <v>42286</v>
      </c>
      <c r="C40" s="207">
        <v>2014.89</v>
      </c>
      <c r="D40" s="175">
        <f t="shared" si="5"/>
        <v>7.2513074703368691E-4</v>
      </c>
      <c r="E40" s="208">
        <f t="shared" si="6"/>
        <v>-4.1642092045432906E-2</v>
      </c>
      <c r="F40" s="223">
        <v>4830.47</v>
      </c>
      <c r="G40" s="175">
        <f t="shared" si="2"/>
        <v>4.0908042130295211E-3</v>
      </c>
      <c r="H40" s="208">
        <f t="shared" si="7"/>
        <v>-5.1305065105956671E-2</v>
      </c>
      <c r="I40" s="226">
        <v>351691.92</v>
      </c>
      <c r="J40" s="177">
        <v>390000</v>
      </c>
      <c r="K40" s="177">
        <f t="shared" si="10"/>
        <v>-2835.6500000000233</v>
      </c>
      <c r="L40" s="175">
        <f t="shared" si="8"/>
        <v>-7.9983906470236527E-3</v>
      </c>
      <c r="M40" s="246">
        <f t="shared" si="11"/>
        <v>-38308.080000000016</v>
      </c>
      <c r="N40" s="189">
        <f t="shared" si="12"/>
        <v>-9.8225846153846191E-2</v>
      </c>
      <c r="O40" s="246" t="b">
        <f t="shared" si="9"/>
        <v>0</v>
      </c>
      <c r="P40" s="189">
        <f>COUNTIF(O$2:O40, TRUE)/(COUNTIF(O$2:O40,FALSE) + COUNTIF(O$2:O40, TRUE))</f>
        <v>0.46153846153846156</v>
      </c>
      <c r="Q40" s="346"/>
      <c r="R40" s="346"/>
      <c r="S40" s="346"/>
      <c r="T40" s="346"/>
      <c r="U40" s="189">
        <f>STDEV(D$2:D40)*SQRT(252)</f>
        <v>0.26319098013674441</v>
      </c>
      <c r="V40" s="189">
        <f>STDEV(L$2:L40)*SQRT(252)</f>
        <v>0.36271772022566956</v>
      </c>
      <c r="W40" s="246">
        <f t="shared" si="4"/>
        <v>-0.27080520381726514</v>
      </c>
    </row>
    <row r="41" spans="1:30" ht="20.100000000000001" customHeight="1" x14ac:dyDescent="0.25">
      <c r="B41" s="171">
        <v>42289</v>
      </c>
      <c r="C41" s="203">
        <v>2017.46</v>
      </c>
      <c r="D41" s="175">
        <f t="shared" si="5"/>
        <v>1.2755038736605652E-3</v>
      </c>
      <c r="E41" s="204">
        <f t="shared" si="6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7"/>
        <v>-4.9700492959129462E-2</v>
      </c>
      <c r="I41" s="225">
        <v>348866.78</v>
      </c>
      <c r="J41" s="173">
        <v>390000</v>
      </c>
      <c r="K41" s="173">
        <f t="shared" si="10"/>
        <v>-2825.1399999999558</v>
      </c>
      <c r="L41" s="175">
        <f t="shared" si="8"/>
        <v>-8.0329966068027839E-3</v>
      </c>
      <c r="M41" s="180">
        <f t="shared" si="11"/>
        <v>-41133.219999999972</v>
      </c>
      <c r="N41" s="188">
        <f t="shared" si="12"/>
        <v>-0.10546979487179479</v>
      </c>
      <c r="O41" s="180" t="b">
        <f t="shared" si="9"/>
        <v>0</v>
      </c>
      <c r="P41" s="188">
        <f>COUNTIF(O$2:O41, TRUE)/(COUNTIF(O$2:O41,FALSE) + COUNTIF(O$2:O41, TRUE))</f>
        <v>0.45</v>
      </c>
      <c r="Q41" s="345"/>
      <c r="R41" s="345"/>
      <c r="S41" s="345"/>
      <c r="T41" s="345"/>
      <c r="U41" s="188">
        <f>STDEV(D$2:D41)*SQRT(252)</f>
        <v>0.25976838750277326</v>
      </c>
      <c r="V41" s="188">
        <f>STDEV(L$2:L41)*SQRT(252)</f>
        <v>0.35850362464103236</v>
      </c>
      <c r="W41" s="180">
        <f t="shared" si="4"/>
        <v>-0.2941945007596537</v>
      </c>
    </row>
    <row r="42" spans="1:30" ht="20.100000000000001" customHeight="1" x14ac:dyDescent="0.25">
      <c r="B42" s="171">
        <v>42290</v>
      </c>
      <c r="C42" s="203">
        <v>2003.69</v>
      </c>
      <c r="D42" s="175">
        <f t="shared" si="5"/>
        <v>-6.8254141346048899E-3</v>
      </c>
      <c r="E42" s="204">
        <f t="shared" si="6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7"/>
        <v>-5.7955103403578401E-2</v>
      </c>
      <c r="I42" s="225">
        <v>347508.59</v>
      </c>
      <c r="J42" s="173">
        <v>390000</v>
      </c>
      <c r="K42" s="173">
        <f t="shared" si="10"/>
        <v>-1358.1900000000023</v>
      </c>
      <c r="L42" s="175">
        <f t="shared" si="8"/>
        <v>-3.8931479804411363E-3</v>
      </c>
      <c r="M42" s="180">
        <f t="shared" si="11"/>
        <v>-42491.409999999974</v>
      </c>
      <c r="N42" s="188">
        <f t="shared" si="12"/>
        <v>-0.10895233333333326</v>
      </c>
      <c r="O42" s="180" t="b">
        <f t="shared" si="9"/>
        <v>1</v>
      </c>
      <c r="P42" s="188">
        <f>COUNTIF(O$2:O42, TRUE)/(COUNTIF(O$2:O42,FALSE) + COUNTIF(O$2:O42, TRUE))</f>
        <v>0.46341463414634149</v>
      </c>
      <c r="Q42" s="345"/>
      <c r="R42" s="345"/>
      <c r="S42" s="345"/>
      <c r="T42" s="345"/>
      <c r="U42" s="188">
        <f>STDEV(D$2:D42)*SQRT(252)</f>
        <v>0.2568435001245859</v>
      </c>
      <c r="V42" s="188">
        <f>STDEV(L$2:L42)*SQRT(252)</f>
        <v>0.35400225993009587</v>
      </c>
      <c r="W42" s="180">
        <f t="shared" si="4"/>
        <v>-0.30777298810139764</v>
      </c>
    </row>
    <row r="43" spans="1:30" ht="20.100000000000001" customHeight="1" x14ac:dyDescent="0.25">
      <c r="B43" s="171">
        <v>42291</v>
      </c>
      <c r="C43" s="209">
        <v>1994.24</v>
      </c>
      <c r="D43" s="175">
        <f t="shared" si="5"/>
        <v>-4.7162984293977837E-3</v>
      </c>
      <c r="E43" s="204">
        <f t="shared" si="6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7"/>
        <v>-6.0657540703497742E-2</v>
      </c>
      <c r="I43" s="225">
        <v>350349.65</v>
      </c>
      <c r="J43" s="173">
        <v>390000</v>
      </c>
      <c r="K43" s="173">
        <f t="shared" si="10"/>
        <v>2841.0599999999977</v>
      </c>
      <c r="L43" s="175">
        <f t="shared" si="8"/>
        <v>8.1755101363105796E-3</v>
      </c>
      <c r="M43" s="180">
        <f t="shared" si="11"/>
        <v>-39650.349999999977</v>
      </c>
      <c r="N43" s="188">
        <f t="shared" si="12"/>
        <v>-0.10166756410256404</v>
      </c>
      <c r="O43" s="180" t="b">
        <f t="shared" si="9"/>
        <v>1</v>
      </c>
      <c r="P43" s="188">
        <f>COUNTIF(O$2:O43, TRUE)/(COUNTIF(O$2:O43,FALSE) + COUNTIF(O$2:O43, TRUE))</f>
        <v>0.47619047619047616</v>
      </c>
      <c r="Q43" s="345"/>
      <c r="R43" s="345"/>
      <c r="S43" s="345"/>
      <c r="T43" s="345"/>
      <c r="U43" s="188">
        <f>STDEV(D$2:D43)*SQRT(252)</f>
        <v>0.25377333453127793</v>
      </c>
      <c r="V43" s="188">
        <f>STDEV(L$2:L43)*SQRT(252)</f>
        <v>0.35017187352757795</v>
      </c>
      <c r="W43" s="180">
        <f t="shared" si="4"/>
        <v>-0.29033617999749817</v>
      </c>
    </row>
    <row r="44" spans="1:30" ht="20.100000000000001" customHeight="1" x14ac:dyDescent="0.25">
      <c r="B44" s="171">
        <v>42292</v>
      </c>
      <c r="C44" s="209">
        <v>2023.86</v>
      </c>
      <c r="D44" s="175">
        <f t="shared" si="5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7"/>
        <v>-4.3521810004517048E-2</v>
      </c>
      <c r="I44" s="225">
        <v>353686.58</v>
      </c>
      <c r="J44" s="173">
        <v>390000</v>
      </c>
      <c r="K44" s="173">
        <f t="shared" si="10"/>
        <v>3336.929999999993</v>
      </c>
      <c r="L44" s="175">
        <f t="shared" si="8"/>
        <v>9.5245706681881745E-3</v>
      </c>
      <c r="M44" s="180">
        <f t="shared" si="11"/>
        <v>-36313.419999999984</v>
      </c>
      <c r="N44" s="188">
        <f t="shared" si="12"/>
        <v>-9.3111333333333296E-2</v>
      </c>
      <c r="O44" s="180" t="b">
        <f t="shared" si="9"/>
        <v>0</v>
      </c>
      <c r="P44" s="188">
        <f>COUNTIF(O$2:O44, TRUE)/(COUNTIF(O$2:O44,FALSE) + COUNTIF(O$2:O44, TRUE))</f>
        <v>0.46511627906976744</v>
      </c>
      <c r="Q44" s="345"/>
      <c r="R44" s="345"/>
      <c r="S44" s="345"/>
      <c r="T44" s="345"/>
      <c r="U44" s="188">
        <f>STDEV(D$2:D44)*SQRT(252)</f>
        <v>0.25371078720500778</v>
      </c>
      <c r="V44" s="188">
        <f>STDEV(L$2:L44)*SQRT(252)</f>
        <v>0.34666743153233776</v>
      </c>
      <c r="W44" s="180">
        <f t="shared" si="4"/>
        <v>-0.26858979201410127</v>
      </c>
    </row>
    <row r="45" spans="1:30" ht="20.100000000000001" customHeight="1" x14ac:dyDescent="0.25">
      <c r="B45" s="171">
        <v>42293</v>
      </c>
      <c r="C45" s="209">
        <v>2033.11</v>
      </c>
      <c r="D45" s="175">
        <f t="shared" si="5"/>
        <v>4.5704742422894868E-3</v>
      </c>
      <c r="E45" s="204">
        <f t="shared" ref="E45:E53" si="13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7"/>
        <v>-4.0263566195966029E-2</v>
      </c>
      <c r="I45" s="225">
        <v>351968.34</v>
      </c>
      <c r="J45" s="173">
        <v>390000</v>
      </c>
      <c r="K45" s="173">
        <f t="shared" si="10"/>
        <v>-1718.2399999999907</v>
      </c>
      <c r="L45" s="175">
        <f t="shared" si="8"/>
        <v>-4.8580865013311799E-3</v>
      </c>
      <c r="M45" s="180">
        <f t="shared" si="11"/>
        <v>-38031.659999999974</v>
      </c>
      <c r="N45" s="188">
        <f t="shared" si="12"/>
        <v>-9.7517076923076859E-2</v>
      </c>
      <c r="O45" s="180" t="b">
        <f t="shared" si="9"/>
        <v>0</v>
      </c>
      <c r="P45" s="188">
        <f>COUNTIF(O$2:O45, TRUE)/(COUNTIF(O$2:O45,FALSE) + COUNTIF(O$2:O45, TRUE))</f>
        <v>0.45454545454545453</v>
      </c>
      <c r="Q45" s="345"/>
      <c r="R45" s="345"/>
      <c r="S45" s="345"/>
      <c r="T45" s="345"/>
      <c r="U45" s="188">
        <f>STDEV(D$2:D45)*SQRT(252)</f>
        <v>0.25100684114352073</v>
      </c>
      <c r="V45" s="188">
        <f>STDEV(L$2:L45)*SQRT(252)</f>
        <v>0.34273345139982825</v>
      </c>
      <c r="W45" s="180">
        <f t="shared" si="4"/>
        <v>-0.28452745573794236</v>
      </c>
    </row>
    <row r="46" spans="1:30" ht="20.100000000000001" customHeight="1" x14ac:dyDescent="0.25">
      <c r="B46" s="186">
        <v>42296</v>
      </c>
      <c r="C46" s="210">
        <v>2033.66</v>
      </c>
      <c r="D46" s="175">
        <f t="shared" si="5"/>
        <v>2.7052151629778119E-4</v>
      </c>
      <c r="E46" s="211">
        <f t="shared" si="13"/>
        <v>-3.2714369970129928E-2</v>
      </c>
      <c r="F46" s="224">
        <v>4905.47</v>
      </c>
      <c r="G46" s="175">
        <f t="shared" si="2"/>
        <v>3.843092154403217E-3</v>
      </c>
      <c r="H46" s="208">
        <f t="shared" si="7"/>
        <v>-3.657521063691882E-2</v>
      </c>
      <c r="I46" s="226">
        <v>353616.79</v>
      </c>
      <c r="J46" s="177">
        <v>390000</v>
      </c>
      <c r="K46" s="177">
        <f t="shared" si="10"/>
        <v>1648.4499999999534</v>
      </c>
      <c r="L46" s="175">
        <f t="shared" si="8"/>
        <v>4.6835178414057167E-3</v>
      </c>
      <c r="M46" s="187">
        <f t="shared" si="11"/>
        <v>-36383.210000000021</v>
      </c>
      <c r="N46" s="189">
        <f t="shared" si="12"/>
        <v>-9.3290282051282106E-2</v>
      </c>
      <c r="O46" s="187" t="b">
        <f t="shared" si="9"/>
        <v>1</v>
      </c>
      <c r="P46" s="189">
        <f>COUNTIF(O$2:O46, TRUE)/(COUNTIF(O$2:O46,FALSE) + COUNTIF(O$2:O46, TRUE))</f>
        <v>0.46666666666666667</v>
      </c>
      <c r="Q46" s="346"/>
      <c r="R46" s="346"/>
      <c r="S46" s="346"/>
      <c r="T46" s="346"/>
      <c r="U46" s="189">
        <f>STDEV(D$2:D46)*SQRT(252)</f>
        <v>0.24808092074482793</v>
      </c>
      <c r="V46" s="189">
        <f>STDEV(L$2:L46)*SQRT(252)</f>
        <v>0.33890448472804552</v>
      </c>
      <c r="W46" s="187">
        <f t="shared" si="4"/>
        <v>-0.27527013142402956</v>
      </c>
    </row>
    <row r="47" spans="1:30" ht="20.100000000000001" customHeight="1" x14ac:dyDescent="0.25">
      <c r="B47" s="186">
        <v>42297</v>
      </c>
      <c r="C47" s="210">
        <v>2030.77</v>
      </c>
      <c r="D47" s="175">
        <f t="shared" si="5"/>
        <v>-1.4210831702448296E-3</v>
      </c>
      <c r="E47" s="211">
        <f t="shared" si="13"/>
        <v>-3.4088963299785044E-2</v>
      </c>
      <c r="F47" s="224">
        <v>4880.97</v>
      </c>
      <c r="G47" s="175">
        <f t="shared" si="2"/>
        <v>-4.9944245913235629E-3</v>
      </c>
      <c r="H47" s="208">
        <f t="shared" si="7"/>
        <v>-4.1386963096804522E-2</v>
      </c>
      <c r="I47" s="226">
        <v>352193</v>
      </c>
      <c r="J47" s="177">
        <v>395000</v>
      </c>
      <c r="K47" s="177">
        <f t="shared" si="10"/>
        <v>-6423.789999999979</v>
      </c>
      <c r="L47" s="175">
        <f t="shared" si="8"/>
        <v>-1.8165964348016334E-2</v>
      </c>
      <c r="M47" s="187">
        <f t="shared" si="11"/>
        <v>-42807</v>
      </c>
      <c r="N47" s="189">
        <f t="shared" si="12"/>
        <v>-0.10837215189873417</v>
      </c>
      <c r="O47" s="187" t="b">
        <f t="shared" si="9"/>
        <v>0</v>
      </c>
      <c r="P47" s="189">
        <f>COUNTIF(O$2:O47, TRUE)/(COUNTIF(O$2:O47,FALSE) + COUNTIF(O$2:O47, TRUE))</f>
        <v>0.45652173913043476</v>
      </c>
      <c r="Q47" s="346"/>
      <c r="R47" s="346"/>
      <c r="S47" s="346"/>
      <c r="T47" s="346"/>
      <c r="U47" s="189">
        <f>STDEV(D$2:D47)*SQRT(252)</f>
        <v>0.24525265348900513</v>
      </c>
      <c r="V47" s="189">
        <f>STDEV(L$2:L47)*SQRT(252)</f>
        <v>0.33783134123152347</v>
      </c>
      <c r="W47" s="187">
        <f t="shared" si="4"/>
        <v>-0.32078773835392699</v>
      </c>
    </row>
    <row r="48" spans="1:30" ht="20.100000000000001" customHeight="1" x14ac:dyDescent="0.25">
      <c r="B48" s="186">
        <v>42298</v>
      </c>
      <c r="C48" s="210">
        <v>2018.94</v>
      </c>
      <c r="D48" s="175">
        <f t="shared" si="5"/>
        <v>-5.8253765812967141E-3</v>
      </c>
      <c r="E48" s="211">
        <f t="shared" si="13"/>
        <v>-3.9715758832594511E-2</v>
      </c>
      <c r="F48" s="224">
        <v>4840.12</v>
      </c>
      <c r="G48" s="175">
        <f t="shared" si="2"/>
        <v>-8.3692380817748033E-3</v>
      </c>
      <c r="H48" s="208">
        <f t="shared" si="7"/>
        <v>-4.9409823830940537E-2</v>
      </c>
      <c r="I48" s="226">
        <v>350311.35</v>
      </c>
      <c r="J48" s="177">
        <v>400000</v>
      </c>
      <c r="K48" s="177">
        <f t="shared" si="10"/>
        <v>-6881.6500000000233</v>
      </c>
      <c r="L48" s="175">
        <f t="shared" si="8"/>
        <v>-1.9539428665532883E-2</v>
      </c>
      <c r="M48" s="187">
        <f t="shared" si="11"/>
        <v>-49688.650000000023</v>
      </c>
      <c r="N48" s="189">
        <f t="shared" si="12"/>
        <v>-0.12422162500000006</v>
      </c>
      <c r="O48" s="187" t="b">
        <f t="shared" si="9"/>
        <v>0</v>
      </c>
      <c r="P48" s="189">
        <f>COUNTIF(O$2:O48, TRUE)/(COUNTIF(O$2:O48,FALSE) + COUNTIF(O$2:O48, TRUE))</f>
        <v>0.44680851063829785</v>
      </c>
      <c r="Q48" s="346"/>
      <c r="R48" s="346"/>
      <c r="S48" s="346"/>
      <c r="T48" s="346"/>
      <c r="U48" s="189">
        <f>STDEV(D$2:D48)*SQRT(252)</f>
        <v>0.24281424638505256</v>
      </c>
      <c r="V48" s="189">
        <f>STDEV(L$2:L48)*SQRT(252)</f>
        <v>0.33709966873657005</v>
      </c>
      <c r="W48" s="187">
        <f t="shared" si="4"/>
        <v>-0.36850117790259329</v>
      </c>
    </row>
    <row r="49" spans="2:24" ht="20.100000000000001" customHeight="1" x14ac:dyDescent="0.25">
      <c r="B49" s="186">
        <v>42299</v>
      </c>
      <c r="C49" s="210">
        <v>2052.5100000000002</v>
      </c>
      <c r="D49" s="175">
        <f t="shared" si="5"/>
        <v>1.6627537222502979E-2</v>
      </c>
      <c r="E49" s="211">
        <f t="shared" si="13"/>
        <v>-2.3748596868400446E-2</v>
      </c>
      <c r="F49" s="224">
        <v>4920.05</v>
      </c>
      <c r="G49" s="175">
        <f t="shared" si="2"/>
        <v>1.6514053370577649E-2</v>
      </c>
      <c r="H49" s="208">
        <f t="shared" si="7"/>
        <v>-3.3711726928137876E-2</v>
      </c>
      <c r="I49" s="226">
        <v>353557.89</v>
      </c>
      <c r="J49" s="177">
        <v>400000</v>
      </c>
      <c r="K49" s="177">
        <f t="shared" si="10"/>
        <v>3246.5400000000373</v>
      </c>
      <c r="L49" s="175">
        <f t="shared" si="8"/>
        <v>9.2675843931406664E-3</v>
      </c>
      <c r="M49" s="187">
        <f t="shared" si="11"/>
        <v>-46442.109999999986</v>
      </c>
      <c r="N49" s="189">
        <f t="shared" si="12"/>
        <v>-0.11610527499999997</v>
      </c>
      <c r="O49" s="187" t="b">
        <f t="shared" si="9"/>
        <v>0</v>
      </c>
      <c r="P49" s="189">
        <f>COUNTIF(O$2:O49, TRUE)/(COUNTIF(O$2:O49,FALSE) + COUNTIF(O$2:O49, TRUE))</f>
        <v>0.4375</v>
      </c>
      <c r="Q49" s="346"/>
      <c r="R49" s="346"/>
      <c r="S49" s="346"/>
      <c r="T49" s="346"/>
      <c r="U49" s="189">
        <f>STDEV(D$2:D49)*SQRT(252)</f>
        <v>0.24351413133026822</v>
      </c>
      <c r="V49" s="189">
        <f>STDEV(L$2:L49)*SQRT(252)</f>
        <v>0.33420544036824928</v>
      </c>
      <c r="W49" s="187">
        <f t="shared" si="4"/>
        <v>-0.34740689700343486</v>
      </c>
    </row>
    <row r="50" spans="2:24" ht="20.100000000000001" customHeight="1" x14ac:dyDescent="0.25">
      <c r="B50" s="186">
        <v>42300</v>
      </c>
      <c r="C50" s="210">
        <v>2075.15</v>
      </c>
      <c r="D50" s="175">
        <f t="shared" si="5"/>
        <v>1.103039692863853E-2</v>
      </c>
      <c r="E50" s="211">
        <f t="shared" si="13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7"/>
        <v>-1.1752459885696358E-2</v>
      </c>
      <c r="I50" s="226">
        <v>354948.58</v>
      </c>
      <c r="J50" s="177">
        <v>400000</v>
      </c>
      <c r="K50" s="177">
        <f t="shared" ref="K50:K55" si="14">I50-I49-J50+J49</f>
        <v>1390.6900000000023</v>
      </c>
      <c r="L50" s="175">
        <f t="shared" si="8"/>
        <v>3.93341526051081E-3</v>
      </c>
      <c r="M50" s="187">
        <f t="shared" si="11"/>
        <v>-45051.419999999984</v>
      </c>
      <c r="N50" s="189">
        <f t="shared" si="12"/>
        <v>-0.11262854999999997</v>
      </c>
      <c r="O50" s="187" t="b">
        <f t="shared" si="9"/>
        <v>0</v>
      </c>
      <c r="P50" s="189">
        <f>COUNTIF(O$2:O50, TRUE)/(COUNTIF(O$2:O50,FALSE) + COUNTIF(O$2:O50, TRUE))</f>
        <v>0.42857142857142855</v>
      </c>
      <c r="Q50" s="346"/>
      <c r="R50" s="346"/>
      <c r="S50" s="346"/>
      <c r="T50" s="346"/>
      <c r="U50" s="189">
        <f>STDEV(D$2:D50)*SQRT(252)</f>
        <v>0.2423280462112376</v>
      </c>
      <c r="V50" s="189">
        <f>STDEV(L$2:L50)*SQRT(252)</f>
        <v>0.33078274353135961</v>
      </c>
      <c r="W50" s="187">
        <f t="shared" si="4"/>
        <v>-0.34049100868323351</v>
      </c>
    </row>
    <row r="51" spans="2:24" ht="20.100000000000001" customHeight="1" x14ac:dyDescent="0.25">
      <c r="B51" s="171">
        <v>42303</v>
      </c>
      <c r="C51" s="203">
        <v>2071.1799999999998</v>
      </c>
      <c r="D51" s="175">
        <f t="shared" si="5"/>
        <v>-1.9131147145990672E-3</v>
      </c>
      <c r="E51" s="204">
        <f t="shared" si="13"/>
        <v>-1.4868438576130695E-2</v>
      </c>
      <c r="F51" s="221">
        <v>5034.7</v>
      </c>
      <c r="G51" s="175">
        <f t="shared" si="2"/>
        <v>5.644036201325446E-4</v>
      </c>
      <c r="H51" s="206">
        <f t="shared" si="7"/>
        <v>-1.1194689396468763E-2</v>
      </c>
      <c r="I51" s="225">
        <v>346950.72</v>
      </c>
      <c r="J51" s="173">
        <v>400000</v>
      </c>
      <c r="K51" s="173">
        <f t="shared" si="14"/>
        <v>-7997.8600000000442</v>
      </c>
      <c r="L51" s="175">
        <f t="shared" si="8"/>
        <v>-2.2532446812437011E-2</v>
      </c>
      <c r="M51" s="180">
        <f t="shared" si="11"/>
        <v>-53049.280000000028</v>
      </c>
      <c r="N51" s="188">
        <f t="shared" si="12"/>
        <v>-0.13262320000000008</v>
      </c>
      <c r="O51" s="180" t="b">
        <f t="shared" si="9"/>
        <v>0</v>
      </c>
      <c r="P51" s="188">
        <f>COUNTIF(O$2:O51, TRUE)/(COUNTIF(O$2:O51,FALSE) + COUNTIF(O$2:O51, TRUE))</f>
        <v>0.42</v>
      </c>
      <c r="Q51" s="345"/>
      <c r="R51" s="345"/>
      <c r="S51" s="345"/>
      <c r="T51" s="345"/>
      <c r="U51" s="188">
        <f>STDEV(D$2:D51)*SQRT(252)</f>
        <v>0.23982354896201158</v>
      </c>
      <c r="V51" s="188">
        <f>STDEV(L$2:L51)*SQRT(252)</f>
        <v>0.33116253966336157</v>
      </c>
      <c r="W51" s="180">
        <f t="shared" si="4"/>
        <v>-0.40047766312825195</v>
      </c>
    </row>
    <row r="52" spans="2:24" ht="20.100000000000001" customHeight="1" x14ac:dyDescent="0.25">
      <c r="B52" s="171">
        <v>42304</v>
      </c>
      <c r="C52" s="203">
        <v>2065.89</v>
      </c>
      <c r="D52" s="175">
        <f t="shared" si="5"/>
        <v>-2.5540995953997063E-3</v>
      </c>
      <c r="E52" s="204">
        <f t="shared" si="13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7"/>
        <v>-1.2088300567590428E-2</v>
      </c>
      <c r="I52" s="225">
        <v>345588.46</v>
      </c>
      <c r="J52" s="173">
        <v>400000</v>
      </c>
      <c r="K52" s="173">
        <f t="shared" si="14"/>
        <v>-1362.2599999999511</v>
      </c>
      <c r="L52" s="175">
        <f t="shared" si="8"/>
        <v>-3.9263789393489401E-3</v>
      </c>
      <c r="M52" s="180">
        <f t="shared" si="11"/>
        <v>-54411.539999999979</v>
      </c>
      <c r="N52" s="188">
        <f t="shared" si="12"/>
        <v>-0.13602884999999995</v>
      </c>
      <c r="O52" s="180" t="b">
        <f t="shared" si="9"/>
        <v>0</v>
      </c>
      <c r="P52" s="188">
        <f>COUNTIF(O$2:O52, TRUE)/(COUNTIF(O$2:O52,FALSE) + COUNTIF(O$2:O52, TRUE))</f>
        <v>0.41176470588235292</v>
      </c>
      <c r="Q52" s="345"/>
      <c r="R52" s="345"/>
      <c r="S52" s="345"/>
      <c r="T52" s="345"/>
      <c r="U52" s="188">
        <f>STDEV(D$2:D52)*SQRT(252)</f>
        <v>0.2374229026669446</v>
      </c>
      <c r="V52" s="188">
        <f>STDEV(L$2:L52)*SQRT(252)</f>
        <v>0.32784098915228843</v>
      </c>
      <c r="W52" s="180">
        <f t="shared" si="4"/>
        <v>-0.41492325395837537</v>
      </c>
    </row>
    <row r="53" spans="2:24" ht="20.100000000000001" customHeight="1" x14ac:dyDescent="0.25">
      <c r="B53" s="171">
        <v>42305</v>
      </c>
      <c r="C53" s="209">
        <v>2090.31</v>
      </c>
      <c r="D53" s="175">
        <f t="shared" si="5"/>
        <v>1.1820571279206576E-2</v>
      </c>
      <c r="E53" s="204">
        <f t="shared" si="13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7"/>
        <v>7.836282577527706E-4</v>
      </c>
      <c r="I53" s="225">
        <v>353348</v>
      </c>
      <c r="J53" s="173">
        <v>400000</v>
      </c>
      <c r="K53" s="173">
        <f t="shared" si="14"/>
        <v>7759.539999999979</v>
      </c>
      <c r="L53" s="175">
        <f t="shared" si="8"/>
        <v>2.2453122421969698E-2</v>
      </c>
      <c r="M53" s="180">
        <f t="shared" si="11"/>
        <v>-46652</v>
      </c>
      <c r="N53" s="188">
        <f t="shared" si="12"/>
        <v>-0.11663</v>
      </c>
      <c r="O53" s="180" t="b">
        <f t="shared" si="9"/>
        <v>1</v>
      </c>
      <c r="P53" s="188">
        <f>COUNTIF(O$2:O53, TRUE)/(COUNTIF(O$2:O53,FALSE) + COUNTIF(O$2:O53, TRUE))</f>
        <v>0.42307692307692307</v>
      </c>
      <c r="Q53" s="345"/>
      <c r="R53" s="345"/>
      <c r="S53" s="345"/>
      <c r="T53" s="345"/>
      <c r="U53" s="188">
        <f>STDEV(D$2:D53)*SQRT(252)</f>
        <v>0.23656092323249167</v>
      </c>
      <c r="V53" s="188">
        <f>STDEV(L$2:L53)*SQRT(252)</f>
        <v>0.32865868284465172</v>
      </c>
      <c r="W53" s="180">
        <f t="shared" si="4"/>
        <v>-0.35486663243011873</v>
      </c>
    </row>
    <row r="54" spans="2:24" ht="20.100000000000001" customHeight="1" x14ac:dyDescent="0.25">
      <c r="B54" s="171">
        <v>42306</v>
      </c>
      <c r="C54" s="209">
        <v>2089.41</v>
      </c>
      <c r="D54" s="175">
        <f t="shared" si="5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7"/>
        <v>-3.4232181786042742E-3</v>
      </c>
      <c r="I54" s="225">
        <v>349127.55</v>
      </c>
      <c r="J54" s="173">
        <v>400000</v>
      </c>
      <c r="K54" s="173">
        <f t="shared" si="14"/>
        <v>-4220.4500000000116</v>
      </c>
      <c r="L54" s="175">
        <f t="shared" si="8"/>
        <v>-1.1944174015418261E-2</v>
      </c>
      <c r="M54" s="180">
        <f t="shared" si="11"/>
        <v>-50872.450000000012</v>
      </c>
      <c r="N54" s="188">
        <f t="shared" si="12"/>
        <v>-0.12718112500000003</v>
      </c>
      <c r="O54" s="180" t="b">
        <f t="shared" si="9"/>
        <v>0</v>
      </c>
      <c r="P54" s="188">
        <f>COUNTIF(O$2:O54, TRUE)/(COUNTIF(O$2:O54,FALSE) + COUNTIF(O$2:O54, TRUE))</f>
        <v>0.41509433962264153</v>
      </c>
      <c r="Q54" s="345"/>
      <c r="R54" s="345"/>
      <c r="S54" s="345"/>
      <c r="T54" s="345"/>
      <c r="U54" s="188">
        <f>STDEV(D$2:D54)*SQRT(252)</f>
        <v>0.23423209631374151</v>
      </c>
      <c r="V54" s="188">
        <f>STDEV(L$2:L54)*SQRT(252)</f>
        <v>0.32641026079746971</v>
      </c>
      <c r="W54" s="180">
        <f t="shared" si="4"/>
        <v>-0.38963580583918311</v>
      </c>
    </row>
    <row r="55" spans="2:24" ht="20.100000000000001" customHeight="1" x14ac:dyDescent="0.25">
      <c r="B55" s="171">
        <v>42307</v>
      </c>
      <c r="C55" s="209">
        <v>2079.36</v>
      </c>
      <c r="D55" s="175">
        <f t="shared" si="5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7"/>
        <v>-7.4533063613331143E-3</v>
      </c>
      <c r="I55" s="511">
        <v>351138.5</v>
      </c>
      <c r="J55" s="173">
        <v>400000</v>
      </c>
      <c r="K55" s="173">
        <f t="shared" si="14"/>
        <v>2010.9500000000116</v>
      </c>
      <c r="L55" s="175">
        <f t="shared" si="8"/>
        <v>5.759929286588846E-3</v>
      </c>
      <c r="M55" s="180">
        <f t="shared" si="11"/>
        <v>-48861.5</v>
      </c>
      <c r="N55" s="188">
        <f t="shared" si="12"/>
        <v>-0.12215375000000001</v>
      </c>
      <c r="O55" s="180" t="b">
        <f t="shared" si="9"/>
        <v>1</v>
      </c>
      <c r="P55" s="188">
        <f>COUNTIF(O$2:O55, TRUE)/(COUNTIF(O$2:O55,FALSE) + COUNTIF(O$2:O55, TRUE))</f>
        <v>0.42592592592592593</v>
      </c>
      <c r="Q55" s="345"/>
      <c r="R55" s="345"/>
      <c r="S55" s="345"/>
      <c r="T55" s="345"/>
      <c r="U55" s="188">
        <f>STDEV(D$2:D55)*SQRT(252)</f>
        <v>0.23220468856265722</v>
      </c>
      <c r="V55" s="188">
        <f>STDEV(L$2:L55)*SQRT(252)</f>
        <v>0.32355647040832186</v>
      </c>
      <c r="W55" s="180">
        <f t="shared" si="4"/>
        <v>-0.37753456095575649</v>
      </c>
    </row>
    <row r="56" spans="2:24" ht="20.100000000000001" customHeight="1" x14ac:dyDescent="0.25">
      <c r="B56" s="176">
        <v>42310</v>
      </c>
      <c r="C56" s="213">
        <v>2104.0500000000002</v>
      </c>
      <c r="D56" s="175">
        <f t="shared" si="5"/>
        <v>1.187384579870732E-2</v>
      </c>
      <c r="E56" s="214">
        <f t="shared" ref="E56:E62" si="15">(C56-$C$2)/$C$2</f>
        <v>7.6577690683212233E-4</v>
      </c>
      <c r="F56" s="224">
        <v>5053.75</v>
      </c>
      <c r="G56" s="175">
        <f t="shared" si="2"/>
        <v>0</v>
      </c>
      <c r="H56" s="208">
        <f t="shared" si="7"/>
        <v>-7.4533063613331143E-3</v>
      </c>
      <c r="I56" s="226">
        <v>356948.81</v>
      </c>
      <c r="J56" s="177">
        <v>400000</v>
      </c>
      <c r="K56" s="177">
        <f t="shared" ref="K56:K87" si="16">I56-I55-J56+J55</f>
        <v>5810.3099999999977</v>
      </c>
      <c r="L56" s="175">
        <f t="shared" si="8"/>
        <v>1.6547060490376297E-2</v>
      </c>
      <c r="M56" s="187">
        <f t="shared" si="11"/>
        <v>-43051.19</v>
      </c>
      <c r="N56" s="189">
        <f t="shared" si="12"/>
        <v>-0.107627975</v>
      </c>
      <c r="O56" s="187" t="b">
        <f t="shared" si="9"/>
        <v>1</v>
      </c>
      <c r="P56" s="189">
        <f>COUNTIF(O$2:O56, TRUE)/(COUNTIF(O$2:O56,FALSE) + COUNTIF(O$2:O56, TRUE))</f>
        <v>0.43636363636363634</v>
      </c>
      <c r="Q56" s="346"/>
      <c r="R56" s="346"/>
      <c r="S56" s="346"/>
      <c r="T56" s="346"/>
      <c r="U56" s="189">
        <f>STDEV(D$2:D56)*SQRT(252)</f>
        <v>0.23145429539624826</v>
      </c>
      <c r="V56" s="189">
        <f>STDEV(L$2:L56)*SQRT(252)</f>
        <v>0.32260027221647702</v>
      </c>
      <c r="W56" s="187">
        <f t="shared" si="4"/>
        <v>-0.33362642337690757</v>
      </c>
    </row>
    <row r="57" spans="2:24" ht="20.100000000000001" customHeight="1" x14ac:dyDescent="0.25">
      <c r="B57" s="176">
        <v>42311</v>
      </c>
      <c r="C57" s="213">
        <v>2109.79</v>
      </c>
      <c r="D57" s="175">
        <f t="shared" si="5"/>
        <v>2.7280720515195844E-3</v>
      </c>
      <c r="E57" s="214">
        <f t="shared" si="15"/>
        <v>3.4959380529289343E-3</v>
      </c>
      <c r="F57" s="224">
        <v>5145.13</v>
      </c>
      <c r="G57" s="175">
        <f t="shared" si="2"/>
        <v>1.8081622557506824E-2</v>
      </c>
      <c r="H57" s="208">
        <f t="shared" si="7"/>
        <v>1.049354832374262E-2</v>
      </c>
      <c r="I57" s="226">
        <v>362269.44</v>
      </c>
      <c r="J57" s="177">
        <v>400000</v>
      </c>
      <c r="K57" s="177">
        <f t="shared" si="16"/>
        <v>5320.6300000000047</v>
      </c>
      <c r="L57" s="175">
        <f t="shared" si="8"/>
        <v>1.4905862832264393E-2</v>
      </c>
      <c r="M57" s="187">
        <f t="shared" si="11"/>
        <v>-37730.559999999998</v>
      </c>
      <c r="N57" s="189">
        <f t="shared" si="12"/>
        <v>-9.4326399999999991E-2</v>
      </c>
      <c r="O57" s="187" t="b">
        <f t="shared" si="9"/>
        <v>1</v>
      </c>
      <c r="P57" s="189">
        <f>COUNTIF(O$2:O57, TRUE)/(COUNTIF(O$2:O57,FALSE) + COUNTIF(O$2:O57, TRUE))</f>
        <v>0.44642857142857145</v>
      </c>
      <c r="Q57" s="346"/>
      <c r="R57" s="346"/>
      <c r="S57" s="346"/>
      <c r="T57" s="346"/>
      <c r="U57" s="189">
        <f>STDEV(D$2:D57)*SQRT(252)</f>
        <v>0.22936919812964679</v>
      </c>
      <c r="V57" s="189">
        <f>STDEV(L$2:L57)*SQRT(252)</f>
        <v>0.32122906847311467</v>
      </c>
      <c r="W57" s="187">
        <f t="shared" si="4"/>
        <v>-0.29364216771650808</v>
      </c>
    </row>
    <row r="58" spans="2:24" ht="20.100000000000001" customHeight="1" x14ac:dyDescent="0.25">
      <c r="B58" s="176">
        <v>42312</v>
      </c>
      <c r="C58" s="213">
        <v>2102.31</v>
      </c>
      <c r="D58" s="175">
        <f t="shared" si="5"/>
        <v>-3.5453765540646312E-3</v>
      </c>
      <c r="E58" s="214">
        <f t="shared" si="15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7"/>
        <v>9.9730934658365071E-3</v>
      </c>
      <c r="I58" s="226">
        <v>361654.42</v>
      </c>
      <c r="J58" s="177">
        <v>400000</v>
      </c>
      <c r="K58" s="177">
        <f t="shared" si="16"/>
        <v>-615.02000000001863</v>
      </c>
      <c r="L58" s="175">
        <f t="shared" si="8"/>
        <v>-1.697686672107972E-3</v>
      </c>
      <c r="M58" s="187">
        <f t="shared" si="11"/>
        <v>-38345.580000000016</v>
      </c>
      <c r="N58" s="189">
        <f t="shared" si="12"/>
        <v>-9.5863950000000045E-2</v>
      </c>
      <c r="O58" s="187" t="b">
        <f t="shared" si="9"/>
        <v>1</v>
      </c>
      <c r="P58" s="189">
        <f>COUNTIF(O$2:O58, TRUE)/(COUNTIF(O$2:O58,FALSE) + COUNTIF(O$2:O58, TRUE))</f>
        <v>0.45614035087719296</v>
      </c>
      <c r="Q58" s="346"/>
      <c r="R58" s="346"/>
      <c r="S58" s="346"/>
      <c r="T58" s="346"/>
      <c r="U58" s="189">
        <f>STDEV(D$2:D58)*SQRT(252)</f>
        <v>0.22741079678230972</v>
      </c>
      <c r="V58" s="189">
        <f>STDEV(L$2:L58)*SQRT(252)</f>
        <v>0.31831780697519846</v>
      </c>
      <c r="W58" s="187">
        <f t="shared" si="4"/>
        <v>-0.3011579870788354</v>
      </c>
    </row>
    <row r="59" spans="2:24" ht="20.100000000000001" customHeight="1" x14ac:dyDescent="0.25">
      <c r="B59" s="176">
        <v>42313</v>
      </c>
      <c r="C59" s="213">
        <v>2099.9299999999998</v>
      </c>
      <c r="D59" s="175">
        <f t="shared" si="5"/>
        <v>-1.1320880364932427E-3</v>
      </c>
      <c r="E59" s="214">
        <f t="shared" si="15"/>
        <v>-1.1938509541295915E-3</v>
      </c>
      <c r="F59" s="224">
        <v>5127.74</v>
      </c>
      <c r="G59" s="175">
        <f t="shared" si="2"/>
        <v>-2.8663213080069895E-3</v>
      </c>
      <c r="H59" s="208">
        <f t="shared" si="7"/>
        <v>7.0781860675216456E-3</v>
      </c>
      <c r="I59" s="226">
        <v>351667.44</v>
      </c>
      <c r="J59" s="177">
        <v>400000</v>
      </c>
      <c r="K59" s="177">
        <f t="shared" si="16"/>
        <v>-9986.9799999999814</v>
      </c>
      <c r="L59" s="175">
        <f t="shared" si="8"/>
        <v>-2.7614704667510995E-2</v>
      </c>
      <c r="M59" s="187">
        <f t="shared" si="11"/>
        <v>-48332.56</v>
      </c>
      <c r="N59" s="189">
        <f t="shared" si="12"/>
        <v>-0.12083139999999999</v>
      </c>
      <c r="O59" s="187" t="b">
        <f t="shared" ref="O59:O90" si="17">L59&gt;D59</f>
        <v>0</v>
      </c>
      <c r="P59" s="189">
        <f>COUNTIF(O$2:O59, TRUE)/(COUNTIF(O$2:O59,FALSE) + COUNTIF(O$2:O59, TRUE))</f>
        <v>0.44827586206896552</v>
      </c>
      <c r="Q59" s="346"/>
      <c r="R59" s="346"/>
      <c r="S59" s="346"/>
      <c r="T59" s="346"/>
      <c r="U59" s="189">
        <f>STDEV(D$2:D59)*SQRT(252)</f>
        <v>0.2253860839795564</v>
      </c>
      <c r="V59" s="189">
        <f>STDEV(L$2:L59)*SQRT(252)</f>
        <v>0.32078118980306136</v>
      </c>
      <c r="W59" s="187">
        <f t="shared" si="4"/>
        <v>-0.37667857044293201</v>
      </c>
    </row>
    <row r="60" spans="2:24" ht="20.100000000000001" customHeight="1" x14ac:dyDescent="0.25">
      <c r="B60" s="176">
        <v>42314</v>
      </c>
      <c r="C60" s="220">
        <v>2099.1999999999998</v>
      </c>
      <c r="D60" s="175">
        <f t="shared" si="5"/>
        <v>-3.4763063530689989E-4</v>
      </c>
      <c r="E60" s="214">
        <f t="shared" si="15"/>
        <v>-1.5410665702708455E-3</v>
      </c>
      <c r="F60" s="224">
        <v>5147.12</v>
      </c>
      <c r="G60" s="175">
        <f t="shared" si="2"/>
        <v>3.7794427954615699E-3</v>
      </c>
      <c r="H60" s="208">
        <f t="shared" si="7"/>
        <v>1.0884380462321047E-2</v>
      </c>
      <c r="I60" s="226">
        <v>351454.25</v>
      </c>
      <c r="J60" s="177">
        <v>400000</v>
      </c>
      <c r="K60" s="177">
        <f t="shared" si="16"/>
        <v>-213.19000000000233</v>
      </c>
      <c r="L60" s="175">
        <f t="shared" si="8"/>
        <v>-6.0622615502874632E-4</v>
      </c>
      <c r="M60" s="187">
        <f t="shared" si="11"/>
        <v>-48545.75</v>
      </c>
      <c r="N60" s="189">
        <f t="shared" si="12"/>
        <v>-0.121364375</v>
      </c>
      <c r="O60" s="187" t="b">
        <f t="shared" si="17"/>
        <v>0</v>
      </c>
      <c r="P60" s="189">
        <f>COUNTIF(O$2:O60, TRUE)/(COUNTIF(O$2:O60,FALSE) + COUNTIF(O$2:O60, TRUE))</f>
        <v>0.44067796610169491</v>
      </c>
      <c r="Q60" s="346"/>
      <c r="R60" s="346"/>
      <c r="S60" s="346"/>
      <c r="T60" s="346"/>
      <c r="U60" s="189">
        <f>STDEV(D$2:D60)*SQRT(252)</f>
        <v>0.22340202899589548</v>
      </c>
      <c r="V60" s="189">
        <f>STDEV(L$2:L60)*SQRT(252)</f>
        <v>0.31795506965896425</v>
      </c>
      <c r="W60" s="187">
        <f t="shared" si="4"/>
        <v>-0.38170290893670711</v>
      </c>
      <c r="X60" s="218"/>
    </row>
    <row r="61" spans="2:24" ht="20.100000000000001" customHeight="1" x14ac:dyDescent="0.25">
      <c r="B61" s="171">
        <v>42317</v>
      </c>
      <c r="C61" s="203">
        <v>2078.58</v>
      </c>
      <c r="D61" s="175">
        <f t="shared" si="5"/>
        <v>-9.8227896341462895E-3</v>
      </c>
      <c r="E61" s="204">
        <f t="shared" si="15"/>
        <v>-1.1348718631685149E-2</v>
      </c>
      <c r="F61" s="221">
        <v>5095.3</v>
      </c>
      <c r="G61" s="175">
        <f t="shared" si="2"/>
        <v>-1.0067766051694873E-2</v>
      </c>
      <c r="H61" s="206">
        <f t="shared" si="7"/>
        <v>7.0703301451388806E-4</v>
      </c>
      <c r="I61" s="225">
        <v>347015.14</v>
      </c>
      <c r="J61" s="173">
        <v>400000</v>
      </c>
      <c r="K61" s="173">
        <f t="shared" si="16"/>
        <v>-4439.109999999986</v>
      </c>
      <c r="L61" s="175">
        <f t="shared" si="8"/>
        <v>-1.2630690907849275E-2</v>
      </c>
      <c r="M61" s="180">
        <f t="shared" si="11"/>
        <v>-52984.859999999986</v>
      </c>
      <c r="N61" s="188">
        <f t="shared" si="12"/>
        <v>-0.13246214999999997</v>
      </c>
      <c r="O61" s="180" t="b">
        <f t="shared" si="17"/>
        <v>0</v>
      </c>
      <c r="P61" s="188">
        <f>COUNTIF(O$2:O61, TRUE)/(COUNTIF(O$2:O61,FALSE) + COUNTIF(O$2:O61, TRUE))</f>
        <v>0.43333333333333335</v>
      </c>
      <c r="Q61" s="345"/>
      <c r="R61" s="345"/>
      <c r="S61" s="345"/>
      <c r="T61" s="345"/>
      <c r="U61" s="188">
        <f>STDEV(D$2:D61)*SQRT(252)</f>
        <v>0.2224096817728117</v>
      </c>
      <c r="V61" s="188">
        <f>STDEV(L$2:L61)*SQRT(252)</f>
        <v>0.31620783635013966</v>
      </c>
      <c r="W61" s="180">
        <f t="shared" si="4"/>
        <v>-0.41890849869173857</v>
      </c>
    </row>
    <row r="62" spans="2:24" ht="20.100000000000001" customHeight="1" x14ac:dyDescent="0.25">
      <c r="B62" s="171">
        <v>42318</v>
      </c>
      <c r="C62" s="203">
        <v>2081.7199999999998</v>
      </c>
      <c r="D62" s="175">
        <f t="shared" si="5"/>
        <v>1.5106466914912454E-3</v>
      </c>
      <c r="E62" s="204">
        <f t="shared" si="15"/>
        <v>-9.8552158444475246E-3</v>
      </c>
      <c r="F62" s="221">
        <v>5083.24</v>
      </c>
      <c r="G62" s="175">
        <f t="shared" si="2"/>
        <v>-2.3668871312779228E-3</v>
      </c>
      <c r="H62" s="206">
        <f t="shared" si="7"/>
        <v>-1.6615275841074762E-3</v>
      </c>
      <c r="I62" s="225">
        <v>346488.34</v>
      </c>
      <c r="J62" s="173">
        <v>400000</v>
      </c>
      <c r="K62" s="173">
        <f t="shared" si="16"/>
        <v>-526.79999999998836</v>
      </c>
      <c r="L62" s="175">
        <f t="shared" si="8"/>
        <v>-1.5180893836504894E-3</v>
      </c>
      <c r="M62" s="180">
        <f t="shared" ref="M62:M93" si="18">I62-J62</f>
        <v>-53511.659999999974</v>
      </c>
      <c r="N62" s="188">
        <f t="shared" ref="N62:N93" si="19">M62/J62</f>
        <v>-0.13377914999999993</v>
      </c>
      <c r="O62" s="180" t="b">
        <f t="shared" si="17"/>
        <v>0</v>
      </c>
      <c r="P62" s="188">
        <f>COUNTIF(O$2:O62, TRUE)/(COUNTIF(O$2:O62,FALSE) + COUNTIF(O$2:O62, TRUE))</f>
        <v>0.42622950819672129</v>
      </c>
      <c r="Q62" s="345"/>
      <c r="R62" s="345"/>
      <c r="S62" s="345"/>
      <c r="T62" s="345"/>
      <c r="U62" s="188">
        <f>STDEV(D$2:D62)*SQRT(252)</f>
        <v>0.22054140197015909</v>
      </c>
      <c r="V62" s="188">
        <f>STDEV(L$2:L62)*SQRT(252)</f>
        <v>0.31352177036879675</v>
      </c>
      <c r="W62" s="180">
        <f t="shared" si="4"/>
        <v>-0.42669812001455287</v>
      </c>
    </row>
    <row r="63" spans="2:24" ht="20.100000000000001" customHeight="1" x14ac:dyDescent="0.25">
      <c r="B63" s="171">
        <v>42319</v>
      </c>
      <c r="C63" s="203">
        <v>2075</v>
      </c>
      <c r="D63" s="175">
        <f t="shared" si="5"/>
        <v>-3.2280998405164003E-3</v>
      </c>
      <c r="E63" s="204">
        <f t="shared" ref="E63:E84" si="20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7"/>
        <v>-4.8471041106112655E-3</v>
      </c>
      <c r="I63" s="225">
        <v>341384.62</v>
      </c>
      <c r="J63" s="173">
        <v>400000</v>
      </c>
      <c r="K63" s="173">
        <f t="shared" si="16"/>
        <v>-5103.7200000000303</v>
      </c>
      <c r="L63" s="175">
        <f t="shared" si="8"/>
        <v>-1.472984632036977E-2</v>
      </c>
      <c r="M63" s="180">
        <f t="shared" si="18"/>
        <v>-58615.380000000005</v>
      </c>
      <c r="N63" s="188">
        <f t="shared" si="19"/>
        <v>-0.14653845000000001</v>
      </c>
      <c r="O63" s="180" t="b">
        <f t="shared" si="17"/>
        <v>0</v>
      </c>
      <c r="P63" s="188">
        <f>COUNTIF(O$2:O63, TRUE)/(COUNTIF(O$2:O63,FALSE) + COUNTIF(O$2:O63, TRUE))</f>
        <v>0.41935483870967744</v>
      </c>
      <c r="Q63" s="345"/>
      <c r="R63" s="345"/>
      <c r="S63" s="345"/>
      <c r="T63" s="345"/>
      <c r="U63" s="188">
        <f>STDEV(D$2:D63)*SQRT(252)</f>
        <v>0.21879001839109452</v>
      </c>
      <c r="V63" s="188">
        <f>STDEV(L$2:L63)*SQRT(252)</f>
        <v>0.31221077177668255</v>
      </c>
      <c r="W63" s="180">
        <f t="shared" si="4"/>
        <v>-0.46935744454331552</v>
      </c>
    </row>
    <row r="64" spans="2:24" ht="20.100000000000001" customHeight="1" x14ac:dyDescent="0.25">
      <c r="B64" s="171">
        <v>42320</v>
      </c>
      <c r="C64" s="209">
        <v>2045.97</v>
      </c>
      <c r="D64" s="175">
        <f t="shared" si="5"/>
        <v>-1.3990361445783119E-2</v>
      </c>
      <c r="E64" s="204">
        <f t="shared" si="20"/>
        <v>-2.6859268278761832E-2</v>
      </c>
      <c r="F64" s="221">
        <v>5005.08</v>
      </c>
      <c r="G64" s="175">
        <f t="shared" si="2"/>
        <v>-1.222414752655417E-2</v>
      </c>
      <c r="H64" s="206">
        <f t="shared" si="7"/>
        <v>-1.7011999921440757E-2</v>
      </c>
      <c r="I64" s="225">
        <v>335500.62</v>
      </c>
      <c r="J64" s="173">
        <v>400000</v>
      </c>
      <c r="K64" s="173">
        <f t="shared" si="16"/>
        <v>-5884</v>
      </c>
      <c r="L64" s="175">
        <f t="shared" si="8"/>
        <v>-1.7235691520022196E-2</v>
      </c>
      <c r="M64" s="180">
        <f t="shared" si="18"/>
        <v>-64499.380000000005</v>
      </c>
      <c r="N64" s="188">
        <f t="shared" si="19"/>
        <v>-0.16124845000000002</v>
      </c>
      <c r="O64" s="180" t="b">
        <f t="shared" si="17"/>
        <v>0</v>
      </c>
      <c r="P64" s="188">
        <f>COUNTIF(O$2:O64, TRUE)/(COUNTIF(O$2:O64,FALSE) + COUNTIF(O$2:O64, TRUE))</f>
        <v>0.41269841269841268</v>
      </c>
      <c r="Q64" s="345"/>
      <c r="R64" s="345"/>
      <c r="S64" s="345"/>
      <c r="T64" s="345"/>
      <c r="U64" s="188">
        <f>STDEV(D$2:D64)*SQRT(252)</f>
        <v>0.21878322617502383</v>
      </c>
      <c r="V64" s="188">
        <f>STDEV(L$2:L64)*SQRT(252)</f>
        <v>0.311389828072407</v>
      </c>
      <c r="W64" s="180">
        <f t="shared" si="4"/>
        <v>-0.51783467365705071</v>
      </c>
    </row>
    <row r="65" spans="2:23" ht="20.100000000000001" customHeight="1" x14ac:dyDescent="0.25">
      <c r="B65" s="171">
        <v>42321</v>
      </c>
      <c r="C65" s="209">
        <v>2023.04</v>
      </c>
      <c r="D65" s="175">
        <f t="shared" si="5"/>
        <v>-1.1207397957936852E-2</v>
      </c>
      <c r="E65" s="204">
        <f t="shared" si="20"/>
        <v>-3.7765643728239609E-2</v>
      </c>
      <c r="F65" s="221">
        <v>4927.88</v>
      </c>
      <c r="G65" s="175">
        <f t="shared" si="2"/>
        <v>-1.5424328881855999E-2</v>
      </c>
      <c r="H65" s="206">
        <f t="shared" si="7"/>
        <v>-3.217393012157034E-2</v>
      </c>
      <c r="I65" s="225">
        <v>335955</v>
      </c>
      <c r="J65" s="173">
        <v>400000</v>
      </c>
      <c r="K65" s="173">
        <f t="shared" si="16"/>
        <v>454.38000000000466</v>
      </c>
      <c r="L65" s="175">
        <f t="shared" si="8"/>
        <v>1.3543343079366133E-3</v>
      </c>
      <c r="M65" s="180">
        <f t="shared" si="18"/>
        <v>-64045</v>
      </c>
      <c r="N65" s="188">
        <f t="shared" si="19"/>
        <v>-0.16011249999999999</v>
      </c>
      <c r="O65" s="180" t="b">
        <f t="shared" si="17"/>
        <v>1</v>
      </c>
      <c r="P65" s="188">
        <f>COUNTIF(O$2:O65, TRUE)/(COUNTIF(O$2:O65,FALSE) + COUNTIF(O$2:O65, TRUE))</f>
        <v>0.421875</v>
      </c>
      <c r="Q65" s="345"/>
      <c r="R65" s="345"/>
      <c r="S65" s="345"/>
      <c r="T65" s="345"/>
      <c r="U65" s="188">
        <f>STDEV(D$2:D65)*SQRT(252)</f>
        <v>0.21809630494176296</v>
      </c>
      <c r="V65" s="188">
        <f>STDEV(L$2:L65)*SQRT(252)</f>
        <v>0.30890912442956392</v>
      </c>
      <c r="W65" s="180">
        <f t="shared" si="4"/>
        <v>-0.51831586488636772</v>
      </c>
    </row>
    <row r="66" spans="2:23" ht="20.100000000000001" customHeight="1" x14ac:dyDescent="0.25">
      <c r="B66" s="176">
        <v>42324</v>
      </c>
      <c r="C66" s="213">
        <v>2053.19</v>
      </c>
      <c r="D66" s="175">
        <f t="shared" si="5"/>
        <v>1.4903313824739053E-2</v>
      </c>
      <c r="E66" s="214">
        <f t="shared" si="20"/>
        <v>-2.3425163143775803E-2</v>
      </c>
      <c r="F66" s="224">
        <v>4984.62</v>
      </c>
      <c r="G66" s="175">
        <f t="shared" si="2"/>
        <v>1.1514079076600847E-2</v>
      </c>
      <c r="H66" s="208">
        <f t="shared" si="7"/>
        <v>-2.1030304220594286E-2</v>
      </c>
      <c r="I66" s="226">
        <v>342834.39</v>
      </c>
      <c r="J66" s="177">
        <v>400000</v>
      </c>
      <c r="K66" s="177">
        <f t="shared" si="16"/>
        <v>6879.390000000014</v>
      </c>
      <c r="L66" s="175">
        <f t="shared" si="8"/>
        <v>2.047711747108992E-2</v>
      </c>
      <c r="M66" s="187">
        <f t="shared" si="18"/>
        <v>-57165.609999999986</v>
      </c>
      <c r="N66" s="189">
        <f t="shared" si="19"/>
        <v>-0.14291402499999997</v>
      </c>
      <c r="O66" s="187" t="b">
        <f t="shared" si="17"/>
        <v>1</v>
      </c>
      <c r="P66" s="189">
        <f>COUNTIF(O$2:O66, TRUE)/(COUNTIF(O$2:O66,FALSE) + COUNTIF(O$2:O66, TRUE))</f>
        <v>0.43076923076923079</v>
      </c>
      <c r="Q66" s="346"/>
      <c r="R66" s="346"/>
      <c r="S66" s="346"/>
      <c r="T66" s="346"/>
      <c r="U66" s="189">
        <f>STDEV(D$2:D66)*SQRT(252)</f>
        <v>0.2185117014996438</v>
      </c>
      <c r="V66" s="189">
        <f>STDEV(L$2:L66)*SQRT(252)</f>
        <v>0.30942792293284299</v>
      </c>
      <c r="W66" s="187">
        <f t="shared" si="4"/>
        <v>-0.46186531469242181</v>
      </c>
    </row>
    <row r="67" spans="2:23" ht="20.100000000000001" customHeight="1" x14ac:dyDescent="0.25">
      <c r="B67" s="176">
        <v>42325</v>
      </c>
      <c r="C67" s="213">
        <v>2050.44</v>
      </c>
      <c r="D67" s="175">
        <f t="shared" si="5"/>
        <v>-1.3393792099123801E-3</v>
      </c>
      <c r="E67" s="214">
        <f t="shared" si="20"/>
        <v>-2.4733167177184604E-2</v>
      </c>
      <c r="F67" s="224">
        <v>4986.01</v>
      </c>
      <c r="G67" s="175">
        <f t="shared" ref="G67:G131" si="21">(F67-F66)/F66</f>
        <v>2.7885776648978807E-4</v>
      </c>
      <c r="H67" s="208">
        <f t="shared" ref="H67:H84" si="22">(F67-F$2)/F$2</f>
        <v>-2.0757310917768054E-2</v>
      </c>
      <c r="I67" s="226">
        <v>341363.07</v>
      </c>
      <c r="J67" s="177">
        <v>400000</v>
      </c>
      <c r="K67" s="177">
        <f t="shared" si="16"/>
        <v>-1471.320000000007</v>
      </c>
      <c r="L67" s="175">
        <f t="shared" si="8"/>
        <v>-4.2916348036146747E-3</v>
      </c>
      <c r="M67" s="187">
        <f t="shared" si="18"/>
        <v>-58636.929999999993</v>
      </c>
      <c r="N67" s="189">
        <f t="shared" si="19"/>
        <v>-0.146592325</v>
      </c>
      <c r="O67" s="187" t="b">
        <f t="shared" si="17"/>
        <v>0</v>
      </c>
      <c r="P67" s="189">
        <f>COUNTIF(O$2:O67, TRUE)/(COUNTIF(O$2:O67,FALSE) + COUNTIF(O$2:O67, TRUE))</f>
        <v>0.42424242424242425</v>
      </c>
      <c r="Q67" s="346"/>
      <c r="R67" s="346"/>
      <c r="S67" s="346"/>
      <c r="T67" s="346"/>
      <c r="U67" s="189">
        <f>STDEV(D$2:D67)*SQRT(252)</f>
        <v>0.21680795188349017</v>
      </c>
      <c r="V67" s="189">
        <f>STDEV(L$2:L67)*SQRT(252)</f>
        <v>0.30707902780871166</v>
      </c>
      <c r="W67" s="187">
        <f t="shared" ref="W67:W130" si="23">N67/V67</f>
        <v>-0.4773765439016453</v>
      </c>
    </row>
    <row r="68" spans="2:23" ht="20.100000000000001" customHeight="1" x14ac:dyDescent="0.25">
      <c r="B68" s="176">
        <v>42326</v>
      </c>
      <c r="C68" s="213">
        <v>2083.58</v>
      </c>
      <c r="D68" s="175">
        <f t="shared" ref="D68:D132" si="24">(C68-C67)/C67</f>
        <v>1.6162384658902417E-2</v>
      </c>
      <c r="E68" s="214">
        <f t="shared" si="20"/>
        <v>-8.970529480032784E-3</v>
      </c>
      <c r="F68" s="224">
        <v>5075.2</v>
      </c>
      <c r="G68" s="175">
        <f t="shared" si="21"/>
        <v>1.7888050766043308E-2</v>
      </c>
      <c r="H68" s="208">
        <f t="shared" si="22"/>
        <v>-3.2405679831883261E-3</v>
      </c>
      <c r="I68" s="226">
        <v>349578.29</v>
      </c>
      <c r="J68" s="177">
        <v>400000</v>
      </c>
      <c r="K68" s="177">
        <f t="shared" si="16"/>
        <v>8215.2199999999721</v>
      </c>
      <c r="L68" s="175">
        <f t="shared" ref="L68:L131" si="25">K68/I67</f>
        <v>2.4065930740545461E-2</v>
      </c>
      <c r="M68" s="187">
        <f t="shared" si="18"/>
        <v>-50421.710000000021</v>
      </c>
      <c r="N68" s="189">
        <f t="shared" si="19"/>
        <v>-0.12605427500000005</v>
      </c>
      <c r="O68" s="187" t="b">
        <f t="shared" si="17"/>
        <v>1</v>
      </c>
      <c r="P68" s="189">
        <f>COUNTIF(O$2:O68, TRUE)/(COUNTIF(O$2:O68,FALSE) + COUNTIF(O$2:O68, TRUE))</f>
        <v>0.43283582089552236</v>
      </c>
      <c r="Q68" s="346"/>
      <c r="R68" s="346"/>
      <c r="S68" s="346"/>
      <c r="T68" s="346"/>
      <c r="U68" s="189">
        <f>STDEV(D$2:D68)*SQRT(252)</f>
        <v>0.21752341302178005</v>
      </c>
      <c r="V68" s="189">
        <f>STDEV(L$2:L68)*SQRT(252)</f>
        <v>0.30856663188820815</v>
      </c>
      <c r="W68" s="187">
        <f t="shared" si="23"/>
        <v>-0.40851557483269535</v>
      </c>
    </row>
    <row r="69" spans="2:23" ht="20.100000000000001" customHeight="1" x14ac:dyDescent="0.25">
      <c r="B69" s="176">
        <v>42327</v>
      </c>
      <c r="C69" s="213">
        <v>2081.2399999999998</v>
      </c>
      <c r="D69" s="175">
        <f t="shared" si="24"/>
        <v>-1.1230670288638524E-3</v>
      </c>
      <c r="E69" s="214">
        <f t="shared" si="20"/>
        <v>-1.0083522003006161E-2</v>
      </c>
      <c r="F69" s="224">
        <v>5073.63</v>
      </c>
      <c r="G69" s="175">
        <f t="shared" si="21"/>
        <v>-3.0934741488014442E-4</v>
      </c>
      <c r="H69" s="208">
        <f t="shared" si="22"/>
        <v>-3.5489129367401282E-3</v>
      </c>
      <c r="I69" s="226">
        <v>351509.95</v>
      </c>
      <c r="J69" s="177">
        <v>400000</v>
      </c>
      <c r="K69" s="177">
        <f t="shared" si="16"/>
        <v>1931.6600000000326</v>
      </c>
      <c r="L69" s="175">
        <f t="shared" si="25"/>
        <v>5.5256863920240375E-3</v>
      </c>
      <c r="M69" s="187">
        <f t="shared" si="18"/>
        <v>-48490.049999999988</v>
      </c>
      <c r="N69" s="189">
        <f t="shared" si="19"/>
        <v>-0.12122512499999998</v>
      </c>
      <c r="O69" s="187" t="b">
        <f t="shared" si="17"/>
        <v>1</v>
      </c>
      <c r="P69" s="189">
        <f>COUNTIF(O$2:O69, TRUE)/(COUNTIF(O$2:O69,FALSE) + COUNTIF(O$2:O69, TRUE))</f>
        <v>0.44117647058823528</v>
      </c>
      <c r="Q69" s="346"/>
      <c r="R69" s="346"/>
      <c r="S69" s="346"/>
      <c r="T69" s="346"/>
      <c r="U69" s="189">
        <f>STDEV(D$2:D69)*SQRT(252)</f>
        <v>0.21587936448621181</v>
      </c>
      <c r="V69" s="189">
        <f>STDEV(L$2:L69)*SQRT(252)</f>
        <v>0.30643952094821814</v>
      </c>
      <c r="W69" s="187">
        <f t="shared" si="23"/>
        <v>-0.39559233295004559</v>
      </c>
    </row>
    <row r="70" spans="2:23" ht="20.100000000000001" customHeight="1" x14ac:dyDescent="0.25">
      <c r="B70" s="176">
        <v>42328</v>
      </c>
      <c r="C70" s="220">
        <v>2089.17</v>
      </c>
      <c r="D70" s="175">
        <f t="shared" si="24"/>
        <v>3.8102285176146392E-3</v>
      </c>
      <c r="E70" s="214">
        <f t="shared" si="20"/>
        <v>-6.3117140084853699E-3</v>
      </c>
      <c r="F70" s="224">
        <v>5104.92</v>
      </c>
      <c r="G70" s="175">
        <f t="shared" si="21"/>
        <v>6.1671820767379495E-3</v>
      </c>
      <c r="H70" s="208">
        <f t="shared" si="22"/>
        <v>2.5963823477424546E-3</v>
      </c>
      <c r="I70" s="226">
        <v>349809.33</v>
      </c>
      <c r="J70" s="177">
        <v>400000</v>
      </c>
      <c r="K70" s="177">
        <f t="shared" si="16"/>
        <v>-1700.6199999999953</v>
      </c>
      <c r="L70" s="175">
        <f t="shared" si="25"/>
        <v>-4.8380422801687275E-3</v>
      </c>
      <c r="M70" s="187">
        <f t="shared" si="18"/>
        <v>-50190.669999999984</v>
      </c>
      <c r="N70" s="189">
        <f t="shared" si="19"/>
        <v>-0.12547667499999995</v>
      </c>
      <c r="O70" s="187" t="b">
        <f t="shared" si="17"/>
        <v>0</v>
      </c>
      <c r="P70" s="189">
        <f>COUNTIF(O$2:O70, TRUE)/(COUNTIF(O$2:O70,FALSE) + COUNTIF(O$2:O70, TRUE))</f>
        <v>0.43478260869565216</v>
      </c>
      <c r="Q70" s="346"/>
      <c r="R70" s="346"/>
      <c r="S70" s="346"/>
      <c r="T70" s="346"/>
      <c r="U70" s="189">
        <f>STDEV(D$2:D70)*SQRT(252)</f>
        <v>0.21439176321013317</v>
      </c>
      <c r="V70" s="189">
        <f>STDEV(L$2:L70)*SQRT(252)</f>
        <v>0.30426600271918647</v>
      </c>
      <c r="W70" s="187">
        <f t="shared" si="23"/>
        <v>-0.41239137425355088</v>
      </c>
    </row>
    <row r="71" spans="2:23" ht="20.100000000000001" customHeight="1" x14ac:dyDescent="0.25">
      <c r="B71" s="171">
        <v>42331</v>
      </c>
      <c r="C71" s="203">
        <v>2086.59</v>
      </c>
      <c r="D71" s="175">
        <f t="shared" si="24"/>
        <v>-1.2349401915592924E-3</v>
      </c>
      <c r="E71" s="204">
        <f t="shared" si="20"/>
        <v>-7.5388596107379561E-3</v>
      </c>
      <c r="F71" s="221">
        <v>5102.47</v>
      </c>
      <c r="G71" s="175">
        <f t="shared" si="21"/>
        <v>-4.7992916637279687E-4</v>
      </c>
      <c r="H71" s="206">
        <f t="shared" si="22"/>
        <v>2.1152071017539204E-3</v>
      </c>
      <c r="I71" s="225">
        <v>352380.62</v>
      </c>
      <c r="J71" s="173">
        <v>400000</v>
      </c>
      <c r="K71" s="173">
        <f t="shared" si="16"/>
        <v>2571.289999999979</v>
      </c>
      <c r="L71" s="175">
        <f t="shared" si="25"/>
        <v>7.3505472252554807E-3</v>
      </c>
      <c r="M71" s="180">
        <f t="shared" si="18"/>
        <v>-47619.380000000005</v>
      </c>
      <c r="N71" s="188">
        <f t="shared" si="19"/>
        <v>-0.11904845000000001</v>
      </c>
      <c r="O71" s="180" t="b">
        <f t="shared" si="17"/>
        <v>1</v>
      </c>
      <c r="P71" s="188">
        <f>COUNTIF(O$2:O71, TRUE)/(COUNTIF(O$2:O71,FALSE) + COUNTIF(O$2:O71, TRUE))</f>
        <v>0.44285714285714284</v>
      </c>
      <c r="Q71" s="345"/>
      <c r="R71" s="345"/>
      <c r="S71" s="345"/>
      <c r="T71" s="345"/>
      <c r="U71" s="188">
        <f>STDEV(D$2:D71)*SQRT(252)</f>
        <v>0.21282253565490999</v>
      </c>
      <c r="V71" s="188">
        <f>STDEV(L$2:L71)*SQRT(252)</f>
        <v>0.30238621984250691</v>
      </c>
      <c r="W71" s="180">
        <f t="shared" si="23"/>
        <v>-0.39369667725600893</v>
      </c>
    </row>
    <row r="72" spans="2:23" ht="20.100000000000001" customHeight="1" x14ac:dyDescent="0.25">
      <c r="B72" s="171">
        <v>42332</v>
      </c>
      <c r="C72" s="203">
        <v>2089.14</v>
      </c>
      <c r="D72" s="175">
        <f t="shared" si="24"/>
        <v>1.2220896294910485E-3</v>
      </c>
      <c r="E72" s="204">
        <f t="shared" si="20"/>
        <v>-6.3259831433953792E-3</v>
      </c>
      <c r="F72" s="221">
        <v>5102.8</v>
      </c>
      <c r="G72" s="175">
        <f t="shared" si="21"/>
        <v>6.4674559576034202E-5</v>
      </c>
      <c r="H72" s="206">
        <f t="shared" si="22"/>
        <v>2.1800184614176729E-3</v>
      </c>
      <c r="I72" s="225">
        <v>356994.69</v>
      </c>
      <c r="J72" s="173">
        <v>400000</v>
      </c>
      <c r="K72" s="173">
        <f t="shared" si="16"/>
        <v>4614.070000000007</v>
      </c>
      <c r="L72" s="175">
        <f t="shared" si="25"/>
        <v>1.309399478325456E-2</v>
      </c>
      <c r="M72" s="180">
        <f t="shared" si="18"/>
        <v>-43005.31</v>
      </c>
      <c r="N72" s="188">
        <f t="shared" si="19"/>
        <v>-0.10751327499999999</v>
      </c>
      <c r="O72" s="180" t="b">
        <f t="shared" si="17"/>
        <v>1</v>
      </c>
      <c r="P72" s="188">
        <f>COUNTIF(O$2:O72, TRUE)/(COUNTIF(O$2:O72,FALSE) + COUNTIF(O$2:O72, TRUE))</f>
        <v>0.45070422535211269</v>
      </c>
      <c r="Q72" s="345"/>
      <c r="R72" s="345"/>
      <c r="S72" s="345"/>
      <c r="T72" s="345"/>
      <c r="U72" s="188">
        <f>STDEV(D$2:D72)*SQRT(252)</f>
        <v>0.21128787806615651</v>
      </c>
      <c r="V72" s="188">
        <f>STDEV(L$2:L72)*SQRT(252)</f>
        <v>0.30126350583982381</v>
      </c>
      <c r="W72" s="180">
        <f t="shared" si="23"/>
        <v>-0.3568745397829991</v>
      </c>
    </row>
    <row r="73" spans="2:23" ht="20.100000000000001" customHeight="1" x14ac:dyDescent="0.25">
      <c r="B73" s="171">
        <v>42333</v>
      </c>
      <c r="C73" s="203">
        <v>2088.87</v>
      </c>
      <c r="D73" s="175">
        <f t="shared" si="24"/>
        <v>-1.2923978287715607E-4</v>
      </c>
      <c r="E73" s="204">
        <f t="shared" si="20"/>
        <v>-6.4544053575845989E-3</v>
      </c>
      <c r="F73" s="221">
        <v>5116.1400000000003</v>
      </c>
      <c r="G73" s="175">
        <f t="shared" si="21"/>
        <v>2.6142509994513102E-3</v>
      </c>
      <c r="H73" s="206">
        <f t="shared" si="22"/>
        <v>4.7999685763105661E-3</v>
      </c>
      <c r="I73" s="225">
        <v>357953.42</v>
      </c>
      <c r="J73" s="173">
        <v>400000</v>
      </c>
      <c r="K73" s="173">
        <f t="shared" si="16"/>
        <v>958.72999999998137</v>
      </c>
      <c r="L73" s="175">
        <f t="shared" si="25"/>
        <v>2.6855581521394098E-3</v>
      </c>
      <c r="M73" s="180">
        <f t="shared" si="18"/>
        <v>-42046.580000000016</v>
      </c>
      <c r="N73" s="188">
        <f t="shared" si="19"/>
        <v>-0.10511645000000004</v>
      </c>
      <c r="O73" s="180" t="b">
        <f t="shared" si="17"/>
        <v>1</v>
      </c>
      <c r="P73" s="188">
        <f>COUNTIF(O$2:O73, TRUE)/(COUNTIF(O$2:O73,FALSE) + COUNTIF(O$2:O73, TRUE))</f>
        <v>0.45833333333333331</v>
      </c>
      <c r="Q73" s="345"/>
      <c r="R73" s="345"/>
      <c r="S73" s="345"/>
      <c r="T73" s="345"/>
      <c r="U73" s="188">
        <f>STDEV(D$2:D73)*SQRT(252)</f>
        <v>0.20977338456133537</v>
      </c>
      <c r="V73" s="188">
        <f>STDEV(L$2:L73)*SQRT(252)</f>
        <v>0.29915075312421052</v>
      </c>
      <c r="W73" s="180">
        <f t="shared" si="23"/>
        <v>-0.35138286934666213</v>
      </c>
    </row>
    <row r="74" spans="2:23" ht="20.100000000000001" customHeight="1" x14ac:dyDescent="0.25">
      <c r="B74" s="171">
        <v>42335</v>
      </c>
      <c r="C74" s="209">
        <v>2090.11</v>
      </c>
      <c r="D74" s="175">
        <f t="shared" si="24"/>
        <v>5.9362238913873841E-4</v>
      </c>
      <c r="E74" s="204">
        <f t="shared" si="20"/>
        <v>-5.8646144479746996E-3</v>
      </c>
      <c r="F74" s="221">
        <v>5127.5200000000004</v>
      </c>
      <c r="G74" s="175">
        <f t="shared" si="21"/>
        <v>2.2243331886930592E-3</v>
      </c>
      <c r="H74" s="206">
        <f t="shared" si="22"/>
        <v>7.0349784944125967E-3</v>
      </c>
      <c r="I74" s="225">
        <v>355463.47</v>
      </c>
      <c r="J74" s="173">
        <v>400000</v>
      </c>
      <c r="K74" s="173">
        <f t="shared" si="16"/>
        <v>-2489.9500000000116</v>
      </c>
      <c r="L74" s="175">
        <f t="shared" si="25"/>
        <v>-6.9560726644265942E-3</v>
      </c>
      <c r="M74" s="180">
        <f t="shared" si="18"/>
        <v>-44536.530000000028</v>
      </c>
      <c r="N74" s="188">
        <f t="shared" si="19"/>
        <v>-0.11134132500000007</v>
      </c>
      <c r="O74" s="180" t="b">
        <f t="shared" si="17"/>
        <v>0</v>
      </c>
      <c r="P74" s="188">
        <f>COUNTIF(O$2:O74, TRUE)/(COUNTIF(O$2:O74,FALSE) + COUNTIF(O$2:O74, TRUE))</f>
        <v>0.45205479452054792</v>
      </c>
      <c r="Q74" s="345"/>
      <c r="R74" s="345"/>
      <c r="S74" s="345"/>
      <c r="T74" s="345"/>
      <c r="U74" s="188">
        <f>STDEV(D$2:D74)*SQRT(252)</f>
        <v>0.20829387869007757</v>
      </c>
      <c r="V74" s="188">
        <f>STDEV(L$2:L74)*SQRT(252)</f>
        <v>0.29731455796464418</v>
      </c>
      <c r="W74" s="180">
        <f t="shared" si="23"/>
        <v>-0.37448998717795878</v>
      </c>
    </row>
    <row r="75" spans="2:23" ht="20.100000000000001" customHeight="1" x14ac:dyDescent="0.25">
      <c r="B75" s="176">
        <v>42338</v>
      </c>
      <c r="C75" s="213">
        <v>2080.41</v>
      </c>
      <c r="D75" s="175">
        <f t="shared" si="24"/>
        <v>-4.6409040672501789E-3</v>
      </c>
      <c r="E75" s="214">
        <f t="shared" si="20"/>
        <v>-1.0478301402180418E-2</v>
      </c>
      <c r="F75" s="224">
        <v>5108.66</v>
      </c>
      <c r="G75" s="175">
        <f t="shared" si="21"/>
        <v>-3.6781914063720045E-3</v>
      </c>
      <c r="H75" s="208">
        <f t="shared" si="22"/>
        <v>3.3309110905984322E-3</v>
      </c>
      <c r="I75" s="509">
        <v>358262.29</v>
      </c>
      <c r="J75" s="177">
        <v>400000</v>
      </c>
      <c r="K75" s="177">
        <f t="shared" si="16"/>
        <v>2798.820000000007</v>
      </c>
      <c r="L75" s="175">
        <f t="shared" si="25"/>
        <v>7.8737204697855653E-3</v>
      </c>
      <c r="M75" s="187">
        <f t="shared" si="18"/>
        <v>-41737.710000000021</v>
      </c>
      <c r="N75" s="189">
        <f t="shared" si="19"/>
        <v>-0.10434427500000006</v>
      </c>
      <c r="O75" s="187" t="b">
        <f t="shared" si="17"/>
        <v>1</v>
      </c>
      <c r="P75" s="189">
        <f>COUNTIF(O$2:O75, TRUE)/(COUNTIF(O$2:O75,FALSE) + COUNTIF(O$2:O75, TRUE))</f>
        <v>0.45945945945945948</v>
      </c>
      <c r="Q75" s="346"/>
      <c r="R75" s="346"/>
      <c r="S75" s="346"/>
      <c r="T75" s="346"/>
      <c r="U75" s="189">
        <f>STDEV(D$2:D75)*SQRT(252)</f>
        <v>0.20702224585874895</v>
      </c>
      <c r="V75" s="189">
        <f>STDEV(L$2:L75)*SQRT(252)</f>
        <v>0.29562170062555598</v>
      </c>
      <c r="W75" s="187">
        <f t="shared" si="23"/>
        <v>-0.35296554609895131</v>
      </c>
    </row>
    <row r="76" spans="2:23" ht="20.100000000000001" customHeight="1" x14ac:dyDescent="0.25">
      <c r="B76" s="176">
        <v>42339</v>
      </c>
      <c r="C76" s="213">
        <v>2102.63</v>
      </c>
      <c r="D76" s="175">
        <f t="shared" si="24"/>
        <v>1.0680586999678072E-2</v>
      </c>
      <c r="E76" s="214">
        <f t="shared" si="20"/>
        <v>9.0371187762815854E-5</v>
      </c>
      <c r="F76" s="224">
        <v>5156.3</v>
      </c>
      <c r="G76" s="175">
        <f t="shared" si="21"/>
        <v>9.3253416747249435E-3</v>
      </c>
      <c r="H76" s="208">
        <f t="shared" si="22"/>
        <v>1.2687314649331337E-2</v>
      </c>
      <c r="I76" s="226">
        <v>361281.91</v>
      </c>
      <c r="J76" s="177">
        <v>400000</v>
      </c>
      <c r="K76" s="177">
        <f t="shared" si="16"/>
        <v>3019.6199999999953</v>
      </c>
      <c r="L76" s="175">
        <f t="shared" si="25"/>
        <v>8.4285175534382795E-3</v>
      </c>
      <c r="M76" s="187">
        <f t="shared" si="18"/>
        <v>-38718.090000000026</v>
      </c>
      <c r="N76" s="189">
        <f t="shared" si="19"/>
        <v>-9.6795225000000068E-2</v>
      </c>
      <c r="O76" s="187" t="b">
        <f t="shared" si="17"/>
        <v>0</v>
      </c>
      <c r="P76" s="189">
        <f>COUNTIF(O$2:O76, TRUE)/(COUNTIF(O$2:O76,FALSE) + COUNTIF(O$2:O76, TRUE))</f>
        <v>0.45333333333333331</v>
      </c>
      <c r="Q76" s="346"/>
      <c r="R76" s="346"/>
      <c r="S76" s="346"/>
      <c r="T76" s="346"/>
      <c r="U76" s="189">
        <f>STDEV(D$2:D76)*SQRT(252)</f>
        <v>0.20655260318517649</v>
      </c>
      <c r="V76" s="189">
        <f>STDEV(L$2:L76)*SQRT(252)</f>
        <v>0.29400855496408335</v>
      </c>
      <c r="W76" s="187">
        <f t="shared" si="23"/>
        <v>-0.32922587919873542</v>
      </c>
    </row>
    <row r="77" spans="2:23" ht="20.100000000000001" customHeight="1" x14ac:dyDescent="0.25">
      <c r="B77" s="176">
        <v>42340</v>
      </c>
      <c r="C77" s="213">
        <v>2079.5100000000002</v>
      </c>
      <c r="D77" s="175">
        <f t="shared" si="24"/>
        <v>-1.0995752937987135E-2</v>
      </c>
      <c r="E77" s="214">
        <f t="shared" si="20"/>
        <v>-1.0906375449477671E-2</v>
      </c>
      <c r="F77" s="224">
        <v>5123.22</v>
      </c>
      <c r="G77" s="175">
        <f t="shared" si="21"/>
        <v>-6.415452941062375E-3</v>
      </c>
      <c r="H77" s="208">
        <f t="shared" si="22"/>
        <v>6.1904668381877245E-3</v>
      </c>
      <c r="I77" s="226">
        <v>349641.2</v>
      </c>
      <c r="J77" s="177">
        <v>400000</v>
      </c>
      <c r="K77" s="177">
        <f t="shared" si="16"/>
        <v>-11640.709999999963</v>
      </c>
      <c r="L77" s="175">
        <f t="shared" si="25"/>
        <v>-3.2220572571707129E-2</v>
      </c>
      <c r="M77" s="187">
        <f t="shared" si="18"/>
        <v>-50358.799999999988</v>
      </c>
      <c r="N77" s="189">
        <f t="shared" si="19"/>
        <v>-0.12589699999999998</v>
      </c>
      <c r="O77" s="187" t="b">
        <f t="shared" si="17"/>
        <v>0</v>
      </c>
      <c r="P77" s="189">
        <f>COUNTIF(O$2:O77, TRUE)/(COUNTIF(O$2:O77,FALSE) + COUNTIF(O$2:O77, TRUE))</f>
        <v>0.44736842105263158</v>
      </c>
      <c r="Q77" s="346"/>
      <c r="R77" s="346"/>
      <c r="S77" s="346"/>
      <c r="T77" s="346"/>
      <c r="U77" s="189">
        <f>STDEV(D$2:D77)*SQRT(252)</f>
        <v>0.20615523591080137</v>
      </c>
      <c r="V77" s="189">
        <f>STDEV(L$2:L77)*SQRT(252)</f>
        <v>0.29794414920309426</v>
      </c>
      <c r="W77" s="187">
        <f t="shared" si="23"/>
        <v>-0.42255234860873886</v>
      </c>
    </row>
    <row r="78" spans="2:23" ht="20.100000000000001" customHeight="1" x14ac:dyDescent="0.25">
      <c r="B78" s="176">
        <v>42341</v>
      </c>
      <c r="C78" s="213">
        <v>2049.62</v>
      </c>
      <c r="D78" s="175">
        <f t="shared" si="24"/>
        <v>-1.4373578391063435E-2</v>
      </c>
      <c r="E78" s="214">
        <f t="shared" si="20"/>
        <v>-2.5123190198055669E-2</v>
      </c>
      <c r="F78" s="224">
        <v>5037.5200000000004</v>
      </c>
      <c r="G78" s="175">
        <f t="shared" si="21"/>
        <v>-1.6727761056523009E-2</v>
      </c>
      <c r="H78" s="208">
        <f t="shared" si="22"/>
        <v>-1.0640846868432819E-2</v>
      </c>
      <c r="I78" s="226">
        <v>344430.58</v>
      </c>
      <c r="J78" s="177">
        <v>400000</v>
      </c>
      <c r="K78" s="177">
        <f t="shared" si="16"/>
        <v>-5210.6199999999953</v>
      </c>
      <c r="L78" s="175">
        <f t="shared" si="25"/>
        <v>-1.4902763175506763E-2</v>
      </c>
      <c r="M78" s="187">
        <f t="shared" si="18"/>
        <v>-55569.419999999984</v>
      </c>
      <c r="N78" s="189">
        <f t="shared" si="19"/>
        <v>-0.13892354999999995</v>
      </c>
      <c r="O78" s="187" t="b">
        <f t="shared" si="17"/>
        <v>0</v>
      </c>
      <c r="P78" s="189">
        <f>COUNTIF(O$2:O78, TRUE)/(COUNTIF(O$2:O78,FALSE) + COUNTIF(O$2:O78, TRUE))</f>
        <v>0.44155844155844154</v>
      </c>
      <c r="Q78" s="346"/>
      <c r="R78" s="346"/>
      <c r="S78" s="346"/>
      <c r="T78" s="346"/>
      <c r="U78" s="189">
        <f>STDEV(D$2:D78)*SQRT(252)</f>
        <v>0.20642766070992974</v>
      </c>
      <c r="V78" s="189">
        <f>STDEV(L$2:L78)*SQRT(252)</f>
        <v>0.29712936975574017</v>
      </c>
      <c r="W78" s="187">
        <f t="shared" si="23"/>
        <v>-0.46755240020265992</v>
      </c>
    </row>
    <row r="79" spans="2:23" ht="20.100000000000001" customHeight="1" x14ac:dyDescent="0.25">
      <c r="B79" s="176">
        <v>42342</v>
      </c>
      <c r="C79" s="213">
        <v>2091.69</v>
      </c>
      <c r="D79" s="175">
        <f t="shared" si="24"/>
        <v>2.0525755993794054E-2</v>
      </c>
      <c r="E79" s="214">
        <f t="shared" si="20"/>
        <v>-5.1131066760525864E-3</v>
      </c>
      <c r="F79" s="224">
        <v>5142.2700000000004</v>
      </c>
      <c r="G79" s="175">
        <f t="shared" si="21"/>
        <v>2.0793962108339021E-2</v>
      </c>
      <c r="H79" s="208">
        <f t="shared" si="22"/>
        <v>9.9318498733233732E-3</v>
      </c>
      <c r="I79" s="226">
        <v>341064.65</v>
      </c>
      <c r="J79" s="177">
        <v>400000</v>
      </c>
      <c r="K79" s="177">
        <f t="shared" si="16"/>
        <v>-3365.929999999993</v>
      </c>
      <c r="L79" s="175">
        <f t="shared" si="25"/>
        <v>-9.7724481955115388E-3</v>
      </c>
      <c r="M79" s="187">
        <f t="shared" si="18"/>
        <v>-58935.349999999977</v>
      </c>
      <c r="N79" s="189">
        <f t="shared" si="19"/>
        <v>-0.14733837499999994</v>
      </c>
      <c r="O79" s="187" t="b">
        <f t="shared" si="17"/>
        <v>0</v>
      </c>
      <c r="P79" s="189">
        <f>COUNTIF(O$2:O79, TRUE)/(COUNTIF(O$2:O79,FALSE) + COUNTIF(O$2:O79, TRUE))</f>
        <v>0.4358974358974359</v>
      </c>
      <c r="Q79" s="346"/>
      <c r="R79" s="346"/>
      <c r="S79" s="346"/>
      <c r="T79" s="346"/>
      <c r="U79" s="189">
        <f>STDEV(D$2:D79)*SQRT(252)</f>
        <v>0.2084813160993948</v>
      </c>
      <c r="V79" s="189">
        <f>STDEV(L$2:L79)*SQRT(252)</f>
        <v>0.29563649002359699</v>
      </c>
      <c r="W79" s="187">
        <f t="shared" si="23"/>
        <v>-0.49837682414724838</v>
      </c>
    </row>
    <row r="80" spans="2:23" ht="20.100000000000001" customHeight="1" x14ac:dyDescent="0.25">
      <c r="B80" s="171">
        <v>42345</v>
      </c>
      <c r="C80" s="203">
        <v>2077.0700000000002</v>
      </c>
      <c r="D80" s="175">
        <f t="shared" si="24"/>
        <v>-6.9895634630370131E-3</v>
      </c>
      <c r="E80" s="204">
        <f t="shared" si="20"/>
        <v>-1.2066931755484052E-2</v>
      </c>
      <c r="F80" s="221">
        <v>5101.8100000000004</v>
      </c>
      <c r="G80" s="175">
        <f t="shared" si="21"/>
        <v>-7.8681204993125663E-3</v>
      </c>
      <c r="H80" s="206">
        <f t="shared" si="22"/>
        <v>1.9855843824264159E-3</v>
      </c>
      <c r="I80" s="225">
        <v>323555.34000000003</v>
      </c>
      <c r="J80" s="173">
        <v>400000</v>
      </c>
      <c r="K80" s="173">
        <f t="shared" si="16"/>
        <v>-17509.309999999998</v>
      </c>
      <c r="L80" s="175">
        <f t="shared" si="25"/>
        <v>-5.1337217152231981E-2</v>
      </c>
      <c r="M80" s="180">
        <f t="shared" si="18"/>
        <v>-76444.659999999974</v>
      </c>
      <c r="N80" s="188">
        <f t="shared" si="19"/>
        <v>-0.19111164999999994</v>
      </c>
      <c r="O80" s="180" t="b">
        <f t="shared" si="17"/>
        <v>0</v>
      </c>
      <c r="P80" s="188">
        <f>COUNTIF(O$2:O80, TRUE)/(COUNTIF(O$2:O80,FALSE) + COUNTIF(O$2:O80, TRUE))</f>
        <v>0.43037974683544306</v>
      </c>
      <c r="Q80" s="345"/>
      <c r="R80" s="345"/>
      <c r="S80" s="345"/>
      <c r="T80" s="345"/>
      <c r="U80" s="188">
        <f>STDEV(D$2:D80)*SQRT(252)</f>
        <v>0.20750582350249624</v>
      </c>
      <c r="V80" s="188">
        <f>STDEV(L$2:L80)*SQRT(252)</f>
        <v>0.3074916653921197</v>
      </c>
      <c r="W80" s="180">
        <f t="shared" si="23"/>
        <v>-0.62151814669932737</v>
      </c>
    </row>
    <row r="81" spans="2:23" ht="20.100000000000001" customHeight="1" x14ac:dyDescent="0.25">
      <c r="B81" s="171">
        <v>42346</v>
      </c>
      <c r="C81" s="203">
        <v>2063.59</v>
      </c>
      <c r="D81" s="175">
        <f t="shared" si="24"/>
        <v>-6.489911269239851E-3</v>
      </c>
      <c r="E81" s="204">
        <f t="shared" si="20"/>
        <v>-1.8478529708338839E-2</v>
      </c>
      <c r="F81" s="221">
        <v>5098.24</v>
      </c>
      <c r="G81" s="175">
        <f t="shared" si="21"/>
        <v>-6.9975165676507318E-4</v>
      </c>
      <c r="H81" s="206">
        <f t="shared" si="22"/>
        <v>1.284443309700093E-3</v>
      </c>
      <c r="I81" s="225">
        <v>320909.52</v>
      </c>
      <c r="J81" s="173">
        <v>400000</v>
      </c>
      <c r="K81" s="173">
        <f t="shared" si="16"/>
        <v>-2645.820000000007</v>
      </c>
      <c r="L81" s="175">
        <f t="shared" si="25"/>
        <v>-8.1773337445149464E-3</v>
      </c>
      <c r="M81" s="180">
        <f t="shared" si="18"/>
        <v>-79090.479999999981</v>
      </c>
      <c r="N81" s="188">
        <f t="shared" si="19"/>
        <v>-0.19772619999999996</v>
      </c>
      <c r="O81" s="180" t="b">
        <f t="shared" si="17"/>
        <v>0</v>
      </c>
      <c r="P81" s="188">
        <f>COUNTIF(O$2:O81, TRUE)/(COUNTIF(O$2:O81,FALSE) + COUNTIF(O$2:O81, TRUE))</f>
        <v>0.42499999999999999</v>
      </c>
      <c r="Q81" s="345"/>
      <c r="R81" s="345"/>
      <c r="S81" s="345"/>
      <c r="T81" s="345"/>
      <c r="U81" s="188">
        <f>STDEV(D$2:D81)*SQRT(252)</f>
        <v>0.20648984597109604</v>
      </c>
      <c r="V81" s="188">
        <f>STDEV(L$2:L81)*SQRT(252)</f>
        <v>0.3057577572819663</v>
      </c>
      <c r="W81" s="180">
        <f t="shared" si="23"/>
        <v>-0.64667598872286047</v>
      </c>
    </row>
    <row r="82" spans="2:23" ht="20.100000000000001" customHeight="1" x14ac:dyDescent="0.25">
      <c r="B82" s="171">
        <v>42347</v>
      </c>
      <c r="C82" s="203">
        <v>2047.62</v>
      </c>
      <c r="D82" s="175">
        <f t="shared" si="24"/>
        <v>-7.7389403902908297E-3</v>
      </c>
      <c r="E82" s="204">
        <f t="shared" si="20"/>
        <v>-2.6074465858716617E-2</v>
      </c>
      <c r="F82" s="221">
        <v>5022.8599999999997</v>
      </c>
      <c r="G82" s="175">
        <f t="shared" si="21"/>
        <v>-1.4785494602058772E-2</v>
      </c>
      <c r="H82" s="206">
        <f t="shared" si="22"/>
        <v>-1.3520042421980899E-2</v>
      </c>
      <c r="I82" s="225">
        <v>319453.12</v>
      </c>
      <c r="J82" s="173">
        <v>400000</v>
      </c>
      <c r="K82" s="173">
        <f t="shared" si="16"/>
        <v>-1456.4000000000233</v>
      </c>
      <c r="L82" s="175">
        <f t="shared" si="25"/>
        <v>-4.5383508722334669E-3</v>
      </c>
      <c r="M82" s="180">
        <f t="shared" si="18"/>
        <v>-80546.880000000005</v>
      </c>
      <c r="N82" s="188">
        <f t="shared" si="19"/>
        <v>-0.20136720000000002</v>
      </c>
      <c r="O82" s="180" t="b">
        <f t="shared" si="17"/>
        <v>1</v>
      </c>
      <c r="P82" s="188">
        <f>COUNTIF(O$2:O82, TRUE)/(COUNTIF(O$2:O82,FALSE) + COUNTIF(O$2:O82, TRUE))</f>
        <v>0.43209876543209874</v>
      </c>
      <c r="Q82" s="345"/>
      <c r="R82" s="345"/>
      <c r="S82" s="345"/>
      <c r="T82" s="345"/>
      <c r="U82" s="188">
        <f>STDEV(D$2:D82)*SQRT(252)</f>
        <v>0.20562012018240991</v>
      </c>
      <c r="V82" s="188">
        <f>STDEV(L$2:L82)*SQRT(252)</f>
        <v>0.30386643217647319</v>
      </c>
      <c r="W82" s="180">
        <f t="shared" si="23"/>
        <v>-0.66268326697913837</v>
      </c>
    </row>
    <row r="83" spans="2:23" ht="20.100000000000001" customHeight="1" x14ac:dyDescent="0.25">
      <c r="B83" s="171">
        <v>42348</v>
      </c>
      <c r="C83" s="209">
        <v>2052.23</v>
      </c>
      <c r="D83" s="175">
        <f t="shared" si="24"/>
        <v>2.2513943016771315E-3</v>
      </c>
      <c r="E83" s="204">
        <f t="shared" si="20"/>
        <v>-2.3881775460893075E-2</v>
      </c>
      <c r="F83" s="221">
        <v>5045.17</v>
      </c>
      <c r="G83" s="175">
        <f t="shared" si="21"/>
        <v>4.4416925815173825E-3</v>
      </c>
      <c r="H83" s="206">
        <f t="shared" si="22"/>
        <v>-9.1384017125910304E-3</v>
      </c>
      <c r="I83" s="225">
        <v>324246.53999999998</v>
      </c>
      <c r="J83" s="173">
        <v>400000</v>
      </c>
      <c r="K83" s="173">
        <f t="shared" si="16"/>
        <v>4793.4199999999837</v>
      </c>
      <c r="L83" s="175">
        <f t="shared" si="25"/>
        <v>1.5005081183742965E-2</v>
      </c>
      <c r="M83" s="180">
        <f t="shared" si="18"/>
        <v>-75753.460000000021</v>
      </c>
      <c r="N83" s="188">
        <f t="shared" si="19"/>
        <v>-0.18938365000000004</v>
      </c>
      <c r="O83" s="180" t="b">
        <f t="shared" si="17"/>
        <v>1</v>
      </c>
      <c r="P83" s="188">
        <f>COUNTIF(O$2:O83, TRUE)/(COUNTIF(O$2:O83,FALSE) + COUNTIF(O$2:O83, TRUE))</f>
        <v>0.43902439024390244</v>
      </c>
      <c r="Q83" s="345"/>
      <c r="R83" s="345"/>
      <c r="S83" s="345"/>
      <c r="T83" s="345"/>
      <c r="U83" s="188">
        <f>STDEV(D$2:D83)*SQRT(252)</f>
        <v>0.20437847650239915</v>
      </c>
      <c r="V83" s="188">
        <f>STDEV(L$2:L83)*SQRT(252)</f>
        <v>0.30335650462124281</v>
      </c>
      <c r="W83" s="180">
        <f t="shared" si="23"/>
        <v>-0.62429401418788066</v>
      </c>
    </row>
    <row r="84" spans="2:23" ht="20.100000000000001" customHeight="1" x14ac:dyDescent="0.25">
      <c r="B84" s="171">
        <v>42349</v>
      </c>
      <c r="C84" s="209">
        <v>2012.37</v>
      </c>
      <c r="D84" s="175">
        <f t="shared" si="24"/>
        <v>-1.9422774250449575E-2</v>
      </c>
      <c r="E84" s="204">
        <f t="shared" si="20"/>
        <v>-4.2840699377865797E-2</v>
      </c>
      <c r="F84" s="221">
        <v>4933.47</v>
      </c>
      <c r="G84" s="175">
        <f t="shared" si="21"/>
        <v>-2.2139987354241743E-2</v>
      </c>
      <c r="H84" s="206">
        <f t="shared" si="22"/>
        <v>-3.1076064968478027E-2</v>
      </c>
      <c r="I84" s="225">
        <v>314974.52</v>
      </c>
      <c r="J84" s="173">
        <v>400000</v>
      </c>
      <c r="K84" s="173">
        <f t="shared" si="16"/>
        <v>-9272.0199999999604</v>
      </c>
      <c r="L84" s="175">
        <f t="shared" si="25"/>
        <v>-2.8595586555834832E-2</v>
      </c>
      <c r="M84" s="180">
        <f t="shared" si="18"/>
        <v>-85025.479999999981</v>
      </c>
      <c r="N84" s="188">
        <f t="shared" si="19"/>
        <v>-0.21256369999999997</v>
      </c>
      <c r="O84" s="180" t="b">
        <f t="shared" si="17"/>
        <v>0</v>
      </c>
      <c r="P84" s="188">
        <f>COUNTIF(O$2:O84, TRUE)/(COUNTIF(O$2:O84,FALSE) + COUNTIF(O$2:O84, TRUE))</f>
        <v>0.43373493975903615</v>
      </c>
      <c r="Q84" s="345"/>
      <c r="R84" s="345"/>
      <c r="S84" s="345"/>
      <c r="T84" s="345"/>
      <c r="U84" s="188">
        <f>STDEV(D$2:D84)*SQRT(252)</f>
        <v>0.20588473038733746</v>
      </c>
      <c r="V84" s="188">
        <f>STDEV(L$2:L84)*SQRT(252)</f>
        <v>0.3052608066855817</v>
      </c>
      <c r="W84" s="180">
        <f t="shared" si="23"/>
        <v>-0.69633472540397345</v>
      </c>
    </row>
    <row r="85" spans="2:23" ht="20.100000000000001" customHeight="1" x14ac:dyDescent="0.25">
      <c r="B85" s="176">
        <v>42352</v>
      </c>
      <c r="C85" s="213">
        <v>2021.94</v>
      </c>
      <c r="D85" s="175">
        <f t="shared" si="24"/>
        <v>4.7555866962835681E-3</v>
      </c>
      <c r="E85" s="214">
        <f t="shared" ref="E85:E95" si="26">(C85-$C$2)/$C$2</f>
        <v>-3.8288845341603088E-2</v>
      </c>
      <c r="F85" s="224">
        <v>4871.59</v>
      </c>
      <c r="G85" s="175">
        <f t="shared" si="21"/>
        <v>-1.2542895771130685E-2</v>
      </c>
      <c r="H85" s="208">
        <f t="shared" ref="H85:H106" si="27">(F85-F$2)/F$2</f>
        <v>-4.3229176895732205E-2</v>
      </c>
      <c r="I85" s="226">
        <f>400000-82872.25</f>
        <v>317127.75</v>
      </c>
      <c r="J85" s="177">
        <v>400000</v>
      </c>
      <c r="K85" s="177">
        <f t="shared" si="16"/>
        <v>2153.2299999999814</v>
      </c>
      <c r="L85" s="175">
        <f t="shared" si="25"/>
        <v>6.8362037665776303E-3</v>
      </c>
      <c r="M85" s="187">
        <f t="shared" si="18"/>
        <v>-82872.25</v>
      </c>
      <c r="N85" s="189">
        <f t="shared" si="19"/>
        <v>-0.20718062500000001</v>
      </c>
      <c r="O85" s="187" t="b">
        <f t="shared" si="17"/>
        <v>1</v>
      </c>
      <c r="P85" s="189">
        <f>COUNTIF(O$2:O85, TRUE)/(COUNTIF(O$2:O85,FALSE) + COUNTIF(O$2:O85, TRUE))</f>
        <v>0.44047619047619047</v>
      </c>
      <c r="Q85" s="346"/>
      <c r="R85" s="346"/>
      <c r="S85" s="346"/>
      <c r="T85" s="346"/>
      <c r="U85" s="189">
        <f>STDEV(D$2:D85)*SQRT(252)</f>
        <v>0.20482646913198044</v>
      </c>
      <c r="V85" s="189">
        <f>STDEV(L$2:L85)*SQRT(252)</f>
        <v>0.30374972032355096</v>
      </c>
      <c r="W85" s="187">
        <f t="shared" si="23"/>
        <v>-0.68207675970635762</v>
      </c>
    </row>
    <row r="86" spans="2:23" ht="20.100000000000001" customHeight="1" x14ac:dyDescent="0.25">
      <c r="B86" s="176">
        <v>42353</v>
      </c>
      <c r="C86" s="213">
        <v>2043.41</v>
      </c>
      <c r="D86" s="175">
        <f t="shared" si="24"/>
        <v>1.0618514891638736E-2</v>
      </c>
      <c r="E86" s="214">
        <f t="shared" si="26"/>
        <v>-2.8076901124407819E-2</v>
      </c>
      <c r="F86" s="224">
        <v>4986.99</v>
      </c>
      <c r="G86" s="175">
        <f t="shared" si="21"/>
        <v>2.3688364579120911E-2</v>
      </c>
      <c r="H86" s="208">
        <f t="shared" si="27"/>
        <v>-2.0564840819372713E-2</v>
      </c>
      <c r="I86" s="226">
        <v>315111.13</v>
      </c>
      <c r="J86" s="177">
        <v>400000</v>
      </c>
      <c r="K86" s="177">
        <f t="shared" si="16"/>
        <v>-2016.6199999999953</v>
      </c>
      <c r="L86" s="175">
        <f t="shared" si="25"/>
        <v>-6.3590146242326487E-3</v>
      </c>
      <c r="M86" s="187">
        <f t="shared" si="18"/>
        <v>-84888.87</v>
      </c>
      <c r="N86" s="189">
        <f t="shared" si="19"/>
        <v>-0.21222217499999999</v>
      </c>
      <c r="O86" s="187" t="b">
        <f t="shared" si="17"/>
        <v>0</v>
      </c>
      <c r="P86" s="189">
        <f>COUNTIF(O$2:O86, TRUE)/(COUNTIF(O$2:O86,FALSE) + COUNTIF(O$2:O86, TRUE))</f>
        <v>0.43529411764705883</v>
      </c>
      <c r="Q86" s="346"/>
      <c r="R86" s="346"/>
      <c r="S86" s="346"/>
      <c r="T86" s="346"/>
      <c r="U86" s="189">
        <f>STDEV(D$2:D86)*SQRT(252)</f>
        <v>0.20447942963510182</v>
      </c>
      <c r="V86" s="189">
        <f>STDEV(L$2:L86)*SQRT(252)</f>
        <v>0.30203167512176549</v>
      </c>
      <c r="W86" s="187">
        <f t="shared" si="23"/>
        <v>-0.70264873680696449</v>
      </c>
    </row>
    <row r="87" spans="2:23" ht="20.100000000000001" customHeight="1" x14ac:dyDescent="0.25">
      <c r="B87" s="176">
        <v>42354</v>
      </c>
      <c r="C87" s="213">
        <v>2073.0700000000002</v>
      </c>
      <c r="D87" s="175">
        <f t="shared" si="24"/>
        <v>1.4514952946300586E-2</v>
      </c>
      <c r="E87" s="214">
        <f t="shared" si="26"/>
        <v>-1.3969483076805945E-2</v>
      </c>
      <c r="F87" s="224">
        <v>4992.63</v>
      </c>
      <c r="G87" s="175">
        <f t="shared" si="21"/>
        <v>1.1309427129391331E-3</v>
      </c>
      <c r="H87" s="208">
        <f t="shared" si="27"/>
        <v>-1.9457155763301003E-2</v>
      </c>
      <c r="I87" s="226">
        <v>320067.34000000003</v>
      </c>
      <c r="J87" s="177">
        <v>400000</v>
      </c>
      <c r="K87" s="177">
        <f t="shared" si="16"/>
        <v>4956.210000000021</v>
      </c>
      <c r="L87" s="175">
        <f t="shared" si="25"/>
        <v>1.5728451102314352E-2</v>
      </c>
      <c r="M87" s="187">
        <f t="shared" si="18"/>
        <v>-79932.659999999974</v>
      </c>
      <c r="N87" s="189">
        <f t="shared" si="19"/>
        <v>-0.19983164999999994</v>
      </c>
      <c r="O87" s="187" t="b">
        <f t="shared" si="17"/>
        <v>1</v>
      </c>
      <c r="P87" s="189">
        <f>COUNTIF(O$2:O87, TRUE)/(COUNTIF(O$2:O87,FALSE) + COUNTIF(O$2:O87, TRUE))</f>
        <v>0.44186046511627908</v>
      </c>
      <c r="Q87" s="346"/>
      <c r="R87" s="346"/>
      <c r="S87" s="346"/>
      <c r="T87" s="346"/>
      <c r="U87" s="189">
        <f>STDEV(D$2:D87)*SQRT(252)</f>
        <v>0.20484383238315154</v>
      </c>
      <c r="V87" s="189">
        <f>STDEV(L$2:L87)*SQRT(252)</f>
        <v>0.30170012255410639</v>
      </c>
      <c r="W87" s="187">
        <f t="shared" si="23"/>
        <v>-0.66235190197565297</v>
      </c>
    </row>
    <row r="88" spans="2:23" ht="20.100000000000001" customHeight="1" x14ac:dyDescent="0.25">
      <c r="B88" s="176">
        <v>42355</v>
      </c>
      <c r="C88" s="213">
        <v>2041.89</v>
      </c>
      <c r="D88" s="175">
        <f t="shared" si="24"/>
        <v>-1.5040495497016531E-2</v>
      </c>
      <c r="E88" s="214">
        <f t="shared" si="26"/>
        <v>-2.8799870626510127E-2</v>
      </c>
      <c r="F88" s="224">
        <v>5002.55</v>
      </c>
      <c r="G88" s="175">
        <f t="shared" si="21"/>
        <v>1.9869287329523865E-3</v>
      </c>
      <c r="H88" s="208">
        <f t="shared" si="27"/>
        <v>-1.7508887012196248E-2</v>
      </c>
      <c r="I88" s="226">
        <v>314862.69</v>
      </c>
      <c r="J88" s="177">
        <v>400000</v>
      </c>
      <c r="K88" s="177">
        <f t="shared" ref="K88:K119" si="28">I88-I87-J88+J87</f>
        <v>-5204.6500000000233</v>
      </c>
      <c r="L88" s="175">
        <f t="shared" si="25"/>
        <v>-1.6261109302811161E-2</v>
      </c>
      <c r="M88" s="187">
        <f t="shared" si="18"/>
        <v>-85137.31</v>
      </c>
      <c r="N88" s="189">
        <f t="shared" si="19"/>
        <v>-0.212843275</v>
      </c>
      <c r="O88" s="187" t="b">
        <f t="shared" si="17"/>
        <v>0</v>
      </c>
      <c r="P88" s="189">
        <f>COUNTIF(O$2:O88, TRUE)/(COUNTIF(O$2:O88,FALSE) + COUNTIF(O$2:O88, TRUE))</f>
        <v>0.43678160919540232</v>
      </c>
      <c r="Q88" s="346"/>
      <c r="R88" s="346"/>
      <c r="S88" s="346"/>
      <c r="T88" s="346"/>
      <c r="U88" s="189">
        <f>STDEV(D$2:D88)*SQRT(252)</f>
        <v>0.20523864420055984</v>
      </c>
      <c r="V88" s="189">
        <f>STDEV(L$2:L88)*SQRT(252)</f>
        <v>0.30100381031831397</v>
      </c>
      <c r="W88" s="187">
        <f t="shared" si="23"/>
        <v>-0.70711156372046091</v>
      </c>
    </row>
    <row r="89" spans="2:23" ht="20.100000000000001" customHeight="1" x14ac:dyDescent="0.25">
      <c r="B89" s="176">
        <v>42356</v>
      </c>
      <c r="C89" s="213">
        <v>2005.52</v>
      </c>
      <c r="D89" s="175">
        <f t="shared" si="24"/>
        <v>-1.7811929144077358E-2</v>
      </c>
      <c r="E89" s="214">
        <f t="shared" si="26"/>
        <v>-4.609881851562949E-2</v>
      </c>
      <c r="F89" s="224">
        <v>4923.08</v>
      </c>
      <c r="G89" s="175">
        <f t="shared" si="21"/>
        <v>-1.5885898191922172E-2</v>
      </c>
      <c r="H89" s="208">
        <f t="shared" si="27"/>
        <v>-3.3116640807588804E-2</v>
      </c>
      <c r="I89" s="226">
        <v>315502.05</v>
      </c>
      <c r="J89" s="177">
        <v>400000</v>
      </c>
      <c r="K89" s="177">
        <f t="shared" si="28"/>
        <v>639.35999999998603</v>
      </c>
      <c r="L89" s="175">
        <f t="shared" si="25"/>
        <v>2.0305994336769022E-3</v>
      </c>
      <c r="M89" s="187">
        <f t="shared" si="18"/>
        <v>-84497.950000000012</v>
      </c>
      <c r="N89" s="189">
        <f t="shared" si="19"/>
        <v>-0.21124487500000003</v>
      </c>
      <c r="O89" s="187" t="b">
        <f t="shared" si="17"/>
        <v>1</v>
      </c>
      <c r="P89" s="189">
        <f>COUNTIF(O$2:O89, TRUE)/(COUNTIF(O$2:O89,FALSE) + COUNTIF(O$2:O89, TRUE))</f>
        <v>0.44318181818181818</v>
      </c>
      <c r="Q89" s="346"/>
      <c r="R89" s="346"/>
      <c r="S89" s="346"/>
      <c r="T89" s="346"/>
      <c r="U89" s="189">
        <f>STDEV(D$2:D89)*SQRT(252)</f>
        <v>0.20621771492919441</v>
      </c>
      <c r="V89" s="189">
        <f>STDEV(L$2:L89)*SQRT(252)</f>
        <v>0.29930992001467371</v>
      </c>
      <c r="W89" s="187">
        <f t="shared" si="23"/>
        <v>-0.70577304951885234</v>
      </c>
    </row>
    <row r="90" spans="2:23" ht="20.100000000000001" customHeight="1" x14ac:dyDescent="0.25">
      <c r="B90" s="171">
        <v>42359</v>
      </c>
      <c r="C90" s="203">
        <v>2021.15</v>
      </c>
      <c r="D90" s="175">
        <f t="shared" si="24"/>
        <v>7.7934899676892324E-3</v>
      </c>
      <c r="E90" s="204">
        <f t="shared" si="26"/>
        <v>-3.8664599227564142E-2</v>
      </c>
      <c r="F90" s="221">
        <v>4968.92</v>
      </c>
      <c r="G90" s="175">
        <f t="shared" si="21"/>
        <v>9.3112441804724163E-3</v>
      </c>
      <c r="H90" s="206">
        <f t="shared" si="27"/>
        <v>-2.4113753756112841E-2</v>
      </c>
      <c r="I90" s="225">
        <v>320825.06</v>
      </c>
      <c r="J90" s="173">
        <v>400000</v>
      </c>
      <c r="K90" s="173">
        <f t="shared" si="28"/>
        <v>5323.0100000000093</v>
      </c>
      <c r="L90" s="175">
        <f t="shared" si="25"/>
        <v>1.6871554400359711E-2</v>
      </c>
      <c r="M90" s="180">
        <f t="shared" si="18"/>
        <v>-79174.94</v>
      </c>
      <c r="N90" s="188">
        <f t="shared" si="19"/>
        <v>-0.19793735000000001</v>
      </c>
      <c r="O90" s="180" t="b">
        <f t="shared" si="17"/>
        <v>1</v>
      </c>
      <c r="P90" s="188">
        <f>COUNTIF(O$2:O90, TRUE)/(COUNTIF(O$2:O90,FALSE) + COUNTIF(O$2:O90, TRUE))</f>
        <v>0.449438202247191</v>
      </c>
      <c r="Q90" s="345"/>
      <c r="R90" s="345"/>
      <c r="S90" s="345"/>
      <c r="T90" s="345"/>
      <c r="U90" s="188">
        <f>STDEV(D$2:D90)*SQRT(252)</f>
        <v>0.20550415563548391</v>
      </c>
      <c r="V90" s="188">
        <f>STDEV(L$2:L90)*SQRT(252)</f>
        <v>0.29920187088435746</v>
      </c>
      <c r="W90" s="180">
        <f t="shared" si="23"/>
        <v>-0.6615511775208901</v>
      </c>
    </row>
    <row r="91" spans="2:23" ht="20.100000000000001" customHeight="1" x14ac:dyDescent="0.25">
      <c r="B91" s="171">
        <v>42360</v>
      </c>
      <c r="C91" s="203">
        <v>2038.97</v>
      </c>
      <c r="D91" s="175">
        <f t="shared" si="24"/>
        <v>8.8167627340869983E-3</v>
      </c>
      <c r="E91" s="204">
        <f t="shared" si="26"/>
        <v>-3.0188733091075143E-2</v>
      </c>
      <c r="F91" s="221">
        <v>5001.1099999999997</v>
      </c>
      <c r="G91" s="175">
        <f t="shared" si="21"/>
        <v>6.4782689196041798E-3</v>
      </c>
      <c r="H91" s="206">
        <f t="shared" si="27"/>
        <v>-1.7791700218001874E-2</v>
      </c>
      <c r="I91" s="225">
        <v>321902.78000000003</v>
      </c>
      <c r="J91" s="173">
        <v>400000</v>
      </c>
      <c r="K91" s="173">
        <f t="shared" si="28"/>
        <v>1077.7200000000303</v>
      </c>
      <c r="L91" s="175">
        <f t="shared" si="25"/>
        <v>3.3592138968197506E-3</v>
      </c>
      <c r="M91" s="180">
        <f t="shared" si="18"/>
        <v>-78097.219999999972</v>
      </c>
      <c r="N91" s="188">
        <f t="shared" si="19"/>
        <v>-0.19524304999999992</v>
      </c>
      <c r="O91" s="180" t="b">
        <f t="shared" ref="O91:O122" si="29">L91&gt;D91</f>
        <v>0</v>
      </c>
      <c r="P91" s="188">
        <f>COUNTIF(O$2:O91, TRUE)/(COUNTIF(O$2:O91,FALSE) + COUNTIF(O$2:O91, TRUE))</f>
        <v>0.44444444444444442</v>
      </c>
      <c r="Q91" s="345"/>
      <c r="R91" s="345"/>
      <c r="S91" s="345"/>
      <c r="T91" s="345"/>
      <c r="U91" s="188">
        <f>STDEV(D$2:D91)*SQRT(252)</f>
        <v>0.20491645962952909</v>
      </c>
      <c r="V91" s="188">
        <f>STDEV(L$2:L91)*SQRT(252)</f>
        <v>0.29759929719842121</v>
      </c>
      <c r="W91" s="180">
        <f t="shared" si="23"/>
        <v>-0.65606018508109465</v>
      </c>
    </row>
    <row r="92" spans="2:23" ht="20.100000000000001" customHeight="1" x14ac:dyDescent="0.25">
      <c r="B92" s="171">
        <v>42361</v>
      </c>
      <c r="C92" s="203">
        <v>2064.29</v>
      </c>
      <c r="D92" s="175">
        <f t="shared" si="24"/>
        <v>1.2418034595898879E-2</v>
      </c>
      <c r="E92" s="204">
        <f t="shared" si="26"/>
        <v>-1.8145583227107593E-2</v>
      </c>
      <c r="F92" s="221">
        <v>5045.93</v>
      </c>
      <c r="G92" s="175">
        <f t="shared" si="21"/>
        <v>8.9620104336838469E-3</v>
      </c>
      <c r="H92" s="206">
        <f t="shared" si="27"/>
        <v>-8.9891391873047361E-3</v>
      </c>
      <c r="I92" s="225">
        <v>330734.09999999998</v>
      </c>
      <c r="J92" s="173">
        <v>400000</v>
      </c>
      <c r="K92" s="173">
        <f t="shared" si="28"/>
        <v>8831.3199999999488</v>
      </c>
      <c r="L92" s="175">
        <f t="shared" si="25"/>
        <v>2.7434742874851679E-2</v>
      </c>
      <c r="M92" s="180">
        <f t="shared" si="18"/>
        <v>-69265.900000000023</v>
      </c>
      <c r="N92" s="188">
        <f t="shared" si="19"/>
        <v>-0.17316475000000006</v>
      </c>
      <c r="O92" s="180" t="b">
        <f t="shared" si="29"/>
        <v>1</v>
      </c>
      <c r="P92" s="188">
        <f>COUNTIF(O$2:O92, TRUE)/(COUNTIF(O$2:O92,FALSE) + COUNTIF(O$2:O92, TRUE))</f>
        <v>0.45054945054945056</v>
      </c>
      <c r="Q92" s="345"/>
      <c r="R92" s="345"/>
      <c r="S92" s="345"/>
      <c r="T92" s="345"/>
      <c r="U92" s="188">
        <f>STDEV(D$2:D92)*SQRT(252)</f>
        <v>0.20486368921422393</v>
      </c>
      <c r="V92" s="188">
        <f>STDEV(L$2:L92)*SQRT(252)</f>
        <v>0.29978352577242878</v>
      </c>
      <c r="W92" s="180">
        <f t="shared" si="23"/>
        <v>-0.57763264193327502</v>
      </c>
    </row>
    <row r="93" spans="2:23" ht="20.100000000000001" customHeight="1" x14ac:dyDescent="0.25">
      <c r="B93" s="171">
        <v>42362</v>
      </c>
      <c r="C93" s="209">
        <v>2060.9899999999998</v>
      </c>
      <c r="D93" s="175">
        <f t="shared" si="24"/>
        <v>-1.5986125980362168E-3</v>
      </c>
      <c r="E93" s="204">
        <f t="shared" si="26"/>
        <v>-1.9715188067198242E-2</v>
      </c>
      <c r="F93" s="221">
        <v>5048.49</v>
      </c>
      <c r="G93" s="175">
        <f t="shared" si="21"/>
        <v>5.0733957863059742E-4</v>
      </c>
      <c r="H93" s="206">
        <f t="shared" si="27"/>
        <v>-8.4863601547616793E-3</v>
      </c>
      <c r="I93" s="225">
        <v>331472.32</v>
      </c>
      <c r="J93" s="173">
        <v>400000</v>
      </c>
      <c r="K93" s="173">
        <f t="shared" si="28"/>
        <v>738.22000000003027</v>
      </c>
      <c r="L93" s="175">
        <f t="shared" si="25"/>
        <v>2.2320649730403676E-3</v>
      </c>
      <c r="M93" s="180">
        <f t="shared" si="18"/>
        <v>-68527.679999999993</v>
      </c>
      <c r="N93" s="188">
        <f t="shared" si="19"/>
        <v>-0.17131919999999998</v>
      </c>
      <c r="O93" s="180" t="b">
        <f t="shared" si="29"/>
        <v>1</v>
      </c>
      <c r="P93" s="188">
        <f>COUNTIF(O$2:O93, TRUE)/(COUNTIF(O$2:O93,FALSE) + COUNTIF(O$2:O93, TRUE))</f>
        <v>0.45652173913043476</v>
      </c>
      <c r="Q93" s="345"/>
      <c r="R93" s="345"/>
      <c r="S93" s="345"/>
      <c r="T93" s="345"/>
      <c r="U93" s="188">
        <f>STDEV(D$2:D93)*SQRT(252)</f>
        <v>0.20373721805124861</v>
      </c>
      <c r="V93" s="188">
        <f>STDEV(L$2:L93)*SQRT(252)</f>
        <v>0.29815917239051543</v>
      </c>
      <c r="W93" s="180">
        <f t="shared" si="23"/>
        <v>-0.57458973549743364</v>
      </c>
    </row>
    <row r="94" spans="2:23" ht="20.100000000000001" customHeight="1" x14ac:dyDescent="0.25">
      <c r="B94" s="176">
        <v>42366</v>
      </c>
      <c r="C94" s="220">
        <v>2056.5</v>
      </c>
      <c r="D94" s="175">
        <f t="shared" si="24"/>
        <v>-2.178564670376752E-3</v>
      </c>
      <c r="E94" s="214">
        <f t="shared" si="26"/>
        <v>-2.1850801925381962E-2</v>
      </c>
      <c r="F94" s="224">
        <v>5040.99</v>
      </c>
      <c r="G94" s="175">
        <f t="shared" si="21"/>
        <v>-1.4855927217841374E-3</v>
      </c>
      <c r="H94" s="208">
        <f t="shared" si="27"/>
        <v>-9.9593456016654636E-3</v>
      </c>
      <c r="I94" s="226">
        <v>324433.87</v>
      </c>
      <c r="J94" s="177">
        <v>400000</v>
      </c>
      <c r="K94" s="177">
        <f t="shared" si="28"/>
        <v>-7038.4500000000116</v>
      </c>
      <c r="L94" s="175">
        <f t="shared" si="25"/>
        <v>-2.1233899711445021E-2</v>
      </c>
      <c r="M94" s="187">
        <f t="shared" ref="M94:M125" si="30">I94-J94</f>
        <v>-75566.13</v>
      </c>
      <c r="N94" s="189">
        <f t="shared" ref="N94:N125" si="31">M94/J94</f>
        <v>-0.18891532500000002</v>
      </c>
      <c r="O94" s="187" t="b">
        <f t="shared" si="29"/>
        <v>0</v>
      </c>
      <c r="P94" s="189">
        <f>COUNTIF(O$2:O94, TRUE)/(COUNTIF(O$2:O94,FALSE) + COUNTIF(O$2:O94, TRUE))</f>
        <v>0.45161290322580644</v>
      </c>
      <c r="Q94" s="346"/>
      <c r="R94" s="346"/>
      <c r="S94" s="346"/>
      <c r="T94" s="346"/>
      <c r="U94" s="189">
        <f>STDEV(D$2:D94)*SQRT(252)</f>
        <v>0.20264285644820698</v>
      </c>
      <c r="V94" s="189">
        <f>STDEV(L$2:L94)*SQRT(252)</f>
        <v>0.29842518034690152</v>
      </c>
      <c r="W94" s="187">
        <f t="shared" si="23"/>
        <v>-0.63304083382105092</v>
      </c>
    </row>
    <row r="95" spans="2:23" ht="20.100000000000001" customHeight="1" x14ac:dyDescent="0.25">
      <c r="B95" s="176">
        <v>42367</v>
      </c>
      <c r="C95" s="213">
        <v>2078.36</v>
      </c>
      <c r="D95" s="175">
        <f t="shared" si="24"/>
        <v>1.0629710673474412E-2</v>
      </c>
      <c r="E95" s="214">
        <f t="shared" si="26"/>
        <v>-1.1453358954357758E-2</v>
      </c>
      <c r="F95" s="224">
        <v>5107.9399999999996</v>
      </c>
      <c r="G95" s="175">
        <f t="shared" si="21"/>
        <v>1.3281121367033027E-2</v>
      </c>
      <c r="H95" s="208">
        <f t="shared" si="27"/>
        <v>3.1895044876956188E-3</v>
      </c>
      <c r="I95" s="226">
        <v>326263</v>
      </c>
      <c r="J95" s="177">
        <v>400000</v>
      </c>
      <c r="K95" s="177">
        <f t="shared" si="28"/>
        <v>1829.1300000000047</v>
      </c>
      <c r="L95" s="175">
        <f t="shared" si="25"/>
        <v>5.6379132055478813E-3</v>
      </c>
      <c r="M95" s="187">
        <f t="shared" si="30"/>
        <v>-73737</v>
      </c>
      <c r="N95" s="189">
        <f t="shared" si="31"/>
        <v>-0.18434249999999999</v>
      </c>
      <c r="O95" s="187" t="b">
        <f t="shared" si="29"/>
        <v>0</v>
      </c>
      <c r="P95" s="189">
        <f>COUNTIF(O$2:O95, TRUE)/(COUNTIF(O$2:O95,FALSE) + COUNTIF(O$2:O95, TRUE))</f>
        <v>0.44680851063829785</v>
      </c>
      <c r="Q95" s="346"/>
      <c r="R95" s="346"/>
      <c r="S95" s="346"/>
      <c r="T95" s="346"/>
      <c r="U95" s="189">
        <f>STDEV(D$2:D95)*SQRT(252)</f>
        <v>0.2023195411541808</v>
      </c>
      <c r="V95" s="189">
        <f>STDEV(L$2:L95)*SQRT(252)</f>
        <v>0.29700566198828871</v>
      </c>
      <c r="W95" s="187">
        <f t="shared" si="23"/>
        <v>-0.620669985770402</v>
      </c>
    </row>
    <row r="96" spans="2:23" ht="20.100000000000001" customHeight="1" x14ac:dyDescent="0.25">
      <c r="B96" s="176">
        <v>42368</v>
      </c>
      <c r="C96" s="213">
        <v>2063.36</v>
      </c>
      <c r="D96" s="175">
        <f t="shared" si="24"/>
        <v>-7.2172289689947837E-3</v>
      </c>
      <c r="E96" s="214">
        <f>(C96-$C$2)/$C$2</f>
        <v>-1.8587926409314857E-2</v>
      </c>
      <c r="F96" s="224">
        <v>5065.84</v>
      </c>
      <c r="G96" s="175">
        <f t="shared" si="21"/>
        <v>-8.242070188764836E-3</v>
      </c>
      <c r="H96" s="208">
        <f t="shared" si="27"/>
        <v>-5.0788538209241849E-3</v>
      </c>
      <c r="I96" s="226">
        <v>318053.19</v>
      </c>
      <c r="J96" s="177">
        <v>400000</v>
      </c>
      <c r="K96" s="177">
        <f t="shared" si="28"/>
        <v>-8209.8099999999977</v>
      </c>
      <c r="L96" s="175">
        <f t="shared" si="25"/>
        <v>-2.5163165912162881E-2</v>
      </c>
      <c r="M96" s="187">
        <f t="shared" si="30"/>
        <v>-81946.81</v>
      </c>
      <c r="N96" s="189">
        <f t="shared" si="31"/>
        <v>-0.20486702499999998</v>
      </c>
      <c r="O96" s="187" t="b">
        <f t="shared" si="29"/>
        <v>0</v>
      </c>
      <c r="P96" s="189">
        <f>COUNTIF(O$2:O96, TRUE)/(COUNTIF(O$2:O96,FALSE) + COUNTIF(O$2:O96, TRUE))</f>
        <v>0.44210526315789472</v>
      </c>
      <c r="Q96" s="346"/>
      <c r="R96" s="346"/>
      <c r="S96" s="346"/>
      <c r="T96" s="346"/>
      <c r="U96" s="189">
        <f>STDEV(D$2:D96)*SQRT(252)</f>
        <v>0.20157138397467259</v>
      </c>
      <c r="V96" s="189">
        <f>STDEV(L$2:L96)*SQRT(252)</f>
        <v>0.29803742324397353</v>
      </c>
      <c r="W96" s="187">
        <f t="shared" si="23"/>
        <v>-0.68738691527438067</v>
      </c>
    </row>
    <row r="97" spans="2:23" ht="20.100000000000001" customHeight="1" x14ac:dyDescent="0.25">
      <c r="B97" s="176">
        <v>42369</v>
      </c>
      <c r="C97" s="213">
        <v>2043.94</v>
      </c>
      <c r="D97" s="175">
        <f t="shared" si="24"/>
        <v>-9.4118331265509031E-3</v>
      </c>
      <c r="E97" s="214">
        <f>(C97-$C$2)/$C$2</f>
        <v>-2.7824813074332679E-2</v>
      </c>
      <c r="F97" s="224">
        <v>5007.41</v>
      </c>
      <c r="G97" s="175">
        <f t="shared" si="21"/>
        <v>-1.1534118724634076E-2</v>
      </c>
      <c r="H97" s="208">
        <f t="shared" si="27"/>
        <v>-1.655439244260266E-2</v>
      </c>
      <c r="I97" s="428">
        <v>320884.32</v>
      </c>
      <c r="J97" s="177">
        <v>400000</v>
      </c>
      <c r="K97" s="177">
        <f t="shared" si="28"/>
        <v>2831.1300000000047</v>
      </c>
      <c r="L97" s="175">
        <f t="shared" si="25"/>
        <v>8.9014356372278634E-3</v>
      </c>
      <c r="M97" s="187">
        <f t="shared" si="30"/>
        <v>-79115.679999999993</v>
      </c>
      <c r="N97" s="189">
        <f t="shared" si="31"/>
        <v>-0.19778919999999997</v>
      </c>
      <c r="O97" s="187" t="b">
        <f t="shared" si="29"/>
        <v>1</v>
      </c>
      <c r="P97" s="189">
        <f>COUNTIF(O$2:O97, TRUE)/(COUNTIF(O$2:O97,FALSE) + COUNTIF(O$2:O97, TRUE))</f>
        <v>0.44791666666666669</v>
      </c>
      <c r="Q97" s="346"/>
      <c r="R97" s="346"/>
      <c r="S97" s="346"/>
      <c r="T97" s="346"/>
      <c r="U97" s="189">
        <f>STDEV(D$2:D97)*SQRT(252)</f>
        <v>0.20106669704355981</v>
      </c>
      <c r="V97" s="189">
        <f>STDEV(L$2:L97)*SQRT(252)</f>
        <v>0.29691114338787766</v>
      </c>
      <c r="W97" s="187">
        <f t="shared" si="23"/>
        <v>-0.66615620331101166</v>
      </c>
    </row>
    <row r="98" spans="2:23" ht="20.100000000000001" customHeight="1" x14ac:dyDescent="0.25">
      <c r="B98" s="171">
        <v>42373</v>
      </c>
      <c r="C98" s="203">
        <v>2012.66</v>
      </c>
      <c r="D98" s="175">
        <f t="shared" si="24"/>
        <v>-1.5303776040392561E-2</v>
      </c>
      <c r="E98" s="204">
        <f t="shared" ref="E98:E103" si="32">(C98-$C$2)/$C$2</f>
        <v>-4.2702764407069868E-2</v>
      </c>
      <c r="F98" s="221">
        <v>4903.08</v>
      </c>
      <c r="G98" s="175">
        <f t="shared" si="21"/>
        <v>-2.0835122348679243E-2</v>
      </c>
      <c r="H98" s="206">
        <f t="shared" si="27"/>
        <v>-3.7044601999332225E-2</v>
      </c>
      <c r="I98" s="225">
        <v>323756.46999999997</v>
      </c>
      <c r="J98" s="173">
        <v>400000</v>
      </c>
      <c r="K98" s="173">
        <f t="shared" si="28"/>
        <v>2872.1499999999651</v>
      </c>
      <c r="L98" s="175">
        <f t="shared" si="25"/>
        <v>8.950733398253816E-3</v>
      </c>
      <c r="M98" s="180">
        <f t="shared" si="30"/>
        <v>-76243.530000000028</v>
      </c>
      <c r="N98" s="188">
        <f t="shared" si="31"/>
        <v>-0.19060882500000007</v>
      </c>
      <c r="O98" s="180" t="b">
        <f t="shared" si="29"/>
        <v>1</v>
      </c>
      <c r="P98" s="188">
        <f>COUNTIF(O$2:O98, TRUE)/(COUNTIF(O$2:O98,FALSE) + COUNTIF(O$2:O98, TRUE))</f>
        <v>0.45360824742268041</v>
      </c>
      <c r="Q98" s="345"/>
      <c r="R98" s="345"/>
      <c r="S98" s="345"/>
      <c r="T98" s="345"/>
      <c r="U98" s="188">
        <f>STDEV(D$2:D98)*SQRT(252)</f>
        <v>0.20149367115092381</v>
      </c>
      <c r="V98" s="188">
        <f>STDEV(L$2:L98)*SQRT(252)</f>
        <v>0.29579926006722401</v>
      </c>
      <c r="W98" s="180">
        <f t="shared" si="23"/>
        <v>-0.6443857396961773</v>
      </c>
    </row>
    <row r="99" spans="2:23" ht="20.100000000000001" customHeight="1" x14ac:dyDescent="0.25">
      <c r="B99" s="171">
        <v>42374</v>
      </c>
      <c r="C99" s="203">
        <v>2016.71</v>
      </c>
      <c r="D99" s="175">
        <f t="shared" si="24"/>
        <v>2.0122623791400209E-3</v>
      </c>
      <c r="E99" s="204">
        <f t="shared" si="32"/>
        <v>-4.0776431194231473E-2</v>
      </c>
      <c r="F99" s="221">
        <v>4891.43</v>
      </c>
      <c r="G99" s="175">
        <f t="shared" si="21"/>
        <v>-2.3760574985518565E-3</v>
      </c>
      <c r="H99" s="206">
        <f t="shared" si="27"/>
        <v>-3.9332639393522703E-2</v>
      </c>
      <c r="I99" s="225">
        <v>326120.51</v>
      </c>
      <c r="J99" s="173">
        <v>400000</v>
      </c>
      <c r="K99" s="173">
        <f t="shared" si="28"/>
        <v>2364.0400000000373</v>
      </c>
      <c r="L99" s="175">
        <f t="shared" si="25"/>
        <v>7.3019081286623787E-3</v>
      </c>
      <c r="M99" s="180">
        <f t="shared" si="30"/>
        <v>-73879.489999999991</v>
      </c>
      <c r="N99" s="188">
        <f t="shared" si="31"/>
        <v>-0.18469872499999998</v>
      </c>
      <c r="O99" s="180" t="b">
        <f t="shared" si="29"/>
        <v>1</v>
      </c>
      <c r="P99" s="188">
        <f>COUNTIF(O$2:O99, TRUE)/(COUNTIF(O$2:O99,FALSE) + COUNTIF(O$2:O99, TRUE))</f>
        <v>0.45918367346938777</v>
      </c>
      <c r="Q99" s="345"/>
      <c r="R99" s="345"/>
      <c r="S99" s="345"/>
      <c r="T99" s="345"/>
      <c r="U99" s="188">
        <f>STDEV(D$2:D99)*SQRT(252)</f>
        <v>0.20047839614181759</v>
      </c>
      <c r="V99" s="188">
        <f>STDEV(L$2:L99)*SQRT(252)</f>
        <v>0.29456352660323443</v>
      </c>
      <c r="W99" s="180">
        <f t="shared" si="23"/>
        <v>-0.62702510093444785</v>
      </c>
    </row>
    <row r="100" spans="2:23" ht="20.100000000000001" customHeight="1" x14ac:dyDescent="0.25">
      <c r="B100" s="171">
        <v>42375</v>
      </c>
      <c r="C100" s="203">
        <v>1990.26</v>
      </c>
      <c r="D100" s="175">
        <f t="shared" si="24"/>
        <v>-1.3115420660382527E-2</v>
      </c>
      <c r="E100" s="204">
        <f t="shared" si="32"/>
        <v>-5.3357051806472509E-2</v>
      </c>
      <c r="F100" s="221">
        <v>4835.76</v>
      </c>
      <c r="G100" s="175">
        <f t="shared" si="21"/>
        <v>-1.1381129853641996E-2</v>
      </c>
      <c r="H100" s="206">
        <f t="shared" si="27"/>
        <v>-5.026611937074054E-2</v>
      </c>
      <c r="I100" s="225">
        <v>307215.3</v>
      </c>
      <c r="J100" s="173">
        <v>400000</v>
      </c>
      <c r="K100" s="173">
        <f t="shared" si="28"/>
        <v>-18905.210000000021</v>
      </c>
      <c r="L100" s="175">
        <f t="shared" si="25"/>
        <v>-5.7970012373646844E-2</v>
      </c>
      <c r="M100" s="180">
        <f t="shared" si="30"/>
        <v>-92784.700000000012</v>
      </c>
      <c r="N100" s="188">
        <f t="shared" si="31"/>
        <v>-0.23196175000000002</v>
      </c>
      <c r="O100" s="180" t="b">
        <f t="shared" si="29"/>
        <v>0</v>
      </c>
      <c r="P100" s="188">
        <f>COUNTIF(O$2:O100, TRUE)/(COUNTIF(O$2:O100,FALSE) + COUNTIF(O$2:O100, TRUE))</f>
        <v>0.45454545454545453</v>
      </c>
      <c r="Q100" s="345"/>
      <c r="R100" s="345"/>
      <c r="S100" s="345"/>
      <c r="T100" s="345"/>
      <c r="U100" s="188">
        <f>STDEV(D$2:D100)*SQRT(252)</f>
        <v>0.20049006957671658</v>
      </c>
      <c r="V100" s="188">
        <f>STDEV(L$2:L100)*SQRT(252)</f>
        <v>0.30696087260477756</v>
      </c>
      <c r="W100" s="180">
        <f t="shared" si="23"/>
        <v>-0.75567204390462683</v>
      </c>
    </row>
    <row r="101" spans="2:23" ht="20.100000000000001" customHeight="1" x14ac:dyDescent="0.25">
      <c r="B101" s="171">
        <v>42376</v>
      </c>
      <c r="C101" s="209">
        <v>1943.09</v>
      </c>
      <c r="D101" s="175">
        <f t="shared" si="24"/>
        <v>-2.3700421050516049E-2</v>
      </c>
      <c r="E101" s="204">
        <f t="shared" si="32"/>
        <v>-7.5792888263160968E-2</v>
      </c>
      <c r="F101" s="221">
        <v>4689.42</v>
      </c>
      <c r="G101" s="175">
        <f t="shared" si="21"/>
        <v>-3.0262047744304958E-2</v>
      </c>
      <c r="H101" s="206">
        <f t="shared" si="27"/>
        <v>-7.9007011410727218E-2</v>
      </c>
      <c r="I101" s="225">
        <v>296450.84999999998</v>
      </c>
      <c r="J101" s="173">
        <v>400000</v>
      </c>
      <c r="K101" s="173">
        <f t="shared" si="28"/>
        <v>-10764.450000000012</v>
      </c>
      <c r="L101" s="175">
        <f t="shared" si="25"/>
        <v>-3.503878224814979E-2</v>
      </c>
      <c r="M101" s="180">
        <f t="shared" si="30"/>
        <v>-103549.15000000002</v>
      </c>
      <c r="N101" s="188">
        <f t="shared" si="31"/>
        <v>-0.25887287500000006</v>
      </c>
      <c r="O101" s="180" t="b">
        <f t="shared" si="29"/>
        <v>0</v>
      </c>
      <c r="P101" s="188">
        <f>COUNTIF(O$2:O101, TRUE)/(COUNTIF(O$2:O101,FALSE) + COUNTIF(O$2:O101, TRUE))</f>
        <v>0.45</v>
      </c>
      <c r="Q101" s="345"/>
      <c r="R101" s="345"/>
      <c r="S101" s="345"/>
      <c r="T101" s="345"/>
      <c r="U101" s="188">
        <f>STDEV(D$2:D101)*SQRT(252)</f>
        <v>0.20287568849216503</v>
      </c>
      <c r="V101" s="188">
        <f>STDEV(L$2:L101)*SQRT(252)</f>
        <v>0.3100263800011836</v>
      </c>
      <c r="W101" s="180">
        <f t="shared" si="23"/>
        <v>-0.83500273428026273</v>
      </c>
    </row>
    <row r="102" spans="2:23" ht="20.100000000000001" customHeight="1" x14ac:dyDescent="0.25">
      <c r="B102" s="171">
        <v>42377</v>
      </c>
      <c r="C102" s="209">
        <v>1922.03</v>
      </c>
      <c r="D102" s="175">
        <f t="shared" si="24"/>
        <v>-1.0838406867412187E-2</v>
      </c>
      <c r="E102" s="204">
        <f t="shared" si="32"/>
        <v>-8.5809820969920694E-2</v>
      </c>
      <c r="F102" s="221">
        <v>4643.63</v>
      </c>
      <c r="G102" s="175">
        <f t="shared" si="21"/>
        <v>-9.7645337802969162E-3</v>
      </c>
      <c r="H102" s="206">
        <f t="shared" si="27"/>
        <v>-8.8000078559223788E-2</v>
      </c>
      <c r="I102" s="225">
        <v>291709.24</v>
      </c>
      <c r="J102" s="173">
        <v>400000</v>
      </c>
      <c r="K102" s="173">
        <f t="shared" si="28"/>
        <v>-4741.609999999986</v>
      </c>
      <c r="L102" s="175">
        <f t="shared" si="25"/>
        <v>-1.5994590671607068E-2</v>
      </c>
      <c r="M102" s="180">
        <f t="shared" si="30"/>
        <v>-108290.76000000001</v>
      </c>
      <c r="N102" s="188">
        <f t="shared" si="31"/>
        <v>-0.27072690000000005</v>
      </c>
      <c r="O102" s="180" t="b">
        <f t="shared" si="29"/>
        <v>0</v>
      </c>
      <c r="P102" s="188">
        <f>COUNTIF(O$2:O102, TRUE)/(COUNTIF(O$2:O102,FALSE) + COUNTIF(O$2:O102, TRUE))</f>
        <v>0.44554455445544555</v>
      </c>
      <c r="Q102" s="345"/>
      <c r="R102" s="345"/>
      <c r="S102" s="345"/>
      <c r="T102" s="345"/>
      <c r="U102" s="188">
        <f>STDEV(D$2:D102)*SQRT(252)</f>
        <v>0.20248720457618641</v>
      </c>
      <c r="V102" s="188">
        <f>STDEV(L$2:L102)*SQRT(252)</f>
        <v>0.30926714125463156</v>
      </c>
      <c r="W102" s="180">
        <f t="shared" si="23"/>
        <v>-0.87538203671336734</v>
      </c>
    </row>
    <row r="103" spans="2:23" ht="20.100000000000001" customHeight="1" x14ac:dyDescent="0.25">
      <c r="B103" s="176">
        <v>42380</v>
      </c>
      <c r="C103" s="220">
        <v>1923.67</v>
      </c>
      <c r="D103" s="175">
        <f t="shared" si="24"/>
        <v>8.5326451720321749E-4</v>
      </c>
      <c r="E103" s="214">
        <f t="shared" si="32"/>
        <v>-8.5029774928178675E-2</v>
      </c>
      <c r="F103" s="224">
        <v>4637.9799999999996</v>
      </c>
      <c r="G103" s="175">
        <f t="shared" si="21"/>
        <v>-1.2167205397502698E-3</v>
      </c>
      <c r="H103" s="208">
        <f t="shared" si="27"/>
        <v>-8.9109727595891405E-2</v>
      </c>
      <c r="I103" s="226">
        <v>278511.46999999997</v>
      </c>
      <c r="J103" s="177">
        <v>400000</v>
      </c>
      <c r="K103" s="177">
        <f t="shared" si="28"/>
        <v>-13197.770000000019</v>
      </c>
      <c r="L103" s="175">
        <f t="shared" si="25"/>
        <v>-4.5242893231630298E-2</v>
      </c>
      <c r="M103" s="187">
        <f t="shared" si="30"/>
        <v>-121488.53000000003</v>
      </c>
      <c r="N103" s="189">
        <f t="shared" si="31"/>
        <v>-0.3037213250000001</v>
      </c>
      <c r="O103" s="187" t="b">
        <f t="shared" si="29"/>
        <v>0</v>
      </c>
      <c r="P103" s="189">
        <f>COUNTIF(O$2:O103, TRUE)/(COUNTIF(O$2:O103,FALSE) + COUNTIF(O$2:O103, TRUE))</f>
        <v>0.44117647058823528</v>
      </c>
      <c r="Q103" s="346"/>
      <c r="R103" s="346"/>
      <c r="S103" s="346"/>
      <c r="T103" s="346"/>
      <c r="U103" s="189">
        <f>STDEV(D$2:D103)*SQRT(252)</f>
        <v>0.20148947946934948</v>
      </c>
      <c r="V103" s="189">
        <f>STDEV(L$2:L103)*SQRT(252)</f>
        <v>0.31519307674971891</v>
      </c>
      <c r="W103" s="187">
        <f t="shared" si="23"/>
        <v>-0.96360404908630648</v>
      </c>
    </row>
    <row r="104" spans="2:23" ht="20.100000000000001" customHeight="1" x14ac:dyDescent="0.25">
      <c r="B104" s="176">
        <v>42381</v>
      </c>
      <c r="C104" s="213">
        <v>1938.68</v>
      </c>
      <c r="D104" s="175">
        <f t="shared" si="24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1"/>
        <v>1.0269557005420487E-2</v>
      </c>
      <c r="H104" s="208">
        <f t="shared" si="27"/>
        <v>-7.9755288017754417E-2</v>
      </c>
      <c r="I104" s="226">
        <v>272280.59000000003</v>
      </c>
      <c r="J104" s="177">
        <v>400000</v>
      </c>
      <c r="K104" s="177">
        <f t="shared" si="28"/>
        <v>-6230.8799999999464</v>
      </c>
      <c r="L104" s="175">
        <f t="shared" si="25"/>
        <v>-2.2372076812491589E-2</v>
      </c>
      <c r="M104" s="187">
        <f t="shared" si="30"/>
        <v>-127719.40999999997</v>
      </c>
      <c r="N104" s="189">
        <f t="shared" si="31"/>
        <v>-0.31929852499999994</v>
      </c>
      <c r="O104" s="187" t="b">
        <f t="shared" si="29"/>
        <v>0</v>
      </c>
      <c r="P104" s="189">
        <f>COUNTIF(O$2:O104, TRUE)/(COUNTIF(O$2:O104,FALSE) + COUNTIF(O$2:O104, TRUE))</f>
        <v>0.43689320388349512</v>
      </c>
      <c r="Q104" s="346"/>
      <c r="R104" s="346"/>
      <c r="S104" s="346"/>
      <c r="T104" s="346"/>
      <c r="U104" s="189">
        <f>STDEV(D$2:D104)*SQRT(252)</f>
        <v>0.20094495344626548</v>
      </c>
      <c r="V104" s="189">
        <f>STDEV(L$2:L104)*SQRT(252)</f>
        <v>0.31518540993187888</v>
      </c>
      <c r="W104" s="187">
        <f t="shared" si="23"/>
        <v>-1.0130498269859953</v>
      </c>
    </row>
    <row r="105" spans="2:23" ht="20.100000000000001" customHeight="1" x14ac:dyDescent="0.25">
      <c r="B105" s="176">
        <v>42382</v>
      </c>
      <c r="C105" s="213">
        <v>1890.28</v>
      </c>
      <c r="D105" s="175">
        <f t="shared" si="24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1"/>
        <v>-3.4051062721822623E-2</v>
      </c>
      <c r="H105" s="208">
        <f t="shared" si="27"/>
        <v>-0.11109059842488746</v>
      </c>
      <c r="I105" s="226">
        <v>259060.64</v>
      </c>
      <c r="J105" s="177">
        <v>400000</v>
      </c>
      <c r="K105" s="177">
        <f t="shared" si="28"/>
        <v>-13219.950000000012</v>
      </c>
      <c r="L105" s="175">
        <f t="shared" si="25"/>
        <v>-4.8552671345394142E-2</v>
      </c>
      <c r="M105" s="187">
        <f t="shared" si="30"/>
        <v>-140939.35999999999</v>
      </c>
      <c r="N105" s="189">
        <f t="shared" si="31"/>
        <v>-0.35234839999999995</v>
      </c>
      <c r="O105" s="187" t="b">
        <f t="shared" si="29"/>
        <v>0</v>
      </c>
      <c r="P105" s="189">
        <f>COUNTIF(O$2:O105, TRUE)/(COUNTIF(O$2:O105,FALSE) + COUNTIF(O$2:O105, TRUE))</f>
        <v>0.43269230769230771</v>
      </c>
      <c r="Q105" s="346"/>
      <c r="R105" s="346"/>
      <c r="S105" s="346"/>
      <c r="T105" s="346"/>
      <c r="U105" s="189">
        <f>STDEV(D$2:D105)*SQRT(252)</f>
        <v>0.20352342454405692</v>
      </c>
      <c r="V105" s="189">
        <f>STDEV(L$2:L105)*SQRT(252)</f>
        <v>0.32174542830097441</v>
      </c>
      <c r="W105" s="187">
        <f t="shared" si="23"/>
        <v>-1.0951154826367826</v>
      </c>
    </row>
    <row r="106" spans="2:23" ht="20.100000000000001" customHeight="1" x14ac:dyDescent="0.25">
      <c r="B106" s="176">
        <v>42383</v>
      </c>
      <c r="C106" s="213">
        <v>1921.84</v>
      </c>
      <c r="D106" s="175">
        <f t="shared" si="24"/>
        <v>1.6695939225934753E-2</v>
      </c>
      <c r="E106" s="214">
        <f t="shared" ref="E106:E113" si="33">(C106-$C$2)/$C$2</f>
        <v>-8.5900192157683519E-2</v>
      </c>
      <c r="F106" s="224">
        <v>4615</v>
      </c>
      <c r="G106" s="175">
        <f t="shared" si="21"/>
        <v>1.9650645373680331E-2</v>
      </c>
      <c r="H106" s="208">
        <f t="shared" si="27"/>
        <v>-9.3622955005204511E-2</v>
      </c>
      <c r="I106" s="226">
        <v>267077.40000000002</v>
      </c>
      <c r="J106" s="177">
        <v>400000</v>
      </c>
      <c r="K106" s="177">
        <f t="shared" si="28"/>
        <v>8016.7600000000093</v>
      </c>
      <c r="L106" s="175">
        <f t="shared" si="25"/>
        <v>3.0945496004333228E-2</v>
      </c>
      <c r="M106" s="187">
        <f t="shared" si="30"/>
        <v>-132922.59999999998</v>
      </c>
      <c r="N106" s="189">
        <f t="shared" si="31"/>
        <v>-0.33230649999999995</v>
      </c>
      <c r="O106" s="187" t="b">
        <f t="shared" si="29"/>
        <v>1</v>
      </c>
      <c r="P106" s="189">
        <f>COUNTIF(O$2:O106, TRUE)/(COUNTIF(O$2:O106,FALSE) + COUNTIF(O$2:O106, TRUE))</f>
        <v>0.43809523809523809</v>
      </c>
      <c r="Q106" s="346"/>
      <c r="R106" s="346"/>
      <c r="S106" s="346"/>
      <c r="T106" s="346"/>
      <c r="U106" s="189">
        <f>STDEV(D$2:D106)*SQRT(252)</f>
        <v>0.20438733546247476</v>
      </c>
      <c r="V106" s="189">
        <f>STDEV(L$2:L106)*SQRT(252)</f>
        <v>0.32453820781135018</v>
      </c>
      <c r="W106" s="187">
        <f t="shared" si="23"/>
        <v>-1.023936448780679</v>
      </c>
    </row>
    <row r="107" spans="2:23" ht="20.100000000000001" customHeight="1" x14ac:dyDescent="0.25">
      <c r="B107" s="176">
        <v>42384</v>
      </c>
      <c r="C107" s="213">
        <v>1880.33</v>
      </c>
      <c r="D107" s="175">
        <f t="shared" si="24"/>
        <v>-2.1599092536319357E-2</v>
      </c>
      <c r="E107" s="214">
        <f t="shared" si="33"/>
        <v>-0.10564391849470145</v>
      </c>
      <c r="F107" s="224">
        <v>4488.41</v>
      </c>
      <c r="G107" s="175">
        <f t="shared" si="21"/>
        <v>-2.7430119176598083E-2</v>
      </c>
      <c r="H107" s="208">
        <f t="shared" ref="H107:H121" si="34">(F107-F$2)/F$2</f>
        <v>-0.11848498536834456</v>
      </c>
      <c r="I107" s="226">
        <v>249397.57</v>
      </c>
      <c r="J107" s="177">
        <v>400000</v>
      </c>
      <c r="K107" s="177">
        <f t="shared" si="28"/>
        <v>-17679.830000000016</v>
      </c>
      <c r="L107" s="175">
        <f t="shared" si="25"/>
        <v>-6.619740195164403E-2</v>
      </c>
      <c r="M107" s="187">
        <f t="shared" si="30"/>
        <v>-150602.43</v>
      </c>
      <c r="N107" s="189">
        <f t="shared" si="31"/>
        <v>-0.376506075</v>
      </c>
      <c r="O107" s="187" t="b">
        <f t="shared" si="29"/>
        <v>0</v>
      </c>
      <c r="P107" s="189">
        <f>COUNTIF(O$2:O107, TRUE)/(COUNTIF(O$2:O107,FALSE) + COUNTIF(O$2:O107, TRUE))</f>
        <v>0.43396226415094341</v>
      </c>
      <c r="Q107" s="346"/>
      <c r="R107" s="346"/>
      <c r="S107" s="346"/>
      <c r="T107" s="346"/>
      <c r="U107" s="189">
        <f>STDEV(D$2:D107)*SQRT(252)</f>
        <v>0.20594332584152428</v>
      </c>
      <c r="V107" s="189">
        <f>STDEV(L$2:L107)*SQRT(252)</f>
        <v>0.33758588878684614</v>
      </c>
      <c r="W107" s="187">
        <f t="shared" si="23"/>
        <v>-1.1152897307201377</v>
      </c>
    </row>
    <row r="108" spans="2:23" ht="20.100000000000001" customHeight="1" x14ac:dyDescent="0.25">
      <c r="B108" s="171">
        <v>42388</v>
      </c>
      <c r="C108" s="203">
        <v>1881.33</v>
      </c>
      <c r="D108" s="175">
        <f t="shared" si="24"/>
        <v>5.3182154196337883E-4</v>
      </c>
      <c r="E108" s="204">
        <f t="shared" si="33"/>
        <v>-0.10516828066437098</v>
      </c>
      <c r="F108" s="221">
        <v>4476.95</v>
      </c>
      <c r="G108" s="175">
        <f t="shared" si="21"/>
        <v>-2.5532426850488339E-3</v>
      </c>
      <c r="H108" s="206">
        <f t="shared" si="34"/>
        <v>-0.12073570713121355</v>
      </c>
      <c r="I108" s="225">
        <v>241697.04</v>
      </c>
      <c r="J108" s="173">
        <v>400000</v>
      </c>
      <c r="K108" s="173">
        <f t="shared" si="28"/>
        <v>-7700.5300000000279</v>
      </c>
      <c r="L108" s="175">
        <f t="shared" si="25"/>
        <v>-3.0876523776875723E-2</v>
      </c>
      <c r="M108" s="180">
        <f t="shared" si="30"/>
        <v>-158302.96</v>
      </c>
      <c r="N108" s="188">
        <f t="shared" si="31"/>
        <v>-0.39575739999999998</v>
      </c>
      <c r="O108" s="180" t="b">
        <f t="shared" si="29"/>
        <v>0</v>
      </c>
      <c r="P108" s="188">
        <f>COUNTIF(O$2:O108, TRUE)/(COUNTIF(O$2:O108,FALSE) + COUNTIF(O$2:O108, TRUE))</f>
        <v>0.42990654205607476</v>
      </c>
      <c r="Q108" s="345"/>
      <c r="R108" s="345"/>
      <c r="S108" s="345"/>
      <c r="T108" s="345"/>
      <c r="U108" s="188">
        <f>STDEV(D$2:D108)*SQRT(252)</f>
        <v>0.20497353903003479</v>
      </c>
      <c r="V108" s="188">
        <f>STDEV(L$2:L108)*SQRT(252)</f>
        <v>0.33863790038958375</v>
      </c>
      <c r="W108" s="180">
        <f t="shared" si="23"/>
        <v>-1.1686742669521146</v>
      </c>
    </row>
    <row r="109" spans="2:23" ht="20.100000000000001" customHeight="1" x14ac:dyDescent="0.25">
      <c r="B109" s="171">
        <v>42389</v>
      </c>
      <c r="C109" s="203">
        <v>1859.33</v>
      </c>
      <c r="D109" s="175">
        <f t="shared" si="24"/>
        <v>-1.1693854879260949E-2</v>
      </c>
      <c r="E109" s="204">
        <f t="shared" si="33"/>
        <v>-0.11563231293164139</v>
      </c>
      <c r="F109" s="221">
        <v>4471.68</v>
      </c>
      <c r="G109" s="175">
        <f t="shared" si="21"/>
        <v>-1.1771406872981666E-3</v>
      </c>
      <c r="H109" s="206">
        <f t="shared" si="34"/>
        <v>-0.12177072490523785</v>
      </c>
      <c r="I109" s="225">
        <v>239001.56</v>
      </c>
      <c r="J109" s="173">
        <v>400000</v>
      </c>
      <c r="K109" s="173">
        <f t="shared" si="28"/>
        <v>-2695.4799999999814</v>
      </c>
      <c r="L109" s="175">
        <f t="shared" si="25"/>
        <v>-1.1152308691906121E-2</v>
      </c>
      <c r="M109" s="180">
        <f t="shared" si="30"/>
        <v>-160998.44</v>
      </c>
      <c r="N109" s="188">
        <f t="shared" si="31"/>
        <v>-0.40249610000000002</v>
      </c>
      <c r="O109" s="180" t="b">
        <f t="shared" si="29"/>
        <v>1</v>
      </c>
      <c r="P109" s="188">
        <f>COUNTIF(O$2:O109, TRUE)/(COUNTIF(O$2:O109,FALSE) + COUNTIF(O$2:O109, TRUE))</f>
        <v>0.43518518518518517</v>
      </c>
      <c r="Q109" s="345"/>
      <c r="R109" s="345"/>
      <c r="S109" s="345"/>
      <c r="T109" s="345"/>
      <c r="U109" s="188">
        <f>STDEV(D$2:D109)*SQRT(252)</f>
        <v>0.20466775158586656</v>
      </c>
      <c r="V109" s="188">
        <f>STDEV(L$2:L109)*SQRT(252)</f>
        <v>0.33723365750596535</v>
      </c>
      <c r="W109" s="180">
        <f t="shared" si="23"/>
        <v>-1.1935229211007214</v>
      </c>
    </row>
    <row r="110" spans="2:23" ht="20.100000000000001" customHeight="1" x14ac:dyDescent="0.25">
      <c r="B110" s="171">
        <v>42390</v>
      </c>
      <c r="C110" s="203">
        <v>1868.99</v>
      </c>
      <c r="D110" s="175">
        <f t="shared" si="24"/>
        <v>5.1954198555394055E-3</v>
      </c>
      <c r="E110" s="204">
        <f t="shared" si="33"/>
        <v>-0.11103765149064898</v>
      </c>
      <c r="F110" s="221">
        <v>4472.0600000000004</v>
      </c>
      <c r="G110" s="175">
        <f t="shared" si="21"/>
        <v>8.4979247173346285E-5</v>
      </c>
      <c r="H110" s="206">
        <f t="shared" si="34"/>
        <v>-0.1216960936425947</v>
      </c>
      <c r="I110" s="225">
        <v>254991.51</v>
      </c>
      <c r="J110" s="173">
        <v>400000</v>
      </c>
      <c r="K110" s="173">
        <f t="shared" si="28"/>
        <v>15989.950000000012</v>
      </c>
      <c r="L110" s="175">
        <f t="shared" si="25"/>
        <v>6.6903119795536106E-2</v>
      </c>
      <c r="M110" s="180">
        <f t="shared" si="30"/>
        <v>-145008.49</v>
      </c>
      <c r="N110" s="188">
        <f t="shared" si="31"/>
        <v>-0.362521225</v>
      </c>
      <c r="O110" s="180" t="b">
        <f t="shared" si="29"/>
        <v>1</v>
      </c>
      <c r="P110" s="188">
        <f>COUNTIF(O$2:O110, TRUE)/(COUNTIF(O$2:O110,FALSE) + COUNTIF(O$2:O110, TRUE))</f>
        <v>0.44036697247706424</v>
      </c>
      <c r="Q110" s="345"/>
      <c r="R110" s="345"/>
      <c r="S110" s="345"/>
      <c r="T110" s="345"/>
      <c r="U110" s="188">
        <f>STDEV(D$2:D110)*SQRT(252)</f>
        <v>0.20393347244728127</v>
      </c>
      <c r="V110" s="188">
        <f>STDEV(L$2:L110)*SQRT(252)</f>
        <v>0.35256157198523613</v>
      </c>
      <c r="W110" s="180">
        <f t="shared" si="23"/>
        <v>-1.028249400405955</v>
      </c>
    </row>
    <row r="111" spans="2:23" ht="20.100000000000001" customHeight="1" x14ac:dyDescent="0.25">
      <c r="B111" s="171">
        <v>42391</v>
      </c>
      <c r="C111" s="209">
        <v>1906.9</v>
      </c>
      <c r="D111" s="175">
        <f t="shared" si="24"/>
        <v>2.0283682630725729E-2</v>
      </c>
      <c r="E111" s="204">
        <f t="shared" si="33"/>
        <v>-9.3006221342820702E-2</v>
      </c>
      <c r="F111" s="221">
        <v>4591.18</v>
      </c>
      <c r="G111" s="175">
        <f t="shared" si="21"/>
        <v>2.6636494143638476E-2</v>
      </c>
      <c r="H111" s="206">
        <f t="shared" si="34"/>
        <v>-9.8301156784570881E-2</v>
      </c>
      <c r="I111" s="225">
        <v>260098.81</v>
      </c>
      <c r="J111" s="173">
        <v>400000</v>
      </c>
      <c r="K111" s="173">
        <f t="shared" si="28"/>
        <v>5107.2999999999884</v>
      </c>
      <c r="L111" s="175">
        <f t="shared" si="25"/>
        <v>2.0029294308661447E-2</v>
      </c>
      <c r="M111" s="180">
        <f t="shared" si="30"/>
        <v>-139901.19</v>
      </c>
      <c r="N111" s="188">
        <f t="shared" si="31"/>
        <v>-0.34975297500000002</v>
      </c>
      <c r="O111" s="180" t="b">
        <f t="shared" si="29"/>
        <v>0</v>
      </c>
      <c r="P111" s="188">
        <f>COUNTIF(O$2:O111, TRUE)/(COUNTIF(O$2:O111,FALSE) + COUNTIF(O$2:O111, TRUE))</f>
        <v>0.43636363636363634</v>
      </c>
      <c r="Q111" s="345"/>
      <c r="R111" s="345"/>
      <c r="S111" s="345"/>
      <c r="T111" s="345"/>
      <c r="U111" s="188">
        <f>STDEV(D$2:D111)*SQRT(252)</f>
        <v>0.20555239783673285</v>
      </c>
      <c r="V111" s="188">
        <f>STDEV(L$2:L111)*SQRT(252)</f>
        <v>0.35267737853182896</v>
      </c>
      <c r="W111" s="180">
        <f t="shared" si="23"/>
        <v>-0.99170799231863693</v>
      </c>
    </row>
    <row r="112" spans="2:23" ht="20.100000000000001" customHeight="1" x14ac:dyDescent="0.25">
      <c r="B112" s="176">
        <v>42394</v>
      </c>
      <c r="C112" s="220">
        <v>1877.08</v>
      </c>
      <c r="D112" s="175">
        <f t="shared" si="24"/>
        <v>-1.5637946405160294E-2</v>
      </c>
      <c r="E112" s="214">
        <f t="shared" si="33"/>
        <v>-0.10718974144327549</v>
      </c>
      <c r="F112" s="224">
        <v>4518.49</v>
      </c>
      <c r="G112" s="175">
        <f t="shared" si="21"/>
        <v>-1.5832531070443873E-2</v>
      </c>
      <c r="H112" s="208">
        <f t="shared" si="34"/>
        <v>-0.11257733173596246</v>
      </c>
      <c r="I112" s="226">
        <v>241845.81</v>
      </c>
      <c r="J112" s="177">
        <v>400000</v>
      </c>
      <c r="K112" s="177">
        <f t="shared" si="28"/>
        <v>-18253</v>
      </c>
      <c r="L112" s="175">
        <f t="shared" si="25"/>
        <v>-7.0177176127795435E-2</v>
      </c>
      <c r="M112" s="187">
        <f t="shared" si="30"/>
        <v>-158154.19</v>
      </c>
      <c r="N112" s="189">
        <f t="shared" si="31"/>
        <v>-0.39538547499999999</v>
      </c>
      <c r="O112" s="187" t="b">
        <f t="shared" si="29"/>
        <v>0</v>
      </c>
      <c r="P112" s="189">
        <f>COUNTIF(O$2:O112, TRUE)/(COUNTIF(O$2:O112,FALSE) + COUNTIF(O$2:O112, TRUE))</f>
        <v>0.43243243243243246</v>
      </c>
      <c r="Q112" s="346"/>
      <c r="R112" s="346"/>
      <c r="S112" s="346"/>
      <c r="T112" s="346"/>
      <c r="U112" s="189">
        <f>STDEV(D$2:D112)*SQRT(252)</f>
        <v>0.2058342089719612</v>
      </c>
      <c r="V112" s="189">
        <f>STDEV(L$2:L112)*SQRT(252)</f>
        <v>0.36554774877731538</v>
      </c>
      <c r="W112" s="187">
        <f t="shared" si="23"/>
        <v>-1.0816247024430758</v>
      </c>
    </row>
    <row r="113" spans="2:23" ht="20.100000000000001" customHeight="1" x14ac:dyDescent="0.25">
      <c r="B113" s="176">
        <v>42395</v>
      </c>
      <c r="C113" s="213">
        <v>1903.63</v>
      </c>
      <c r="D113" s="175">
        <f t="shared" si="24"/>
        <v>1.4144309246276229E-2</v>
      </c>
      <c r="E113" s="214">
        <f t="shared" si="33"/>
        <v>-9.4561557048001343E-2</v>
      </c>
      <c r="F113" s="224">
        <v>4567.67</v>
      </c>
      <c r="G113" s="175">
        <f t="shared" si="21"/>
        <v>1.0884167055808532E-2</v>
      </c>
      <c r="H113" s="208">
        <f t="shared" si="34"/>
        <v>-0.10291847516546532</v>
      </c>
      <c r="I113" s="226">
        <v>248055.57</v>
      </c>
      <c r="J113" s="177">
        <v>400000</v>
      </c>
      <c r="K113" s="177">
        <f t="shared" si="28"/>
        <v>6209.7600000000093</v>
      </c>
      <c r="L113" s="175">
        <f t="shared" si="25"/>
        <v>2.5676525055364861E-2</v>
      </c>
      <c r="M113" s="187">
        <f t="shared" si="30"/>
        <v>-151944.43</v>
      </c>
      <c r="N113" s="189">
        <f t="shared" si="31"/>
        <v>-0.37986107499999999</v>
      </c>
      <c r="O113" s="187" t="b">
        <f t="shared" si="29"/>
        <v>1</v>
      </c>
      <c r="P113" s="189">
        <f>COUNTIF(O$2:O113, TRUE)/(COUNTIF(O$2:O113,FALSE) + COUNTIF(O$2:O113, TRUE))</f>
        <v>0.4375</v>
      </c>
      <c r="Q113" s="346"/>
      <c r="R113" s="346"/>
      <c r="S113" s="346"/>
      <c r="T113" s="346"/>
      <c r="U113" s="189">
        <f>STDEV(D$2:D113)*SQRT(252)</f>
        <v>0.20615429037873539</v>
      </c>
      <c r="V113" s="189">
        <f>STDEV(L$2:L113)*SQRT(252)</f>
        <v>0.36652123813825849</v>
      </c>
      <c r="W113" s="187">
        <f t="shared" si="23"/>
        <v>-1.0363958086835598</v>
      </c>
    </row>
    <row r="114" spans="2:23" ht="20.100000000000001" customHeight="1" x14ac:dyDescent="0.25">
      <c r="B114" s="176">
        <v>42396</v>
      </c>
      <c r="C114" s="213">
        <v>1882.95</v>
      </c>
      <c r="D114" s="175">
        <f t="shared" si="24"/>
        <v>-1.0863455608495382E-2</v>
      </c>
      <c r="E114" s="214">
        <f>(C114-$C$2)/$C$2</f>
        <v>-0.10439774737923556</v>
      </c>
      <c r="F114" s="224">
        <v>4468.16</v>
      </c>
      <c r="G114" s="175">
        <f t="shared" si="21"/>
        <v>-2.1785724450321547E-2</v>
      </c>
      <c r="H114" s="208">
        <f t="shared" si="34"/>
        <v>-0.12246204607498477</v>
      </c>
      <c r="I114" s="226">
        <v>251585.76</v>
      </c>
      <c r="J114" s="177">
        <v>400000</v>
      </c>
      <c r="K114" s="177">
        <f t="shared" si="28"/>
        <v>3530.1900000000023</v>
      </c>
      <c r="L114" s="175">
        <f t="shared" si="25"/>
        <v>1.4231448219445353E-2</v>
      </c>
      <c r="M114" s="187">
        <f t="shared" si="30"/>
        <v>-148414.24</v>
      </c>
      <c r="N114" s="189">
        <f t="shared" si="31"/>
        <v>-0.37103559999999997</v>
      </c>
      <c r="O114" s="187" t="b">
        <f t="shared" si="29"/>
        <v>1</v>
      </c>
      <c r="P114" s="189">
        <f>COUNTIF(O$2:O114, TRUE)/(COUNTIF(O$2:O114,FALSE) + COUNTIF(O$2:O114, TRUE))</f>
        <v>0.44247787610619471</v>
      </c>
      <c r="Q114" s="346"/>
      <c r="R114" s="346"/>
      <c r="S114" s="346"/>
      <c r="T114" s="346"/>
      <c r="U114" s="189">
        <f>STDEV(D$2:D114)*SQRT(252)</f>
        <v>0.20577679311518093</v>
      </c>
      <c r="V114" s="189">
        <f>STDEV(L$2:L114)*SQRT(252)</f>
        <v>0.36580201811385399</v>
      </c>
      <c r="W114" s="187">
        <f t="shared" si="23"/>
        <v>-1.0143071432824</v>
      </c>
    </row>
    <row r="115" spans="2:23" ht="20.100000000000001" customHeight="1" x14ac:dyDescent="0.25">
      <c r="B115" s="176">
        <v>42397</v>
      </c>
      <c r="C115" s="213">
        <v>1893.36</v>
      </c>
      <c r="D115" s="175">
        <f t="shared" si="24"/>
        <v>5.5285589102205867E-3</v>
      </c>
      <c r="E115" s="214">
        <f t="shared" ref="E115:E124" si="35">(C115-$C$2)/$C$2</f>
        <v>-9.94463575654954E-2</v>
      </c>
      <c r="F115" s="224">
        <v>4506.67</v>
      </c>
      <c r="G115" s="175">
        <f t="shared" si="21"/>
        <v>8.6187602950655792E-3</v>
      </c>
      <c r="H115" s="208">
        <f t="shared" si="34"/>
        <v>-0.11489875680028276</v>
      </c>
      <c r="I115" s="226">
        <v>256687.6</v>
      </c>
      <c r="J115" s="177">
        <v>400000</v>
      </c>
      <c r="K115" s="177">
        <f t="shared" si="28"/>
        <v>5101.8399999999674</v>
      </c>
      <c r="L115" s="175">
        <f t="shared" si="25"/>
        <v>2.027873119686888E-2</v>
      </c>
      <c r="M115" s="187">
        <f t="shared" si="30"/>
        <v>-143312.4</v>
      </c>
      <c r="N115" s="189">
        <f t="shared" si="31"/>
        <v>-0.35828099999999996</v>
      </c>
      <c r="O115" s="187" t="b">
        <f t="shared" si="29"/>
        <v>1</v>
      </c>
      <c r="P115" s="189">
        <f>COUNTIF(O$2:O115, TRUE)/(COUNTIF(O$2:O115,FALSE) + COUNTIF(O$2:O115, TRUE))</f>
        <v>0.44736842105263158</v>
      </c>
      <c r="Q115" s="346"/>
      <c r="R115" s="346"/>
      <c r="S115" s="346"/>
      <c r="T115" s="346"/>
      <c r="U115" s="189">
        <f>STDEV(D$2:D115)*SQRT(252)</f>
        <v>0.20508094349641362</v>
      </c>
      <c r="V115" s="189">
        <f>STDEV(L$2:L115)*SQRT(252)</f>
        <v>0.36582687593251006</v>
      </c>
      <c r="W115" s="187">
        <f t="shared" si="23"/>
        <v>-0.97937309577576737</v>
      </c>
    </row>
    <row r="116" spans="2:23" ht="20.100000000000001" customHeight="1" x14ac:dyDescent="0.25">
      <c r="B116" s="176">
        <v>42398</v>
      </c>
      <c r="C116" s="213">
        <v>1940.24</v>
      </c>
      <c r="D116" s="175">
        <f t="shared" si="24"/>
        <v>2.4760214644864217E-2</v>
      </c>
      <c r="E116" s="214">
        <f t="shared" si="35"/>
        <v>-7.7148456079602773E-2</v>
      </c>
      <c r="F116" s="224">
        <v>4613.95</v>
      </c>
      <c r="G116" s="175">
        <f t="shared" si="21"/>
        <v>2.3804716120772042E-2</v>
      </c>
      <c r="H116" s="208">
        <f t="shared" si="34"/>
        <v>-9.3829172967771088E-2</v>
      </c>
      <c r="I116" s="428">
        <v>272541.61</v>
      </c>
      <c r="J116" s="177">
        <v>400000</v>
      </c>
      <c r="K116" s="177">
        <f t="shared" si="28"/>
        <v>15854.010000000009</v>
      </c>
      <c r="L116" s="175">
        <f t="shared" si="25"/>
        <v>6.1763832767924937E-2</v>
      </c>
      <c r="M116" s="187">
        <f t="shared" si="30"/>
        <v>-127458.39000000001</v>
      </c>
      <c r="N116" s="189">
        <f t="shared" si="31"/>
        <v>-0.31864597500000003</v>
      </c>
      <c r="O116" s="187" t="b">
        <f t="shared" si="29"/>
        <v>1</v>
      </c>
      <c r="P116" s="189">
        <f>COUNTIF(O$2:O116, TRUE)/(COUNTIF(O$2:O116,FALSE) + COUNTIF(O$2:O116, TRUE))</f>
        <v>0.45217391304347826</v>
      </c>
      <c r="Q116" s="346"/>
      <c r="R116" s="346"/>
      <c r="S116" s="346"/>
      <c r="T116" s="346"/>
      <c r="U116" s="189">
        <f>STDEV(D$2:D116)*SQRT(252)</f>
        <v>0.2076899725605586</v>
      </c>
      <c r="V116" s="189">
        <f>STDEV(L$2:L116)*SQRT(252)</f>
        <v>0.37665623164224904</v>
      </c>
      <c r="W116" s="187">
        <f t="shared" si="23"/>
        <v>-0.84598620235401389</v>
      </c>
    </row>
    <row r="117" spans="2:23" ht="20.100000000000001" customHeight="1" x14ac:dyDescent="0.25">
      <c r="B117" s="249">
        <v>42401</v>
      </c>
      <c r="C117" s="250">
        <v>1939.38</v>
      </c>
      <c r="D117" s="175">
        <f t="shared" si="24"/>
        <v>-4.4324413474616542E-4</v>
      </c>
      <c r="E117" s="251">
        <f t="shared" si="35"/>
        <v>-7.755750461368692E-2</v>
      </c>
      <c r="F117" s="252">
        <v>4620.3599999999997</v>
      </c>
      <c r="G117" s="175">
        <f t="shared" si="21"/>
        <v>1.3892651632548803E-3</v>
      </c>
      <c r="H117" s="253">
        <f t="shared" si="34"/>
        <v>-9.2570261405817339E-2</v>
      </c>
      <c r="I117" s="254">
        <v>271687.27</v>
      </c>
      <c r="J117" s="255">
        <v>400000</v>
      </c>
      <c r="K117" s="255">
        <f t="shared" si="28"/>
        <v>-854.3399999999674</v>
      </c>
      <c r="L117" s="175">
        <f t="shared" si="25"/>
        <v>-3.1347139983504443E-3</v>
      </c>
      <c r="M117" s="256">
        <f t="shared" si="30"/>
        <v>-128312.72999999998</v>
      </c>
      <c r="N117" s="257">
        <f t="shared" si="31"/>
        <v>-0.32078182499999996</v>
      </c>
      <c r="O117" s="256" t="b">
        <f t="shared" si="29"/>
        <v>0</v>
      </c>
      <c r="P117" s="257">
        <f>COUNTIF(O$2:O117, TRUE)/(COUNTIF(O$2:O117,FALSE) + COUNTIF(O$2:O117, TRUE))</f>
        <v>0.44827586206896552</v>
      </c>
      <c r="Q117" s="347"/>
      <c r="R117" s="347"/>
      <c r="S117" s="347"/>
      <c r="T117" s="347"/>
      <c r="U117" s="257">
        <f>STDEV(D$2:D117)*SQRT(252)</f>
        <v>0.20677720896061949</v>
      </c>
      <c r="V117" s="257">
        <f>STDEV(L$2:L117)*SQRT(252)</f>
        <v>0.37500277790793834</v>
      </c>
      <c r="W117" s="256">
        <f t="shared" si="23"/>
        <v>-0.85541186331891816</v>
      </c>
    </row>
    <row r="118" spans="2:23" ht="20.100000000000001" customHeight="1" x14ac:dyDescent="0.25">
      <c r="B118" s="249">
        <v>42402</v>
      </c>
      <c r="C118" s="250">
        <v>1903.03</v>
      </c>
      <c r="D118" s="175">
        <f t="shared" si="24"/>
        <v>-1.8743103466056232E-2</v>
      </c>
      <c r="E118" s="251">
        <f t="shared" si="35"/>
        <v>-9.484693974619969E-2</v>
      </c>
      <c r="F118" s="252">
        <v>4516.9399999999996</v>
      </c>
      <c r="G118" s="175">
        <f t="shared" si="21"/>
        <v>-2.2383537213550478E-2</v>
      </c>
      <c r="H118" s="253">
        <f t="shared" si="34"/>
        <v>-0.11288174872832261</v>
      </c>
      <c r="I118" s="254">
        <v>258167.62</v>
      </c>
      <c r="J118" s="255">
        <v>400000</v>
      </c>
      <c r="K118" s="255">
        <f t="shared" si="28"/>
        <v>-13519.650000000023</v>
      </c>
      <c r="L118" s="175">
        <f t="shared" si="25"/>
        <v>-4.9761808862078899E-2</v>
      </c>
      <c r="M118" s="256">
        <f t="shared" si="30"/>
        <v>-141832.38</v>
      </c>
      <c r="N118" s="257">
        <f t="shared" si="31"/>
        <v>-0.35458095000000001</v>
      </c>
      <c r="O118" s="256" t="b">
        <f t="shared" si="29"/>
        <v>0</v>
      </c>
      <c r="P118" s="257">
        <f>COUNTIF(O$2:O118, TRUE)/(COUNTIF(O$2:O118,FALSE) + COUNTIF(O$2:O118, TRUE))</f>
        <v>0.44444444444444442</v>
      </c>
      <c r="Q118" s="347"/>
      <c r="R118" s="347"/>
      <c r="S118" s="347"/>
      <c r="T118" s="347"/>
      <c r="U118" s="257">
        <f>STDEV(D$2:D118)*SQRT(252)</f>
        <v>0.20760234411553996</v>
      </c>
      <c r="V118" s="257">
        <f>STDEV(L$2:L118)*SQRT(252)</f>
        <v>0.37987177172236325</v>
      </c>
      <c r="W118" s="256">
        <f t="shared" si="23"/>
        <v>-0.93342273997435232</v>
      </c>
    </row>
    <row r="119" spans="2:23" ht="20.100000000000001" customHeight="1" x14ac:dyDescent="0.25">
      <c r="B119" s="249">
        <v>42403</v>
      </c>
      <c r="C119" s="250">
        <v>1912.53</v>
      </c>
      <c r="D119" s="175">
        <f t="shared" si="24"/>
        <v>4.9920390114711801E-3</v>
      </c>
      <c r="E119" s="251">
        <f t="shared" si="35"/>
        <v>-9.0328380358060192E-2</v>
      </c>
      <c r="F119" s="252">
        <v>4504.2299999999996</v>
      </c>
      <c r="G119" s="175">
        <f t="shared" si="21"/>
        <v>-2.8138518554596779E-3</v>
      </c>
      <c r="H119" s="253">
        <f t="shared" si="34"/>
        <v>-0.11537796806567556</v>
      </c>
      <c r="I119" s="254">
        <v>270997.09999999998</v>
      </c>
      <c r="J119" s="255">
        <v>400000</v>
      </c>
      <c r="K119" s="255">
        <f t="shared" si="28"/>
        <v>12829.479999999981</v>
      </c>
      <c r="L119" s="175">
        <f t="shared" si="25"/>
        <v>4.9694380728303504E-2</v>
      </c>
      <c r="M119" s="256">
        <f t="shared" si="30"/>
        <v>-129002.90000000002</v>
      </c>
      <c r="N119" s="257">
        <f t="shared" si="31"/>
        <v>-0.32250725000000008</v>
      </c>
      <c r="O119" s="256" t="b">
        <f t="shared" si="29"/>
        <v>1</v>
      </c>
      <c r="P119" s="257">
        <f>COUNTIF(O$2:O119, TRUE)/(COUNTIF(O$2:O119,FALSE) + COUNTIF(O$2:O119, TRUE))</f>
        <v>0.44915254237288138</v>
      </c>
      <c r="Q119" s="347"/>
      <c r="R119" s="347"/>
      <c r="S119" s="347"/>
      <c r="T119" s="347"/>
      <c r="U119" s="257">
        <f>STDEV(D$2:D119)*SQRT(252)</f>
        <v>0.20687869960829744</v>
      </c>
      <c r="V119" s="257">
        <f>STDEV(L$2:L119)*SQRT(252)</f>
        <v>0.38596402182857842</v>
      </c>
      <c r="W119" s="256">
        <f t="shared" si="23"/>
        <v>-0.83558889367993483</v>
      </c>
    </row>
    <row r="120" spans="2:23" ht="20.100000000000001" customHeight="1" x14ac:dyDescent="0.25">
      <c r="B120" s="249">
        <v>42404</v>
      </c>
      <c r="C120" s="250">
        <v>1915.45</v>
      </c>
      <c r="D120" s="175">
        <f t="shared" si="24"/>
        <v>1.5267734362337181E-3</v>
      </c>
      <c r="E120" s="251">
        <f t="shared" si="35"/>
        <v>-8.8939517893495176E-2</v>
      </c>
      <c r="F120" s="252">
        <v>4509.55</v>
      </c>
      <c r="G120" s="175">
        <f t="shared" si="21"/>
        <v>1.1811119769640137E-3</v>
      </c>
      <c r="H120" s="253">
        <f t="shared" si="34"/>
        <v>-0.1143331303886717</v>
      </c>
      <c r="I120" s="254">
        <v>272162.3</v>
      </c>
      <c r="J120" s="255">
        <v>400000</v>
      </c>
      <c r="K120" s="255">
        <f t="shared" ref="K120:K151" si="36">I120-I119-J120+J119</f>
        <v>1165.2000000000116</v>
      </c>
      <c r="L120" s="175">
        <f t="shared" si="25"/>
        <v>4.2996770076137777E-3</v>
      </c>
      <c r="M120" s="256">
        <f t="shared" si="30"/>
        <v>-127837.70000000001</v>
      </c>
      <c r="N120" s="257">
        <f t="shared" si="31"/>
        <v>-0.31959425000000002</v>
      </c>
      <c r="O120" s="256" t="b">
        <f t="shared" si="29"/>
        <v>1</v>
      </c>
      <c r="P120" s="257">
        <f>COUNTIF(O$2:O120, TRUE)/(COUNTIF(O$2:O120,FALSE) + COUNTIF(O$2:O120, TRUE))</f>
        <v>0.45378151260504201</v>
      </c>
      <c r="Q120" s="347"/>
      <c r="R120" s="347"/>
      <c r="S120" s="347"/>
      <c r="T120" s="347"/>
      <c r="U120" s="257">
        <f>STDEV(D$2:D120)*SQRT(252)</f>
        <v>0.20601897567851155</v>
      </c>
      <c r="V120" s="257">
        <f>STDEV(L$2:L120)*SQRT(252)</f>
        <v>0.38442983265447928</v>
      </c>
      <c r="W120" s="256">
        <f t="shared" si="23"/>
        <v>-0.83134612054743251</v>
      </c>
    </row>
    <row r="121" spans="2:23" ht="20.100000000000001" customHeight="1" x14ac:dyDescent="0.25">
      <c r="B121" s="249">
        <v>42405</v>
      </c>
      <c r="C121" s="250">
        <v>1880.02</v>
      </c>
      <c r="D121" s="175">
        <f t="shared" si="24"/>
        <v>-1.8496958939152711E-2</v>
      </c>
      <c r="E121" s="251">
        <f t="shared" si="35"/>
        <v>-0.10579136622210387</v>
      </c>
      <c r="F121" s="252">
        <v>4363.1400000000003</v>
      </c>
      <c r="G121" s="175">
        <f t="shared" si="21"/>
        <v>-3.2466654100741725E-2</v>
      </c>
      <c r="H121" s="253">
        <f t="shared" si="34"/>
        <v>-0.1430877702928294</v>
      </c>
      <c r="I121" s="254">
        <v>257957.43</v>
      </c>
      <c r="J121" s="255">
        <v>400000</v>
      </c>
      <c r="K121" s="255">
        <f t="shared" si="36"/>
        <v>-14204.869999999995</v>
      </c>
      <c r="L121" s="175">
        <f t="shared" si="25"/>
        <v>-5.2192643874629206E-2</v>
      </c>
      <c r="M121" s="256">
        <f t="shared" si="30"/>
        <v>-142042.57</v>
      </c>
      <c r="N121" s="257">
        <f t="shared" si="31"/>
        <v>-0.355106425</v>
      </c>
      <c r="O121" s="256" t="b">
        <f t="shared" si="29"/>
        <v>0</v>
      </c>
      <c r="P121" s="257">
        <f>COUNTIF(O$2:O121, TRUE)/(COUNTIF(O$2:O121,FALSE) + COUNTIF(O$2:O121, TRUE))</f>
        <v>0.45</v>
      </c>
      <c r="Q121" s="347"/>
      <c r="R121" s="347"/>
      <c r="S121" s="347"/>
      <c r="T121" s="347"/>
      <c r="U121" s="257">
        <f>STDEV(D$2:D121)*SQRT(252)</f>
        <v>0.20677147424628983</v>
      </c>
      <c r="V121" s="257">
        <f>STDEV(L$2:L121)*SQRT(252)</f>
        <v>0.38965360022711565</v>
      </c>
      <c r="W121" s="256">
        <f t="shared" si="23"/>
        <v>-0.91133875009244292</v>
      </c>
    </row>
    <row r="122" spans="2:23" ht="20.100000000000001" customHeight="1" x14ac:dyDescent="0.25">
      <c r="B122" s="176">
        <v>42408</v>
      </c>
      <c r="C122" s="220">
        <v>1853.44</v>
      </c>
      <c r="D122" s="175">
        <f t="shared" si="24"/>
        <v>-1.4138147466516275E-2</v>
      </c>
      <c r="E122" s="214">
        <f t="shared" si="35"/>
        <v>-0.11843381975228781</v>
      </c>
      <c r="F122" s="224">
        <v>4283.75</v>
      </c>
      <c r="G122" s="175">
        <f t="shared" si="21"/>
        <v>-1.8195611417465476E-2</v>
      </c>
      <c r="H122" s="208">
        <f t="shared" ref="H122:H127" si="37">(F122-F$2)/F$2</f>
        <v>-0.15867981224345501</v>
      </c>
      <c r="I122" s="226">
        <v>244544.61</v>
      </c>
      <c r="J122" s="177">
        <v>400000</v>
      </c>
      <c r="K122" s="177">
        <f t="shared" si="36"/>
        <v>-13412.820000000007</v>
      </c>
      <c r="L122" s="175">
        <f t="shared" si="25"/>
        <v>-5.1996253800481756E-2</v>
      </c>
      <c r="M122" s="187">
        <f t="shared" si="30"/>
        <v>-155455.39000000001</v>
      </c>
      <c r="N122" s="189">
        <f t="shared" si="31"/>
        <v>-0.38863847500000004</v>
      </c>
      <c r="O122" s="187" t="b">
        <f t="shared" si="29"/>
        <v>0</v>
      </c>
      <c r="P122" s="189">
        <f>COUNTIF(O$2:O122, TRUE)/(COUNTIF(O$2:O122,FALSE) + COUNTIF(O$2:O122, TRUE))</f>
        <v>0.4462809917355372</v>
      </c>
      <c r="Q122" s="346"/>
      <c r="R122" s="346"/>
      <c r="S122" s="346"/>
      <c r="T122" s="346"/>
      <c r="U122" s="189">
        <f>STDEV(D$2:D122)*SQRT(252)</f>
        <v>0.20679867923754305</v>
      </c>
      <c r="V122" s="189">
        <f>STDEV(L$2:L122)*SQRT(252)</f>
        <v>0.39455956732672759</v>
      </c>
      <c r="W122" s="187">
        <f t="shared" si="23"/>
        <v>-0.98499315992552172</v>
      </c>
    </row>
    <row r="123" spans="2:23" ht="20.100000000000001" customHeight="1" x14ac:dyDescent="0.25">
      <c r="B123" s="176">
        <v>42409</v>
      </c>
      <c r="C123" s="213">
        <v>1852.21</v>
      </c>
      <c r="D123" s="175">
        <f t="shared" si="24"/>
        <v>-6.6363087016575565E-4</v>
      </c>
      <c r="E123" s="214">
        <f t="shared" si="35"/>
        <v>-0.11901885428359431</v>
      </c>
      <c r="F123" s="224">
        <v>4268.76</v>
      </c>
      <c r="G123" s="175">
        <f t="shared" si="21"/>
        <v>-3.4992704989786475E-3</v>
      </c>
      <c r="H123" s="208">
        <f t="shared" si="37"/>
        <v>-0.16162381915666665</v>
      </c>
      <c r="I123" s="226">
        <v>239055.86</v>
      </c>
      <c r="J123" s="177">
        <v>400000</v>
      </c>
      <c r="K123" s="177">
        <f t="shared" si="36"/>
        <v>-5488.75</v>
      </c>
      <c r="L123" s="175">
        <f t="shared" si="25"/>
        <v>-2.2444780115987838E-2</v>
      </c>
      <c r="M123" s="187">
        <f t="shared" si="30"/>
        <v>-160944.14000000001</v>
      </c>
      <c r="N123" s="189">
        <f t="shared" si="31"/>
        <v>-0.40236035000000003</v>
      </c>
      <c r="O123" s="187" t="b">
        <f t="shared" ref="O123:O154" si="38">L123&gt;D123</f>
        <v>0</v>
      </c>
      <c r="P123" s="189">
        <f>COUNTIF(O$2:O123, TRUE)/(COUNTIF(O$2:O123,FALSE) + COUNTIF(O$2:O123, TRUE))</f>
        <v>0.44262295081967212</v>
      </c>
      <c r="Q123" s="346"/>
      <c r="R123" s="346"/>
      <c r="S123" s="346"/>
      <c r="T123" s="346"/>
      <c r="U123" s="189">
        <f>STDEV(D$2:D123)*SQRT(252)</f>
        <v>0.20593567657799225</v>
      </c>
      <c r="V123" s="189">
        <f>STDEV(L$2:L123)*SQRT(252)</f>
        <v>0.39391134458203264</v>
      </c>
      <c r="W123" s="187">
        <f t="shared" si="23"/>
        <v>-1.0214490025082481</v>
      </c>
    </row>
    <row r="124" spans="2:23" ht="20.100000000000001" customHeight="1" x14ac:dyDescent="0.25">
      <c r="B124" s="176">
        <v>42410</v>
      </c>
      <c r="C124" s="213">
        <v>1851.86</v>
      </c>
      <c r="D124" s="175">
        <f t="shared" si="24"/>
        <v>-1.8896345446797955E-4</v>
      </c>
      <c r="E124" s="214">
        <f t="shared" si="35"/>
        <v>-0.11918532752421003</v>
      </c>
      <c r="F124" s="224">
        <v>4283.59</v>
      </c>
      <c r="G124" s="175">
        <f t="shared" si="21"/>
        <v>3.4740767810792659E-3</v>
      </c>
      <c r="H124" s="208">
        <f t="shared" si="37"/>
        <v>-0.15871123593298891</v>
      </c>
      <c r="I124" s="226">
        <v>235873.97</v>
      </c>
      <c r="J124" s="177">
        <v>400000</v>
      </c>
      <c r="K124" s="177">
        <f t="shared" si="36"/>
        <v>-3181.890000000014</v>
      </c>
      <c r="L124" s="175">
        <f t="shared" si="25"/>
        <v>-1.3310236360656518E-2</v>
      </c>
      <c r="M124" s="187">
        <f t="shared" si="30"/>
        <v>-164126.03</v>
      </c>
      <c r="N124" s="189">
        <f t="shared" si="31"/>
        <v>-0.41031507499999997</v>
      </c>
      <c r="O124" s="187" t="b">
        <f t="shared" si="38"/>
        <v>0</v>
      </c>
      <c r="P124" s="189">
        <f>COUNTIF(O$2:O124, TRUE)/(COUNTIF(O$2:O124,FALSE) + COUNTIF(O$2:O124, TRUE))</f>
        <v>0.43902439024390244</v>
      </c>
      <c r="Q124" s="346"/>
      <c r="R124" s="346"/>
      <c r="S124" s="346"/>
      <c r="T124" s="346"/>
      <c r="U124" s="189">
        <f>STDEV(D$2:D124)*SQRT(252)</f>
        <v>0.20508595535618429</v>
      </c>
      <c r="V124" s="189">
        <f>STDEV(L$2:L124)*SQRT(252)</f>
        <v>0.39255054022656277</v>
      </c>
      <c r="W124" s="187">
        <f t="shared" si="23"/>
        <v>-1.0452541340617805</v>
      </c>
    </row>
    <row r="125" spans="2:23" ht="20.100000000000001" customHeight="1" x14ac:dyDescent="0.25">
      <c r="B125" s="176">
        <v>42411</v>
      </c>
      <c r="C125" s="213">
        <v>1829.08</v>
      </c>
      <c r="D125" s="175">
        <f t="shared" si="24"/>
        <v>-1.2301145874958137E-2</v>
      </c>
      <c r="E125" s="214">
        <f>(C125-$C$2)/$C$2</f>
        <v>-0.13002035729913819</v>
      </c>
      <c r="F125" s="224">
        <v>4266.83</v>
      </c>
      <c r="G125" s="175">
        <f t="shared" si="21"/>
        <v>-3.9126060150481761E-3</v>
      </c>
      <c r="H125" s="208">
        <f t="shared" si="37"/>
        <v>-0.16200286741166997</v>
      </c>
      <c r="I125" s="226">
        <v>230609.13</v>
      </c>
      <c r="J125" s="177">
        <v>400000</v>
      </c>
      <c r="K125" s="177">
        <f t="shared" si="36"/>
        <v>-5264.8399999999674</v>
      </c>
      <c r="L125" s="175">
        <f t="shared" si="25"/>
        <v>-2.2320563816346364E-2</v>
      </c>
      <c r="M125" s="187">
        <f t="shared" si="30"/>
        <v>-169390.87</v>
      </c>
      <c r="N125" s="189">
        <f t="shared" si="31"/>
        <v>-0.42347717499999998</v>
      </c>
      <c r="O125" s="187" t="b">
        <f t="shared" si="38"/>
        <v>0</v>
      </c>
      <c r="P125" s="189">
        <f>COUNTIF(O$2:O125, TRUE)/(COUNTIF(O$2:O125,FALSE) + COUNTIF(O$2:O125, TRUE))</f>
        <v>0.43548387096774194</v>
      </c>
      <c r="Q125" s="346"/>
      <c r="R125" s="346"/>
      <c r="S125" s="346"/>
      <c r="T125" s="346"/>
      <c r="U125" s="189">
        <f>STDEV(D$2:D125)*SQRT(252)</f>
        <v>0.20488816456150158</v>
      </c>
      <c r="V125" s="189">
        <f>STDEV(L$2:L125)*SQRT(252)</f>
        <v>0.39188934391979374</v>
      </c>
      <c r="W125" s="187">
        <f t="shared" si="23"/>
        <v>-1.080603955096751</v>
      </c>
    </row>
    <row r="126" spans="2:23" ht="20.100000000000001" customHeight="1" x14ac:dyDescent="0.25">
      <c r="B126" s="176">
        <v>42412</v>
      </c>
      <c r="C126" s="213">
        <v>1864.78</v>
      </c>
      <c r="D126" s="175">
        <f t="shared" si="24"/>
        <v>1.9518009053731956E-2</v>
      </c>
      <c r="E126" s="214">
        <f>(C126-$C$2)/$C$2</f>
        <v>-0.11304008675634029</v>
      </c>
      <c r="F126" s="224">
        <v>4337.51</v>
      </c>
      <c r="G126" s="175">
        <f t="shared" si="21"/>
        <v>1.656499087144327E-2</v>
      </c>
      <c r="H126" s="208">
        <f t="shared" si="37"/>
        <v>-0.14812145256004863</v>
      </c>
      <c r="I126" s="226">
        <v>236989.83</v>
      </c>
      <c r="J126" s="177">
        <v>400000</v>
      </c>
      <c r="K126" s="177">
        <f t="shared" si="36"/>
        <v>6380.6999999999534</v>
      </c>
      <c r="L126" s="175">
        <f t="shared" si="25"/>
        <v>2.7668895849873563E-2</v>
      </c>
      <c r="M126" s="187">
        <f t="shared" ref="M126:M157" si="39">I126-J126</f>
        <v>-163010.17000000001</v>
      </c>
      <c r="N126" s="189">
        <f t="shared" ref="N126:N157" si="40">M126/J126</f>
        <v>-0.40752542500000005</v>
      </c>
      <c r="O126" s="187" t="b">
        <f t="shared" si="38"/>
        <v>1</v>
      </c>
      <c r="P126" s="189">
        <f>COUNTIF(O$2:O126, TRUE)/(COUNTIF(O$2:O126,FALSE) + COUNTIF(O$2:O126, TRUE))</f>
        <v>0.44</v>
      </c>
      <c r="Q126" s="346"/>
      <c r="R126" s="346"/>
      <c r="S126" s="346"/>
      <c r="T126" s="346"/>
      <c r="U126" s="189">
        <f>STDEV(D$2:D126)*SQRT(252)</f>
        <v>0.20614925630726783</v>
      </c>
      <c r="V126" s="189">
        <f>STDEV(L$2:L126)*SQRT(252)</f>
        <v>0.39280034902438915</v>
      </c>
      <c r="W126" s="187">
        <f t="shared" si="23"/>
        <v>-1.037487430986719</v>
      </c>
    </row>
    <row r="127" spans="2:23" ht="20.100000000000001" customHeight="1" x14ac:dyDescent="0.25">
      <c r="B127" s="249">
        <v>42416</v>
      </c>
      <c r="C127" s="250">
        <v>1895.58</v>
      </c>
      <c r="D127" s="175">
        <f t="shared" si="24"/>
        <v>1.651669365823312E-2</v>
      </c>
      <c r="E127" s="251">
        <f>(C127-$C$2)/$C$2</f>
        <v>-9.8390441582161731E-2</v>
      </c>
      <c r="F127" s="252">
        <v>4435.96</v>
      </c>
      <c r="G127" s="175">
        <f t="shared" si="21"/>
        <v>2.2697354011863905E-2</v>
      </c>
      <c r="H127" s="253">
        <f t="shared" si="37"/>
        <v>-0.12878606359369166</v>
      </c>
      <c r="I127" s="254">
        <v>243663.46</v>
      </c>
      <c r="J127" s="255">
        <v>400000</v>
      </c>
      <c r="K127" s="255">
        <f t="shared" si="36"/>
        <v>6673.6300000000047</v>
      </c>
      <c r="L127" s="175">
        <f t="shared" si="25"/>
        <v>2.8159984755463999E-2</v>
      </c>
      <c r="M127" s="256">
        <f t="shared" si="39"/>
        <v>-156336.54</v>
      </c>
      <c r="N127" s="257">
        <f t="shared" si="40"/>
        <v>-0.39084135000000003</v>
      </c>
      <c r="O127" s="256" t="b">
        <f t="shared" si="38"/>
        <v>1</v>
      </c>
      <c r="P127" s="257">
        <f>COUNTIF(O$2:O127, TRUE)/(COUNTIF(O$2:O127,FALSE) + COUNTIF(O$2:O127, TRUE))</f>
        <v>0.44444444444444442</v>
      </c>
      <c r="Q127" s="347"/>
      <c r="R127" s="347"/>
      <c r="S127" s="347"/>
      <c r="T127" s="347"/>
      <c r="U127" s="257">
        <f>STDEV(D$2:D127)*SQRT(252)</f>
        <v>0.2067973574201509</v>
      </c>
      <c r="V127" s="257">
        <f>STDEV(L$2:L127)*SQRT(252)</f>
        <v>0.39373317711022293</v>
      </c>
      <c r="W127" s="256">
        <f t="shared" si="23"/>
        <v>-0.9926553633822599</v>
      </c>
    </row>
    <row r="128" spans="2:23" ht="20.100000000000001" customHeight="1" x14ac:dyDescent="0.25">
      <c r="B128" s="249">
        <v>42417</v>
      </c>
      <c r="C128" s="250">
        <v>1926.82</v>
      </c>
      <c r="D128" s="175">
        <f t="shared" si="24"/>
        <v>1.648044398020659E-2</v>
      </c>
      <c r="E128" s="251">
        <f t="shared" ref="E128:E133" si="41">(C128-$C$2)/$C$2</f>
        <v>-8.3531515762637745E-2</v>
      </c>
      <c r="F128" s="252">
        <v>4534.0600000000004</v>
      </c>
      <c r="G128" s="175">
        <f t="shared" si="21"/>
        <v>2.2114716994743044E-2</v>
      </c>
      <c r="H128" s="253">
        <f t="shared" ref="H128:H141" si="42">(F128-F$2)/F$2</f>
        <v>-0.10951941394819008</v>
      </c>
      <c r="I128" s="254">
        <v>249365.31</v>
      </c>
      <c r="J128" s="255">
        <v>400000</v>
      </c>
      <c r="K128" s="255">
        <f t="shared" si="36"/>
        <v>5701.8499999999767</v>
      </c>
      <c r="L128" s="175">
        <f t="shared" si="25"/>
        <v>2.3400513150391843E-2</v>
      </c>
      <c r="M128" s="256">
        <f t="shared" si="39"/>
        <v>-150634.69</v>
      </c>
      <c r="N128" s="257">
        <f t="shared" si="40"/>
        <v>-0.37658672500000001</v>
      </c>
      <c r="O128" s="256" t="b">
        <f t="shared" si="38"/>
        <v>1</v>
      </c>
      <c r="P128" s="257">
        <f>COUNTIF(O$2:O128, TRUE)/(COUNTIF(O$2:O128,FALSE) + COUNTIF(O$2:O128, TRUE))</f>
        <v>0.44881889763779526</v>
      </c>
      <c r="Q128" s="347"/>
      <c r="R128" s="347"/>
      <c r="S128" s="347"/>
      <c r="T128" s="347"/>
      <c r="U128" s="257">
        <f>STDEV(D$2:D128)*SQRT(252)</f>
        <v>0.20740391827467</v>
      </c>
      <c r="V128" s="257">
        <f>STDEV(L$2:L128)*SQRT(252)</f>
        <v>0.39391671411506929</v>
      </c>
      <c r="W128" s="256">
        <f t="shared" si="23"/>
        <v>-0.95600595635044083</v>
      </c>
    </row>
    <row r="129" spans="1:23" ht="20.100000000000001" customHeight="1" x14ac:dyDescent="0.25">
      <c r="B129" s="249">
        <v>42418</v>
      </c>
      <c r="C129" s="250">
        <v>1917.83</v>
      </c>
      <c r="D129" s="175">
        <f t="shared" si="24"/>
        <v>-4.6657186452289312E-3</v>
      </c>
      <c r="E129" s="251">
        <f t="shared" si="41"/>
        <v>-8.7807499857308707E-2</v>
      </c>
      <c r="F129" s="252">
        <v>4487.53</v>
      </c>
      <c r="G129" s="175">
        <f t="shared" si="21"/>
        <v>-1.0262325597808731E-2</v>
      </c>
      <c r="H129" s="253">
        <f t="shared" si="42"/>
        <v>-0.11865781566078129</v>
      </c>
      <c r="I129" s="254">
        <v>241680.12</v>
      </c>
      <c r="J129" s="255">
        <v>400000</v>
      </c>
      <c r="K129" s="255">
        <f t="shared" si="36"/>
        <v>-7685.1900000000023</v>
      </c>
      <c r="L129" s="175">
        <f t="shared" si="25"/>
        <v>-3.0819002049643562E-2</v>
      </c>
      <c r="M129" s="256">
        <f t="shared" si="39"/>
        <v>-158319.88</v>
      </c>
      <c r="N129" s="257">
        <f t="shared" si="40"/>
        <v>-0.39579970000000003</v>
      </c>
      <c r="O129" s="256" t="b">
        <f t="shared" si="38"/>
        <v>0</v>
      </c>
      <c r="P129" s="257">
        <f>COUNTIF(O$2:O129, TRUE)/(COUNTIF(O$2:O129,FALSE) + COUNTIF(O$2:O129, TRUE))</f>
        <v>0.4453125</v>
      </c>
      <c r="Q129" s="347"/>
      <c r="R129" s="347"/>
      <c r="S129" s="347"/>
      <c r="T129" s="347"/>
      <c r="U129" s="257">
        <f>STDEV(D$2:D129)*SQRT(252)</f>
        <v>0.20665833739123632</v>
      </c>
      <c r="V129" s="257">
        <f>STDEV(L$2:L129)*SQRT(252)</f>
        <v>0.39434419152440775</v>
      </c>
      <c r="W129" s="256">
        <f t="shared" si="23"/>
        <v>-1.0036909595903156</v>
      </c>
    </row>
    <row r="130" spans="1:23" ht="20.100000000000001" customHeight="1" x14ac:dyDescent="0.25">
      <c r="B130" s="249">
        <v>42419</v>
      </c>
      <c r="C130" s="250">
        <v>1917.78</v>
      </c>
      <c r="D130" s="175">
        <f t="shared" si="24"/>
        <v>-2.6071132477828863E-5</v>
      </c>
      <c r="E130" s="251">
        <f t="shared" si="41"/>
        <v>-8.7831281748825207E-2</v>
      </c>
      <c r="F130" s="252">
        <v>4504.43</v>
      </c>
      <c r="G130" s="175">
        <f t="shared" si="21"/>
        <v>3.7659915365469529E-3</v>
      </c>
      <c r="H130" s="253">
        <f t="shared" si="42"/>
        <v>-0.11533868845375798</v>
      </c>
      <c r="I130" s="254">
        <v>236145.17</v>
      </c>
      <c r="J130" s="255">
        <v>400000</v>
      </c>
      <c r="K130" s="255">
        <f t="shared" si="36"/>
        <v>-5534.9499999999534</v>
      </c>
      <c r="L130" s="175">
        <f t="shared" si="25"/>
        <v>-2.290196645052954E-2</v>
      </c>
      <c r="M130" s="256">
        <f t="shared" si="39"/>
        <v>-163854.82999999999</v>
      </c>
      <c r="N130" s="257">
        <f t="shared" si="40"/>
        <v>-0.40963707499999996</v>
      </c>
      <c r="O130" s="256" t="b">
        <f t="shared" si="38"/>
        <v>0</v>
      </c>
      <c r="P130" s="257">
        <f>COUNTIF(O$2:O130, TRUE)/(COUNTIF(O$2:O130,FALSE) + COUNTIF(O$2:O130, TRUE))</f>
        <v>0.44186046511627908</v>
      </c>
      <c r="Q130" s="347"/>
      <c r="R130" s="347"/>
      <c r="S130" s="347"/>
      <c r="T130" s="347"/>
      <c r="U130" s="257">
        <f>STDEV(D$2:D130)*SQRT(252)</f>
        <v>0.20584491170892685</v>
      </c>
      <c r="V130" s="257">
        <f>STDEV(L$2:L130)*SQRT(252)</f>
        <v>0.39378743351445816</v>
      </c>
      <c r="W130" s="256">
        <f t="shared" si="23"/>
        <v>-1.040249231277107</v>
      </c>
    </row>
    <row r="131" spans="1:23" ht="20.100000000000001" customHeight="1" x14ac:dyDescent="0.25">
      <c r="B131" s="176">
        <v>42422</v>
      </c>
      <c r="C131" s="220">
        <v>1945.5</v>
      </c>
      <c r="D131" s="175">
        <f t="shared" si="24"/>
        <v>1.4454212683415213E-2</v>
      </c>
      <c r="E131" s="214">
        <f t="shared" si="41"/>
        <v>-7.4646601092064488E-2</v>
      </c>
      <c r="F131" s="224">
        <v>4570.6000000000004</v>
      </c>
      <c r="G131" s="175">
        <f t="shared" si="21"/>
        <v>1.4689982972318378E-2</v>
      </c>
      <c r="H131" s="208">
        <f t="shared" si="42"/>
        <v>-0.10234302885087485</v>
      </c>
      <c r="I131" s="226">
        <v>248415.23</v>
      </c>
      <c r="J131" s="177">
        <v>400000</v>
      </c>
      <c r="K131" s="177">
        <f t="shared" si="36"/>
        <v>12270.059999999998</v>
      </c>
      <c r="L131" s="175">
        <f t="shared" si="25"/>
        <v>5.1959817768028022E-2</v>
      </c>
      <c r="M131" s="187">
        <f t="shared" si="39"/>
        <v>-151584.76999999999</v>
      </c>
      <c r="N131" s="189">
        <f t="shared" si="40"/>
        <v>-0.37896192499999998</v>
      </c>
      <c r="O131" s="187" t="b">
        <f t="shared" si="38"/>
        <v>1</v>
      </c>
      <c r="P131" s="189">
        <f>COUNTIF(O$2:O131, TRUE)/(COUNTIF(O$2:O131,FALSE) + COUNTIF(O$2:O131, TRUE))</f>
        <v>0.44615384615384618</v>
      </c>
      <c r="Q131" s="346"/>
      <c r="R131" s="346"/>
      <c r="S131" s="346"/>
      <c r="T131" s="346"/>
      <c r="U131" s="189">
        <f>STDEV(D$2:D131)*SQRT(252)</f>
        <v>0.20612093442208271</v>
      </c>
      <c r="V131" s="189">
        <f>STDEV(L$2:L131)*SQRT(252)</f>
        <v>0.39971891584326358</v>
      </c>
      <c r="W131" s="187">
        <f t="shared" ref="W131:W194" si="43">N131/V131</f>
        <v>-0.94807103186629582</v>
      </c>
    </row>
    <row r="132" spans="1:23" ht="20.100000000000001" customHeight="1" x14ac:dyDescent="0.25">
      <c r="B132" s="176">
        <v>42423</v>
      </c>
      <c r="C132" s="213">
        <v>1921.27</v>
      </c>
      <c r="D132" s="175">
        <f t="shared" si="24"/>
        <v>-1.2454381906964801E-2</v>
      </c>
      <c r="E132" s="214">
        <f t="shared" si="41"/>
        <v>-8.6171305720971855E-2</v>
      </c>
      <c r="F132" s="224">
        <v>4503.58</v>
      </c>
      <c r="G132" s="175">
        <f t="shared" ref="G132:G165" si="44">(F132-F131)/F131</f>
        <v>-1.4663282719993093E-2</v>
      </c>
      <c r="H132" s="208">
        <f t="shared" si="42"/>
        <v>-0.11550562680440715</v>
      </c>
      <c r="I132" s="226">
        <v>238794.23</v>
      </c>
      <c r="J132" s="177">
        <v>400000</v>
      </c>
      <c r="K132" s="177">
        <f t="shared" si="36"/>
        <v>-9621</v>
      </c>
      <c r="L132" s="175">
        <f t="shared" ref="L132:L195" si="45">K132/I131</f>
        <v>-3.8729509458820213E-2</v>
      </c>
      <c r="M132" s="187">
        <f t="shared" si="39"/>
        <v>-161205.76999999999</v>
      </c>
      <c r="N132" s="189">
        <f t="shared" si="40"/>
        <v>-0.40301442499999995</v>
      </c>
      <c r="O132" s="187" t="b">
        <f t="shared" si="38"/>
        <v>0</v>
      </c>
      <c r="P132" s="189">
        <f>COUNTIF(O$2:O132, TRUE)/(COUNTIF(O$2:O132,FALSE) + COUNTIF(O$2:O132, TRUE))</f>
        <v>0.44274809160305345</v>
      </c>
      <c r="Q132" s="346"/>
      <c r="R132" s="346"/>
      <c r="S132" s="346"/>
      <c r="T132" s="346"/>
      <c r="U132" s="189">
        <f>STDEV(D$2:D132)*SQRT(252)</f>
        <v>0.20599200020691141</v>
      </c>
      <c r="V132" s="189">
        <f>STDEV(L$2:L132)*SQRT(252)</f>
        <v>0.40132200578539856</v>
      </c>
      <c r="W132" s="187">
        <f t="shared" si="43"/>
        <v>-1.0042171104255528</v>
      </c>
    </row>
    <row r="133" spans="1:23" ht="20.100000000000001" customHeight="1" x14ac:dyDescent="0.25">
      <c r="B133" s="176">
        <v>42424</v>
      </c>
      <c r="C133" s="220">
        <v>1929.8</v>
      </c>
      <c r="D133" s="175">
        <f t="shared" ref="D133:D165" si="46">(C133-C132)/C132</f>
        <v>4.439771609404182E-3</v>
      </c>
      <c r="E133" s="214">
        <f t="shared" si="41"/>
        <v>-8.2114115028252929E-2</v>
      </c>
      <c r="F133" s="224">
        <v>4542.6000000000004</v>
      </c>
      <c r="G133" s="175">
        <f t="shared" si="44"/>
        <v>8.6642182441525276E-3</v>
      </c>
      <c r="H133" s="208">
        <f t="shared" si="42"/>
        <v>-0.10784217451931565</v>
      </c>
      <c r="I133" s="226">
        <v>242422.46</v>
      </c>
      <c r="J133" s="177">
        <v>400000</v>
      </c>
      <c r="K133" s="177">
        <f t="shared" si="36"/>
        <v>3628.2299999999814</v>
      </c>
      <c r="L133" s="175">
        <f t="shared" si="45"/>
        <v>1.5193960088566551E-2</v>
      </c>
      <c r="M133" s="187">
        <f t="shared" si="39"/>
        <v>-157577.54</v>
      </c>
      <c r="N133" s="189">
        <f t="shared" si="40"/>
        <v>-0.39394385000000004</v>
      </c>
      <c r="O133" s="187" t="b">
        <f t="shared" si="38"/>
        <v>1</v>
      </c>
      <c r="P133" s="189">
        <f>COUNTIF(O$2:O133, TRUE)/(COUNTIF(O$2:O133,FALSE) + COUNTIF(O$2:O133, TRUE))</f>
        <v>0.44696969696969696</v>
      </c>
      <c r="Q133" s="346"/>
      <c r="R133" s="346"/>
      <c r="S133" s="346"/>
      <c r="T133" s="346"/>
      <c r="U133" s="189">
        <f>STDEV(D$2:D133)*SQRT(252)</f>
        <v>0.2053176523633603</v>
      </c>
      <c r="V133" s="189">
        <f>STDEV(L$2:L133)*SQRT(252)</f>
        <v>0.40056518042041067</v>
      </c>
      <c r="W133" s="187">
        <f t="shared" si="43"/>
        <v>-0.98347002998747601</v>
      </c>
    </row>
    <row r="134" spans="1:23" ht="20.100000000000001" customHeight="1" x14ac:dyDescent="0.25">
      <c r="B134" s="176">
        <v>42425</v>
      </c>
      <c r="C134" s="220">
        <v>1951.7</v>
      </c>
      <c r="D134" s="175">
        <f t="shared" si="46"/>
        <v>1.1348326251425065E-2</v>
      </c>
      <c r="E134" s="214">
        <f t="shared" ref="E134:E139" si="47">(C134-$C$2)/$C$2</f>
        <v>-7.1697646544015531E-2</v>
      </c>
      <c r="F134" s="224">
        <v>4582.2</v>
      </c>
      <c r="G134" s="175">
        <f t="shared" si="44"/>
        <v>8.7174745740323713E-3</v>
      </c>
      <c r="H134" s="208">
        <f t="shared" si="42"/>
        <v>-0.10006481135966377</v>
      </c>
      <c r="I134" s="226">
        <v>244524.77</v>
      </c>
      <c r="J134" s="177">
        <v>400000</v>
      </c>
      <c r="K134" s="177">
        <f t="shared" si="36"/>
        <v>2102.3099999999977</v>
      </c>
      <c r="L134" s="175">
        <f t="shared" si="45"/>
        <v>8.6720925115601824E-3</v>
      </c>
      <c r="M134" s="187">
        <f t="shared" si="39"/>
        <v>-155475.23000000001</v>
      </c>
      <c r="N134" s="189">
        <f t="shared" si="40"/>
        <v>-0.38868807500000002</v>
      </c>
      <c r="O134" s="187" t="b">
        <f t="shared" si="38"/>
        <v>0</v>
      </c>
      <c r="P134" s="189">
        <f>COUNTIF(O$2:O134, TRUE)/(COUNTIF(O$2:O134,FALSE) + COUNTIF(O$2:O134, TRUE))</f>
        <v>0.44360902255639095</v>
      </c>
      <c r="Q134" s="346"/>
      <c r="R134" s="346"/>
      <c r="S134" s="346"/>
      <c r="T134" s="346"/>
      <c r="U134" s="189">
        <f>STDEV(D$2:D134)*SQRT(252)</f>
        <v>0.2051944315202551</v>
      </c>
      <c r="V134" s="189">
        <f>STDEV(L$2:L134)*SQRT(252)</f>
        <v>0.399347738080158</v>
      </c>
      <c r="W134" s="187">
        <f t="shared" si="43"/>
        <v>-0.97330731574591178</v>
      </c>
    </row>
    <row r="135" spans="1:23" ht="20.100000000000001" customHeight="1" x14ac:dyDescent="0.25">
      <c r="B135" s="176">
        <v>42426</v>
      </c>
      <c r="C135" s="220">
        <v>1948.05</v>
      </c>
      <c r="D135" s="175">
        <f t="shared" si="46"/>
        <v>-1.8701644719988169E-3</v>
      </c>
      <c r="E135" s="214">
        <f t="shared" si="47"/>
        <v>-7.3433724624721794E-2</v>
      </c>
      <c r="F135" s="224">
        <v>4590.47</v>
      </c>
      <c r="G135" s="175">
        <f t="shared" si="44"/>
        <v>1.8048099166340266E-3</v>
      </c>
      <c r="H135" s="208">
        <f t="shared" si="42"/>
        <v>-9.8440599406877771E-2</v>
      </c>
      <c r="I135" s="226">
        <v>251916.67</v>
      </c>
      <c r="J135" s="177">
        <v>400000</v>
      </c>
      <c r="K135" s="177">
        <f t="shared" si="36"/>
        <v>7391.9000000000233</v>
      </c>
      <c r="L135" s="175">
        <f t="shared" si="45"/>
        <v>3.0229657306292623E-2</v>
      </c>
      <c r="M135" s="187">
        <f t="shared" si="39"/>
        <v>-148083.32999999999</v>
      </c>
      <c r="N135" s="189">
        <f t="shared" si="40"/>
        <v>-0.37020832499999995</v>
      </c>
      <c r="O135" s="187" t="b">
        <f t="shared" si="38"/>
        <v>1</v>
      </c>
      <c r="P135" s="189">
        <f>COUNTIF(O$2:O135, TRUE)/(COUNTIF(O$2:O135,FALSE) + COUNTIF(O$2:O135, TRUE))</f>
        <v>0.44776119402985076</v>
      </c>
      <c r="Q135" s="346"/>
      <c r="R135" s="346"/>
      <c r="S135" s="346"/>
      <c r="T135" s="346"/>
      <c r="U135" s="189">
        <f>STDEV(D$2:D135)*SQRT(252)</f>
        <v>0.20442465292014791</v>
      </c>
      <c r="V135" s="189">
        <f>STDEV(L$2:L135)*SQRT(252)</f>
        <v>0.40040715107254371</v>
      </c>
      <c r="W135" s="187">
        <f t="shared" si="43"/>
        <v>-0.92457970345521501</v>
      </c>
    </row>
    <row r="136" spans="1:23" ht="20.100000000000001" customHeight="1" x14ac:dyDescent="0.25">
      <c r="B136" s="249">
        <v>42429</v>
      </c>
      <c r="C136" s="250">
        <v>1932.23</v>
      </c>
      <c r="D136" s="175">
        <f t="shared" si="46"/>
        <v>-8.1209414542747545E-3</v>
      </c>
      <c r="E136" s="251">
        <f t="shared" si="47"/>
        <v>-8.0958315100549849E-2</v>
      </c>
      <c r="F136" s="252">
        <v>4557.95</v>
      </c>
      <c r="G136" s="175">
        <f t="shared" si="44"/>
        <v>-7.0842419185835953E-3</v>
      </c>
      <c r="H136" s="253">
        <f t="shared" si="42"/>
        <v>-0.10482746430465267</v>
      </c>
      <c r="I136" s="427">
        <v>254134.09</v>
      </c>
      <c r="J136" s="255">
        <v>400000</v>
      </c>
      <c r="K136" s="255">
        <f t="shared" si="36"/>
        <v>2217.4199999999837</v>
      </c>
      <c r="L136" s="175">
        <f t="shared" si="45"/>
        <v>8.8021963770797042E-3</v>
      </c>
      <c r="M136" s="256">
        <f t="shared" si="39"/>
        <v>-145865.91</v>
      </c>
      <c r="N136" s="257">
        <f t="shared" si="40"/>
        <v>-0.364664775</v>
      </c>
      <c r="O136" s="256" t="b">
        <f t="shared" si="38"/>
        <v>1</v>
      </c>
      <c r="P136" s="257">
        <f>COUNTIF(O$2:O136, TRUE)/(COUNTIF(O$2:O136,FALSE) + COUNTIF(O$2:O136, TRUE))</f>
        <v>0.45185185185185184</v>
      </c>
      <c r="Q136" s="347"/>
      <c r="R136" s="347"/>
      <c r="S136" s="347"/>
      <c r="T136" s="347"/>
      <c r="U136" s="257">
        <f>STDEV(D$2:D136)*SQRT(252)</f>
        <v>0.20392331073233147</v>
      </c>
      <c r="V136" s="257">
        <f>STDEV(L$2:L136)*SQRT(252)</f>
        <v>0.39919785402030938</v>
      </c>
      <c r="W136" s="256">
        <f t="shared" si="43"/>
        <v>-0.91349382599999518</v>
      </c>
    </row>
    <row r="137" spans="1:23" ht="20.100000000000001" customHeight="1" x14ac:dyDescent="0.25">
      <c r="B137" s="249">
        <v>42430</v>
      </c>
      <c r="C137" s="250">
        <v>1978.35</v>
      </c>
      <c r="D137" s="175">
        <f t="shared" si="46"/>
        <v>2.3868794087660315E-2</v>
      </c>
      <c r="E137" s="251">
        <f t="shared" si="47"/>
        <v>-5.9021898365708481E-2</v>
      </c>
      <c r="F137" s="252">
        <v>4689.59</v>
      </c>
      <c r="G137" s="175">
        <f t="shared" si="44"/>
        <v>2.8881405017606672E-2</v>
      </c>
      <c r="H137" s="253">
        <f t="shared" si="42"/>
        <v>-7.8973623740597382E-2</v>
      </c>
      <c r="I137" s="254">
        <v>256289.63</v>
      </c>
      <c r="J137" s="255">
        <v>400000</v>
      </c>
      <c r="K137" s="255">
        <f t="shared" si="36"/>
        <v>2155.5400000000373</v>
      </c>
      <c r="L137" s="175">
        <f t="shared" si="45"/>
        <v>8.4819002440799547E-3</v>
      </c>
      <c r="M137" s="256">
        <f t="shared" si="39"/>
        <v>-143710.37</v>
      </c>
      <c r="N137" s="257">
        <f t="shared" si="40"/>
        <v>-0.359275925</v>
      </c>
      <c r="O137" s="256" t="b">
        <f t="shared" si="38"/>
        <v>0</v>
      </c>
      <c r="P137" s="257">
        <f>COUNTIF(O$2:O137, TRUE)/(COUNTIF(O$2:O137,FALSE) + COUNTIF(O$2:O137, TRUE))</f>
        <v>0.4485294117647059</v>
      </c>
      <c r="Q137" s="347"/>
      <c r="R137" s="347"/>
      <c r="S137" s="347"/>
      <c r="T137" s="347"/>
      <c r="U137" s="257">
        <f>STDEV(D$2:D137)*SQRT(252)</f>
        <v>0.205881606235845</v>
      </c>
      <c r="V137" s="257">
        <f>STDEV(L$2:L137)*SQRT(252)</f>
        <v>0.39798205719407453</v>
      </c>
      <c r="W137" s="256">
        <f t="shared" si="43"/>
        <v>-0.90274402703738066</v>
      </c>
    </row>
    <row r="138" spans="1:23" ht="20.100000000000001" customHeight="1" x14ac:dyDescent="0.25">
      <c r="B138" s="249">
        <v>42431</v>
      </c>
      <c r="C138" s="341">
        <v>1986.4749999999999</v>
      </c>
      <c r="D138" s="175">
        <f t="shared" si="46"/>
        <v>4.1069578183840069E-3</v>
      </c>
      <c r="E138" s="251">
        <f t="shared" si="47"/>
        <v>-5.5157340994273385E-2</v>
      </c>
      <c r="F138" s="252">
        <v>4703.42</v>
      </c>
      <c r="G138" s="175">
        <f t="shared" si="44"/>
        <v>2.9490851012561711E-3</v>
      </c>
      <c r="H138" s="253">
        <f t="shared" si="42"/>
        <v>-7.6257438576506811E-2</v>
      </c>
      <c r="I138" s="254">
        <v>273591.05</v>
      </c>
      <c r="J138" s="255">
        <v>400000</v>
      </c>
      <c r="K138" s="255">
        <f t="shared" si="36"/>
        <v>17301.419999999984</v>
      </c>
      <c r="L138" s="175">
        <f t="shared" si="45"/>
        <v>6.7507296335009667E-2</v>
      </c>
      <c r="M138" s="256">
        <f t="shared" si="39"/>
        <v>-126408.95000000001</v>
      </c>
      <c r="N138" s="257">
        <f t="shared" si="40"/>
        <v>-0.31602237500000002</v>
      </c>
      <c r="O138" s="256" t="b">
        <f t="shared" si="38"/>
        <v>1</v>
      </c>
      <c r="P138" s="257">
        <f>COUNTIF(O$2:O138, TRUE)/(COUNTIF(O$2:O138,FALSE) + COUNTIF(O$2:O138, TRUE))</f>
        <v>0.45255474452554745</v>
      </c>
      <c r="Q138" s="347"/>
      <c r="R138" s="347"/>
      <c r="S138" s="347"/>
      <c r="T138" s="347"/>
      <c r="U138" s="257">
        <f>STDEV(D$2:D138)*SQRT(252)</f>
        <v>0.20520805198323436</v>
      </c>
      <c r="V138" s="257">
        <f>STDEV(L$2:L138)*SQRT(252)</f>
        <v>0.40773104370834762</v>
      </c>
      <c r="W138" s="256">
        <f t="shared" si="43"/>
        <v>-0.77507557954319672</v>
      </c>
    </row>
    <row r="139" spans="1:23" ht="20.100000000000001" customHeight="1" x14ac:dyDescent="0.25">
      <c r="B139" s="249">
        <v>42432</v>
      </c>
      <c r="C139" s="341">
        <v>1993.4</v>
      </c>
      <c r="D139" s="175">
        <f t="shared" si="46"/>
        <v>3.4860745793428975E-3</v>
      </c>
      <c r="E139" s="251">
        <f t="shared" si="47"/>
        <v>-5.1863549019234775E-2</v>
      </c>
      <c r="F139" s="252">
        <v>4707.42</v>
      </c>
      <c r="G139" s="175">
        <f t="shared" si="44"/>
        <v>8.5044499534381367E-4</v>
      </c>
      <c r="H139" s="253">
        <f t="shared" si="42"/>
        <v>-7.5471846338158136E-2</v>
      </c>
      <c r="I139" s="254">
        <v>284465.09999999998</v>
      </c>
      <c r="J139" s="255">
        <v>400000</v>
      </c>
      <c r="K139" s="255">
        <f t="shared" si="36"/>
        <v>10874.049999999988</v>
      </c>
      <c r="L139" s="175">
        <f t="shared" si="45"/>
        <v>3.9745634954067355E-2</v>
      </c>
      <c r="M139" s="256">
        <f t="shared" si="39"/>
        <v>-115534.90000000002</v>
      </c>
      <c r="N139" s="257">
        <f t="shared" si="40"/>
        <v>-0.28883725000000005</v>
      </c>
      <c r="O139" s="256" t="b">
        <f t="shared" si="38"/>
        <v>1</v>
      </c>
      <c r="P139" s="257">
        <f>COUNTIF(O$2:O139, TRUE)/(COUNTIF(O$2:O139,FALSE) + COUNTIF(O$2:O139, TRUE))</f>
        <v>0.45652173913043476</v>
      </c>
      <c r="Q139" s="347"/>
      <c r="R139" s="347"/>
      <c r="S139" s="347"/>
      <c r="T139" s="347"/>
      <c r="U139" s="257">
        <f>STDEV(D$2:D139)*SQRT(252)</f>
        <v>0.20451785527923064</v>
      </c>
      <c r="V139" s="257">
        <f>STDEV(L$2:L139)*SQRT(252)</f>
        <v>0.41011498593156359</v>
      </c>
      <c r="W139" s="256">
        <f t="shared" si="43"/>
        <v>-0.70428357877221948</v>
      </c>
    </row>
    <row r="140" spans="1:23" ht="20.100000000000001" customHeight="1" x14ac:dyDescent="0.25">
      <c r="B140" s="249">
        <v>42433</v>
      </c>
      <c r="C140" s="250">
        <v>1999.99</v>
      </c>
      <c r="D140" s="175">
        <f t="shared" si="46"/>
        <v>3.3059095013544286E-3</v>
      </c>
      <c r="E140" s="251">
        <f t="shared" ref="E140:E171" si="48">(C140-$C$2)/$C$2</f>
        <v>-4.8729095717356993E-2</v>
      </c>
      <c r="F140" s="252">
        <v>4717.0200000000004</v>
      </c>
      <c r="G140" s="175">
        <f t="shared" si="44"/>
        <v>2.0393336477306811E-3</v>
      </c>
      <c r="H140" s="253">
        <f t="shared" si="42"/>
        <v>-7.3586424966121222E-2</v>
      </c>
      <c r="I140" s="254">
        <v>295168.58</v>
      </c>
      <c r="J140" s="255">
        <v>400000</v>
      </c>
      <c r="K140" s="255">
        <f t="shared" si="36"/>
        <v>10703.48000000004</v>
      </c>
      <c r="L140" s="175">
        <f t="shared" si="45"/>
        <v>3.7626689530631495E-2</v>
      </c>
      <c r="M140" s="256">
        <f t="shared" si="39"/>
        <v>-104831.41999999998</v>
      </c>
      <c r="N140" s="257">
        <f t="shared" si="40"/>
        <v>-0.26207854999999997</v>
      </c>
      <c r="O140" s="256" t="b">
        <f t="shared" si="38"/>
        <v>1</v>
      </c>
      <c r="P140" s="257">
        <f>COUNTIF(O$2:O140, TRUE)/(COUNTIF(O$2:O140,FALSE) + COUNTIF(O$2:O140, TRUE))</f>
        <v>0.46043165467625902</v>
      </c>
      <c r="Q140" s="347"/>
      <c r="R140" s="347"/>
      <c r="S140" s="347"/>
      <c r="T140" s="347"/>
      <c r="U140" s="257">
        <f>STDEV(D$2:D140)*SQRT(252)</f>
        <v>0.20382852547723848</v>
      </c>
      <c r="V140" s="257">
        <f>STDEV(L$2:L140)*SQRT(252)</f>
        <v>0.41201829569755161</v>
      </c>
      <c r="W140" s="256">
        <f t="shared" si="43"/>
        <v>-0.63608473880097494</v>
      </c>
    </row>
    <row r="141" spans="1:23" ht="20.100000000000001" customHeight="1" x14ac:dyDescent="0.25">
      <c r="B141" s="176">
        <v>42436</v>
      </c>
      <c r="C141" s="220">
        <v>2001.76</v>
      </c>
      <c r="D141" s="175">
        <f t="shared" si="46"/>
        <v>8.8500442502211603E-4</v>
      </c>
      <c r="E141" s="214">
        <f t="shared" si="48"/>
        <v>-4.7887216757672067E-2</v>
      </c>
      <c r="F141" s="224">
        <v>4708.5200000000004</v>
      </c>
      <c r="G141" s="175">
        <f t="shared" si="44"/>
        <v>-1.8019851516423502E-3</v>
      </c>
      <c r="H141" s="208">
        <f t="shared" si="42"/>
        <v>-7.5255808472612165E-2</v>
      </c>
      <c r="I141" s="226">
        <v>295332.12</v>
      </c>
      <c r="J141" s="177">
        <v>400000</v>
      </c>
      <c r="K141" s="177">
        <f t="shared" si="36"/>
        <v>163.53999999997905</v>
      </c>
      <c r="L141" s="175">
        <f t="shared" si="45"/>
        <v>5.5405626167927171E-4</v>
      </c>
      <c r="M141" s="187">
        <f t="shared" si="39"/>
        <v>-104667.88</v>
      </c>
      <c r="N141" s="189">
        <f t="shared" si="40"/>
        <v>-0.26166970000000001</v>
      </c>
      <c r="O141" s="187" t="b">
        <f t="shared" si="38"/>
        <v>0</v>
      </c>
      <c r="P141" s="189">
        <f>COUNTIF(O$2:O141, TRUE)/(COUNTIF(O$2:O141,FALSE) + COUNTIF(O$2:O141, TRUE))</f>
        <v>0.45714285714285713</v>
      </c>
      <c r="Q141" s="346"/>
      <c r="R141" s="346"/>
      <c r="S141" s="346"/>
      <c r="T141" s="346"/>
      <c r="U141" s="189">
        <f>STDEV(D$2:D141)*SQRT(252)</f>
        <v>0.20309473146639889</v>
      </c>
      <c r="V141" s="189">
        <f>STDEV(L$2:L141)*SQRT(252)</f>
        <v>0.41052951691081185</v>
      </c>
      <c r="W141" s="187">
        <f t="shared" si="43"/>
        <v>-0.63739558112419026</v>
      </c>
    </row>
    <row r="142" spans="1:23" ht="20.100000000000001" customHeight="1" x14ac:dyDescent="0.25">
      <c r="B142" s="176">
        <v>42437</v>
      </c>
      <c r="C142" s="220">
        <v>1979.26</v>
      </c>
      <c r="D142" s="175">
        <f t="shared" si="46"/>
        <v>-1.124010870434018E-2</v>
      </c>
      <c r="E142" s="214">
        <f t="shared" si="48"/>
        <v>-5.8589067940107716E-2</v>
      </c>
      <c r="F142" s="224">
        <v>4648.82</v>
      </c>
      <c r="G142" s="175">
        <f t="shared" si="44"/>
        <v>-1.2679143340157994E-2</v>
      </c>
      <c r="H142" s="208">
        <f t="shared" ref="H142:H173" si="49">(F142-F$2)/F$2</f>
        <v>-8.6980772629966438E-2</v>
      </c>
      <c r="I142" s="226">
        <v>279655.23</v>
      </c>
      <c r="J142" s="177">
        <v>400000</v>
      </c>
      <c r="K142" s="177">
        <f t="shared" si="36"/>
        <v>-15676.890000000014</v>
      </c>
      <c r="L142" s="175">
        <f t="shared" si="45"/>
        <v>-5.3082238396555084E-2</v>
      </c>
      <c r="M142" s="187">
        <f t="shared" si="39"/>
        <v>-120344.77000000002</v>
      </c>
      <c r="N142" s="189">
        <f t="shared" si="40"/>
        <v>-0.30086192500000003</v>
      </c>
      <c r="O142" s="187" t="b">
        <f t="shared" si="38"/>
        <v>0</v>
      </c>
      <c r="P142" s="189">
        <f>COUNTIF(O$2:O142, TRUE)/(COUNTIF(O$2:O142,FALSE) + COUNTIF(O$2:O142, TRUE))</f>
        <v>0.45390070921985815</v>
      </c>
      <c r="Q142" s="346"/>
      <c r="R142" s="346"/>
      <c r="S142" s="346"/>
      <c r="T142" s="346"/>
      <c r="U142" s="189">
        <f>STDEV(D$2:D142)*SQRT(252)</f>
        <v>0.2028972139328496</v>
      </c>
      <c r="V142" s="189">
        <f>STDEV(L$2:L142)*SQRT(252)</f>
        <v>0.41493428525347442</v>
      </c>
      <c r="W142" s="187">
        <f t="shared" si="43"/>
        <v>-0.72508331003838344</v>
      </c>
    </row>
    <row r="143" spans="1:23" ht="20.100000000000001" customHeight="1" x14ac:dyDescent="0.25">
      <c r="B143" s="176">
        <v>42438</v>
      </c>
      <c r="C143" s="220">
        <v>1989.26</v>
      </c>
      <c r="D143" s="175">
        <f t="shared" si="46"/>
        <v>5.0523933187150757E-3</v>
      </c>
      <c r="E143" s="214">
        <f t="shared" si="48"/>
        <v>-5.3832689636802981E-2</v>
      </c>
      <c r="F143" s="224">
        <v>4674.37</v>
      </c>
      <c r="G143" s="175">
        <f t="shared" si="44"/>
        <v>5.4960183444401336E-3</v>
      </c>
      <c r="H143" s="208">
        <f t="shared" si="49"/>
        <v>-8.1962802207514174E-2</v>
      </c>
      <c r="I143" s="226">
        <v>284441.56</v>
      </c>
      <c r="J143" s="177">
        <v>400000</v>
      </c>
      <c r="K143" s="177">
        <f t="shared" si="36"/>
        <v>4786.3300000000163</v>
      </c>
      <c r="L143" s="175">
        <f t="shared" si="45"/>
        <v>1.7115109915877547E-2</v>
      </c>
      <c r="M143" s="187">
        <f t="shared" si="39"/>
        <v>-115558.44</v>
      </c>
      <c r="N143" s="189">
        <f t="shared" si="40"/>
        <v>-0.28889609999999999</v>
      </c>
      <c r="O143" s="187" t="b">
        <f t="shared" si="38"/>
        <v>1</v>
      </c>
      <c r="P143" s="189">
        <f>COUNTIF(O$2:O143, TRUE)/(COUNTIF(O$2:O143,FALSE) + COUNTIF(O$2:O143, TRUE))</f>
        <v>0.45774647887323944</v>
      </c>
      <c r="Q143" s="346"/>
      <c r="R143" s="346"/>
      <c r="S143" s="346"/>
      <c r="T143" s="346"/>
      <c r="U143" s="189">
        <f>STDEV(D$2:D143)*SQRT(252)</f>
        <v>0.20230024410689199</v>
      </c>
      <c r="V143" s="189">
        <f>STDEV(L$2:L143)*SQRT(252)</f>
        <v>0.41420228414527577</v>
      </c>
      <c r="W143" s="187">
        <f t="shared" si="43"/>
        <v>-0.69747587364504648</v>
      </c>
    </row>
    <row r="144" spans="1:23" ht="20.100000000000001" customHeight="1" x14ac:dyDescent="0.25">
      <c r="A144" s="226"/>
      <c r="B144" s="176">
        <v>42439</v>
      </c>
      <c r="C144" s="220">
        <v>1989.57</v>
      </c>
      <c r="D144" s="175">
        <f t="shared" si="46"/>
        <v>1.5583684385145504E-4</v>
      </c>
      <c r="E144" s="214">
        <f t="shared" si="48"/>
        <v>-5.3685241909400563E-2</v>
      </c>
      <c r="F144" s="224">
        <v>4662.1499999999996</v>
      </c>
      <c r="G144" s="175">
        <f t="shared" si="44"/>
        <v>-2.6142560387817514E-3</v>
      </c>
      <c r="H144" s="208">
        <f t="shared" si="49"/>
        <v>-8.4362786495669459E-2</v>
      </c>
      <c r="I144" s="226">
        <v>287418.99</v>
      </c>
      <c r="J144" s="177">
        <v>400000</v>
      </c>
      <c r="K144" s="177">
        <f t="shared" si="36"/>
        <v>2977.429999999993</v>
      </c>
      <c r="L144" s="175">
        <f t="shared" si="45"/>
        <v>1.0467633492095856E-2</v>
      </c>
      <c r="M144" s="187">
        <f t="shared" si="39"/>
        <v>-112581.01000000001</v>
      </c>
      <c r="N144" s="189">
        <f t="shared" si="40"/>
        <v>-0.28145252500000001</v>
      </c>
      <c r="O144" s="187" t="b">
        <f t="shared" si="38"/>
        <v>1</v>
      </c>
      <c r="P144" s="189">
        <f>COUNTIF(O$2:O144, TRUE)/(COUNTIF(O$2:O144,FALSE) + COUNTIF(O$2:O144, TRUE))</f>
        <v>0.46153846153846156</v>
      </c>
      <c r="Q144" s="346"/>
      <c r="R144" s="346"/>
      <c r="S144" s="346"/>
      <c r="T144" s="346"/>
      <c r="U144" s="189">
        <f>STDEV(D$2:D144)*SQRT(252)</f>
        <v>0.20158255288168328</v>
      </c>
      <c r="V144" s="189">
        <f>STDEV(L$2:L144)*SQRT(252)</f>
        <v>0.41303460915058671</v>
      </c>
      <c r="W144" s="187">
        <f t="shared" si="43"/>
        <v>-0.68142600829216782</v>
      </c>
    </row>
    <row r="145" spans="2:23" ht="20.100000000000001" customHeight="1" x14ac:dyDescent="0.25">
      <c r="B145" s="176">
        <v>42440</v>
      </c>
      <c r="C145" s="220">
        <v>2022.19</v>
      </c>
      <c r="D145" s="175">
        <f t="shared" si="46"/>
        <v>1.6395502545776285E-2</v>
      </c>
      <c r="E145" s="214">
        <f t="shared" si="48"/>
        <v>-3.816993588402047E-2</v>
      </c>
      <c r="F145" s="224">
        <v>4748.47</v>
      </c>
      <c r="G145" s="175">
        <f t="shared" si="44"/>
        <v>1.8515062792917564E-2</v>
      </c>
      <c r="H145" s="208">
        <f t="shared" si="49"/>
        <v>-6.7409705992104718E-2</v>
      </c>
      <c r="I145" s="226">
        <v>297529.25</v>
      </c>
      <c r="J145" s="177">
        <v>400000</v>
      </c>
      <c r="K145" s="177">
        <f t="shared" si="36"/>
        <v>10110.260000000009</v>
      </c>
      <c r="L145" s="175">
        <f t="shared" si="45"/>
        <v>3.5176033427714741E-2</v>
      </c>
      <c r="M145" s="187">
        <f t="shared" si="39"/>
        <v>-102470.75</v>
      </c>
      <c r="N145" s="189">
        <f t="shared" si="40"/>
        <v>-0.25617687500000003</v>
      </c>
      <c r="O145" s="187" t="b">
        <f t="shared" si="38"/>
        <v>1</v>
      </c>
      <c r="P145" s="189">
        <f>COUNTIF(O$2:O145, TRUE)/(COUNTIF(O$2:O145,FALSE) + COUNTIF(O$2:O145, TRUE))</f>
        <v>0.46527777777777779</v>
      </c>
      <c r="Q145" s="346"/>
      <c r="R145" s="346"/>
      <c r="S145" s="346"/>
      <c r="T145" s="346"/>
      <c r="U145" s="189">
        <f>STDEV(D$2:D145)*SQRT(252)</f>
        <v>0.20209170666788678</v>
      </c>
      <c r="V145" s="189">
        <f>STDEV(L$2:L145)*SQRT(252)</f>
        <v>0.41442203469244021</v>
      </c>
      <c r="W145" s="187">
        <f t="shared" si="43"/>
        <v>-0.61815457083530689</v>
      </c>
    </row>
    <row r="146" spans="2:23" ht="20.100000000000001" customHeight="1" x14ac:dyDescent="0.25">
      <c r="B146" s="249">
        <v>42443</v>
      </c>
      <c r="C146" s="250">
        <v>2019.64</v>
      </c>
      <c r="D146" s="175">
        <f t="shared" si="46"/>
        <v>-1.261009103991195E-3</v>
      </c>
      <c r="E146" s="251">
        <f t="shared" si="48"/>
        <v>-3.9382812351363157E-2</v>
      </c>
      <c r="F146" s="252">
        <v>4750.28</v>
      </c>
      <c r="G146" s="175">
        <f t="shared" si="44"/>
        <v>3.8117541018464697E-4</v>
      </c>
      <c r="H146" s="253">
        <f t="shared" si="49"/>
        <v>-6.7054225504252038E-2</v>
      </c>
      <c r="I146" s="254">
        <v>295383.49</v>
      </c>
      <c r="J146" s="255">
        <v>400000</v>
      </c>
      <c r="K146" s="255">
        <f t="shared" si="36"/>
        <v>-2145.7600000000093</v>
      </c>
      <c r="L146" s="175">
        <f t="shared" si="45"/>
        <v>-7.2119295833939327E-3</v>
      </c>
      <c r="M146" s="256">
        <f t="shared" si="39"/>
        <v>-104616.51000000001</v>
      </c>
      <c r="N146" s="257">
        <f t="shared" si="40"/>
        <v>-0.26154127500000002</v>
      </c>
      <c r="O146" s="256" t="b">
        <f t="shared" si="38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  <c r="W146" s="256">
        <f t="shared" si="43"/>
        <v>-0.63319507183270518</v>
      </c>
    </row>
    <row r="147" spans="2:23" ht="20.100000000000001" customHeight="1" x14ac:dyDescent="0.25">
      <c r="B147" s="249">
        <v>42444</v>
      </c>
      <c r="C147" s="250">
        <v>2015.93</v>
      </c>
      <c r="D147" s="175">
        <f t="shared" si="46"/>
        <v>-1.8369610425620587E-3</v>
      </c>
      <c r="E147" s="251">
        <f t="shared" si="48"/>
        <v>-4.1147428701889227E-2</v>
      </c>
      <c r="F147" s="252">
        <v>4728.66</v>
      </c>
      <c r="G147" s="175">
        <f t="shared" si="44"/>
        <v>-4.5513106595821496E-3</v>
      </c>
      <c r="H147" s="253">
        <f t="shared" si="49"/>
        <v>-7.1300351552526661E-2</v>
      </c>
      <c r="I147" s="254">
        <v>295669.06</v>
      </c>
      <c r="J147" s="255">
        <v>400000</v>
      </c>
      <c r="K147" s="255">
        <f t="shared" si="36"/>
        <v>285.57000000000698</v>
      </c>
      <c r="L147" s="175">
        <f t="shared" si="45"/>
        <v>9.6677712082014809E-4</v>
      </c>
      <c r="M147" s="256">
        <f t="shared" si="39"/>
        <v>-104330.94</v>
      </c>
      <c r="N147" s="257">
        <f t="shared" si="40"/>
        <v>-0.26082735000000001</v>
      </c>
      <c r="O147" s="256" t="b">
        <f t="shared" si="38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  <c r="W147" s="256">
        <f t="shared" si="43"/>
        <v>-0.63365651769763942</v>
      </c>
    </row>
    <row r="148" spans="2:23" ht="20.100000000000001" customHeight="1" x14ac:dyDescent="0.25">
      <c r="B148" s="249">
        <v>42445</v>
      </c>
      <c r="C148" s="250">
        <v>2027.22</v>
      </c>
      <c r="D148" s="175">
        <f t="shared" si="46"/>
        <v>5.6003928707841853E-3</v>
      </c>
      <c r="E148" s="251">
        <f t="shared" si="48"/>
        <v>-3.5777477597458203E-2</v>
      </c>
      <c r="F148" s="252">
        <v>4763.97</v>
      </c>
      <c r="G148" s="175">
        <f t="shared" si="44"/>
        <v>7.467231731611154E-3</v>
      </c>
      <c r="H148" s="253">
        <f t="shared" si="49"/>
        <v>-6.4365536068503565E-2</v>
      </c>
      <c r="I148" s="254">
        <v>297622.03999999998</v>
      </c>
      <c r="J148" s="255">
        <v>400000</v>
      </c>
      <c r="K148" s="255">
        <f t="shared" si="36"/>
        <v>1952.9799999999814</v>
      </c>
      <c r="L148" s="175">
        <f t="shared" si="45"/>
        <v>6.6052903878409917E-3</v>
      </c>
      <c r="M148" s="256">
        <f t="shared" si="39"/>
        <v>-102377.96000000002</v>
      </c>
      <c r="N148" s="257">
        <f t="shared" si="40"/>
        <v>-0.25594490000000003</v>
      </c>
      <c r="O148" s="256" t="b">
        <f t="shared" si="38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50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  <c r="W148" s="256">
        <f t="shared" si="43"/>
        <v>-0.62375992142499681</v>
      </c>
    </row>
    <row r="149" spans="2:23" ht="20.100000000000001" customHeight="1" x14ac:dyDescent="0.25">
      <c r="B149" s="249">
        <v>42446</v>
      </c>
      <c r="C149" s="250">
        <v>2040.59</v>
      </c>
      <c r="D149" s="175">
        <f t="shared" si="46"/>
        <v>6.5952387999328593E-3</v>
      </c>
      <c r="E149" s="251">
        <f t="shared" si="48"/>
        <v>-2.9418199805939828E-2</v>
      </c>
      <c r="F149" s="252">
        <v>4774.9799999999996</v>
      </c>
      <c r="G149" s="175">
        <f t="shared" si="44"/>
        <v>2.3110976769373671E-3</v>
      </c>
      <c r="H149" s="253">
        <f t="shared" si="49"/>
        <v>-6.2203193432448942E-2</v>
      </c>
      <c r="I149" s="254">
        <v>298243.74</v>
      </c>
      <c r="J149" s="255">
        <v>400000</v>
      </c>
      <c r="K149" s="255">
        <f t="shared" si="36"/>
        <v>621.70000000001164</v>
      </c>
      <c r="L149" s="175">
        <f t="shared" si="45"/>
        <v>2.0888909974543946E-3</v>
      </c>
      <c r="M149" s="256">
        <f t="shared" si="39"/>
        <v>-101756.26000000001</v>
      </c>
      <c r="N149" s="257">
        <f t="shared" si="40"/>
        <v>-0.25439065</v>
      </c>
      <c r="O149" s="256" t="b">
        <f t="shared" si="38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50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  <c r="W149" s="256">
        <f t="shared" si="43"/>
        <v>-0.6220746830230377</v>
      </c>
    </row>
    <row r="150" spans="2:23" ht="20.100000000000001" customHeight="1" x14ac:dyDescent="0.25">
      <c r="B150" s="249">
        <v>42447</v>
      </c>
      <c r="C150" s="250">
        <v>2049.56</v>
      </c>
      <c r="D150" s="175">
        <f t="shared" si="46"/>
        <v>4.3957874928329688E-3</v>
      </c>
      <c r="E150" s="251">
        <f t="shared" si="48"/>
        <v>-2.5151728467875473E-2</v>
      </c>
      <c r="F150" s="252">
        <v>4795.6499999999996</v>
      </c>
      <c r="G150" s="175">
        <f t="shared" si="44"/>
        <v>4.3288139426762157E-3</v>
      </c>
      <c r="H150" s="253">
        <f t="shared" si="49"/>
        <v>-5.8143645540782093E-2</v>
      </c>
      <c r="I150" s="254">
        <v>302252.61</v>
      </c>
      <c r="J150" s="255">
        <v>400000</v>
      </c>
      <c r="K150" s="255">
        <f t="shared" si="36"/>
        <v>4008.8699999999953</v>
      </c>
      <c r="L150" s="175">
        <f t="shared" si="45"/>
        <v>1.3441589754742196E-2</v>
      </c>
      <c r="M150" s="256">
        <f t="shared" si="39"/>
        <v>-97747.390000000014</v>
      </c>
      <c r="N150" s="257">
        <f t="shared" si="40"/>
        <v>-0.24436847500000003</v>
      </c>
      <c r="O150" s="256" t="b">
        <f t="shared" si="38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50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  <c r="W150" s="256">
        <f t="shared" si="43"/>
        <v>-0.59896678137356574</v>
      </c>
    </row>
    <row r="151" spans="2:23" ht="20.100000000000001" customHeight="1" x14ac:dyDescent="0.25">
      <c r="B151" s="176">
        <v>42450</v>
      </c>
      <c r="C151" s="220">
        <v>2051.6</v>
      </c>
      <c r="D151" s="175">
        <f t="shared" si="46"/>
        <v>9.9533558422293736E-4</v>
      </c>
      <c r="E151" s="214">
        <f t="shared" si="48"/>
        <v>-2.4181427294001325E-2</v>
      </c>
      <c r="F151" s="224">
        <v>4808.87</v>
      </c>
      <c r="G151" s="175">
        <f t="shared" si="44"/>
        <v>2.7566648942271132E-3</v>
      </c>
      <c r="H151" s="208">
        <f t="shared" si="49"/>
        <v>-5.5547263193039639E-2</v>
      </c>
      <c r="I151" s="226">
        <v>302397.02</v>
      </c>
      <c r="J151" s="177">
        <v>400000</v>
      </c>
      <c r="K151" s="177">
        <f t="shared" si="36"/>
        <v>144.4100000000326</v>
      </c>
      <c r="L151" s="175">
        <f t="shared" si="45"/>
        <v>4.7777916624121991E-4</v>
      </c>
      <c r="M151" s="187">
        <f t="shared" si="39"/>
        <v>-97602.979999999981</v>
      </c>
      <c r="N151" s="189">
        <f t="shared" si="40"/>
        <v>-0.24400744999999996</v>
      </c>
      <c r="O151" s="187" t="b">
        <f t="shared" si="38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50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  <c r="W151" s="187">
        <f t="shared" si="43"/>
        <v>-0.60010657323495131</v>
      </c>
    </row>
    <row r="152" spans="2:23" ht="20.100000000000001" customHeight="1" x14ac:dyDescent="0.25">
      <c r="B152" s="176">
        <v>42451</v>
      </c>
      <c r="C152" s="220">
        <v>2052.6</v>
      </c>
      <c r="D152" s="175">
        <f t="shared" si="46"/>
        <v>4.8742444921037243E-4</v>
      </c>
      <c r="E152" s="214">
        <f t="shared" si="48"/>
        <v>-2.370578946367085E-2</v>
      </c>
      <c r="F152" s="224">
        <v>4809.87</v>
      </c>
      <c r="G152" s="175">
        <f t="shared" si="44"/>
        <v>2.0794906079806691E-4</v>
      </c>
      <c r="H152" s="208">
        <f t="shared" si="49"/>
        <v>-5.535086513345247E-2</v>
      </c>
      <c r="I152" s="226">
        <v>300927.05</v>
      </c>
      <c r="J152" s="177">
        <v>400000</v>
      </c>
      <c r="K152" s="177">
        <f t="shared" ref="K152:K183" si="51">I152-I151-J152+J151</f>
        <v>-1469.9700000000303</v>
      </c>
      <c r="L152" s="175">
        <f t="shared" si="45"/>
        <v>-4.8610598080630228E-3</v>
      </c>
      <c r="M152" s="187">
        <f t="shared" si="39"/>
        <v>-99072.950000000012</v>
      </c>
      <c r="N152" s="189">
        <f t="shared" si="40"/>
        <v>-0.24768237500000004</v>
      </c>
      <c r="O152" s="187" t="b">
        <f t="shared" si="38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50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  <c r="W152" s="187">
        <f t="shared" si="43"/>
        <v>-0.61115071166707902</v>
      </c>
    </row>
    <row r="153" spans="2:23" ht="20.100000000000001" customHeight="1" x14ac:dyDescent="0.25">
      <c r="B153" s="176">
        <v>42452</v>
      </c>
      <c r="C153" s="220">
        <v>2036.71</v>
      </c>
      <c r="D153" s="175">
        <f t="shared" si="46"/>
        <v>-7.7414011497612166E-3</v>
      </c>
      <c r="E153" s="214">
        <f t="shared" si="48"/>
        <v>-3.1263674587622012E-2</v>
      </c>
      <c r="F153" s="224">
        <v>4768.8599999999997</v>
      </c>
      <c r="G153" s="175">
        <f t="shared" si="44"/>
        <v>-8.5262179643109306E-3</v>
      </c>
      <c r="H153" s="208">
        <f t="shared" si="49"/>
        <v>-6.3405149557122412E-2</v>
      </c>
      <c r="I153" s="226">
        <v>283106.53999999998</v>
      </c>
      <c r="J153" s="177">
        <v>400000</v>
      </c>
      <c r="K153" s="177">
        <f t="shared" si="51"/>
        <v>-17820.510000000009</v>
      </c>
      <c r="L153" s="175">
        <f t="shared" si="45"/>
        <v>-5.9218704333824458E-2</v>
      </c>
      <c r="M153" s="187">
        <f t="shared" si="39"/>
        <v>-116893.46000000002</v>
      </c>
      <c r="N153" s="189">
        <f t="shared" si="40"/>
        <v>-0.29223365000000007</v>
      </c>
      <c r="O153" s="187" t="b">
        <f t="shared" si="38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50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  <c r="W153" s="187">
        <f t="shared" si="43"/>
        <v>-0.71125205185546847</v>
      </c>
    </row>
    <row r="154" spans="2:23" ht="20.100000000000001" customHeight="1" x14ac:dyDescent="0.25">
      <c r="B154" s="176">
        <v>42453</v>
      </c>
      <c r="C154" s="220">
        <v>2035.94</v>
      </c>
      <c r="D154" s="175">
        <f t="shared" si="46"/>
        <v>-3.7806069592626431E-4</v>
      </c>
      <c r="E154" s="214">
        <f t="shared" si="48"/>
        <v>-3.1629915716976466E-2</v>
      </c>
      <c r="F154" s="224">
        <v>4773.5</v>
      </c>
      <c r="G154" s="175">
        <f t="shared" si="44"/>
        <v>9.7297886706683098E-4</v>
      </c>
      <c r="H154" s="208">
        <f t="shared" si="49"/>
        <v>-6.2493862560637867E-2</v>
      </c>
      <c r="I154" s="226">
        <v>283603.99</v>
      </c>
      <c r="J154" s="177">
        <v>400000</v>
      </c>
      <c r="K154" s="177">
        <f t="shared" si="51"/>
        <v>497.45000000001164</v>
      </c>
      <c r="L154" s="175">
        <f t="shared" si="45"/>
        <v>1.7571123577717832E-3</v>
      </c>
      <c r="M154" s="187">
        <f t="shared" si="39"/>
        <v>-116396.01000000001</v>
      </c>
      <c r="N154" s="189">
        <f t="shared" si="40"/>
        <v>-0.29099002500000004</v>
      </c>
      <c r="O154" s="187" t="b">
        <f t="shared" si="38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52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  <c r="W154" s="187">
        <f t="shared" si="43"/>
        <v>-0.71054838997446346</v>
      </c>
    </row>
    <row r="155" spans="2:23" ht="20.100000000000001" customHeight="1" x14ac:dyDescent="0.25">
      <c r="B155" s="249">
        <v>42457</v>
      </c>
      <c r="C155" s="250">
        <v>2037.05</v>
      </c>
      <c r="D155" s="175">
        <f t="shared" si="46"/>
        <v>5.4520270734889045E-4</v>
      </c>
      <c r="E155" s="251">
        <f t="shared" si="48"/>
        <v>-3.1101957725309687E-2</v>
      </c>
      <c r="F155" s="252">
        <v>4766.78</v>
      </c>
      <c r="G155" s="175">
        <f t="shared" si="44"/>
        <v>-1.4077720749974348E-3</v>
      </c>
      <c r="H155" s="253">
        <f t="shared" si="49"/>
        <v>-6.3813657521063702E-2</v>
      </c>
      <c r="I155" s="254">
        <v>281306.2</v>
      </c>
      <c r="J155" s="255">
        <v>400000</v>
      </c>
      <c r="K155" s="255">
        <f t="shared" si="51"/>
        <v>-2297.789999999979</v>
      </c>
      <c r="L155" s="175">
        <f t="shared" si="45"/>
        <v>-8.1021074491934297E-3</v>
      </c>
      <c r="M155" s="256">
        <f t="shared" si="39"/>
        <v>-118693.79999999999</v>
      </c>
      <c r="N155" s="257">
        <f t="shared" si="40"/>
        <v>-0.29673449999999996</v>
      </c>
      <c r="O155" s="256" t="b">
        <f t="shared" ref="O155:O191" si="53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52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  <c r="W155" s="256">
        <f t="shared" si="43"/>
        <v>-0.72680549836024944</v>
      </c>
    </row>
    <row r="156" spans="2:23" ht="20.100000000000001" customHeight="1" x14ac:dyDescent="0.25">
      <c r="B156" s="249">
        <v>42458</v>
      </c>
      <c r="C156" s="250">
        <v>2055.0100000000002</v>
      </c>
      <c r="D156" s="175">
        <f t="shared" si="46"/>
        <v>8.8166711666381598E-3</v>
      </c>
      <c r="E156" s="251">
        <f t="shared" si="48"/>
        <v>-2.2559502292574262E-2</v>
      </c>
      <c r="F156" s="252">
        <v>4846.62</v>
      </c>
      <c r="G156" s="175">
        <f t="shared" si="44"/>
        <v>1.6749252115683993E-2</v>
      </c>
      <c r="H156" s="253">
        <f t="shared" si="49"/>
        <v>-4.8133236443623925E-2</v>
      </c>
      <c r="I156" s="254">
        <v>285322.46999999997</v>
      </c>
      <c r="J156" s="255">
        <v>400000</v>
      </c>
      <c r="K156" s="255">
        <f t="shared" si="51"/>
        <v>4016.2699999999604</v>
      </c>
      <c r="L156" s="175">
        <f t="shared" si="45"/>
        <v>1.4277218205641967E-2</v>
      </c>
      <c r="M156" s="256">
        <f t="shared" si="39"/>
        <v>-114677.53000000003</v>
      </c>
      <c r="N156" s="257">
        <f t="shared" si="40"/>
        <v>-0.28669382500000007</v>
      </c>
      <c r="O156" s="256" t="b">
        <f t="shared" si="53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52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  <c r="W156" s="256">
        <f t="shared" si="43"/>
        <v>-0.70366844533957928</v>
      </c>
    </row>
    <row r="157" spans="2:23" ht="20.100000000000001" customHeight="1" x14ac:dyDescent="0.25">
      <c r="B157" s="249">
        <v>42459</v>
      </c>
      <c r="C157" s="250">
        <v>2063.9499999999998</v>
      </c>
      <c r="D157" s="175">
        <f t="shared" si="46"/>
        <v>4.3503437939472799E-3</v>
      </c>
      <c r="E157" s="251">
        <f t="shared" si="48"/>
        <v>-1.8307300089420026E-2</v>
      </c>
      <c r="F157" s="252">
        <v>4869.29</v>
      </c>
      <c r="G157" s="175">
        <f t="shared" si="44"/>
        <v>4.6774865782751845E-3</v>
      </c>
      <c r="H157" s="253">
        <f t="shared" si="49"/>
        <v>-4.3680892432782739E-2</v>
      </c>
      <c r="I157" s="254">
        <v>288126.49</v>
      </c>
      <c r="J157" s="255">
        <v>400000</v>
      </c>
      <c r="K157" s="255">
        <f t="shared" si="51"/>
        <v>2804.0200000000186</v>
      </c>
      <c r="L157" s="175">
        <f t="shared" si="45"/>
        <v>9.8275470557927635E-3</v>
      </c>
      <c r="M157" s="256">
        <f t="shared" si="39"/>
        <v>-111873.51000000001</v>
      </c>
      <c r="N157" s="257">
        <f t="shared" si="40"/>
        <v>-0.27968377500000002</v>
      </c>
      <c r="O157" s="256" t="b">
        <f t="shared" si="53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52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  <c r="W157" s="256">
        <f t="shared" si="43"/>
        <v>-0.68828534357784554</v>
      </c>
    </row>
    <row r="158" spans="2:23" ht="20.100000000000001" customHeight="1" x14ac:dyDescent="0.25">
      <c r="B158" s="249">
        <v>42460</v>
      </c>
      <c r="C158" s="250">
        <v>2059.7399999999998</v>
      </c>
      <c r="D158" s="175">
        <f t="shared" si="46"/>
        <v>-2.0397780953996156E-3</v>
      </c>
      <c r="E158" s="251">
        <f t="shared" si="48"/>
        <v>-2.0309735355111335E-2</v>
      </c>
      <c r="F158" s="252">
        <v>4869.84</v>
      </c>
      <c r="G158" s="175">
        <f t="shared" si="44"/>
        <v>1.129528124223823E-4</v>
      </c>
      <c r="H158" s="253">
        <f t="shared" si="49"/>
        <v>-4.3572873500009754E-2</v>
      </c>
      <c r="I158" s="508">
        <v>295667.37</v>
      </c>
      <c r="J158" s="255">
        <v>400000</v>
      </c>
      <c r="K158" s="255">
        <f t="shared" si="51"/>
        <v>7540.8800000000047</v>
      </c>
      <c r="L158" s="175">
        <f t="shared" si="45"/>
        <v>2.6172116281290222E-2</v>
      </c>
      <c r="M158" s="256">
        <f t="shared" ref="M158:M191" si="54">I158-J158</f>
        <v>-104332.63</v>
      </c>
      <c r="N158" s="257">
        <f t="shared" ref="N158:N189" si="55">M158/J158</f>
        <v>-0.26083157500000004</v>
      </c>
      <c r="O158" s="256" t="b">
        <f t="shared" si="53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52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  <c r="W158" s="256">
        <f t="shared" si="43"/>
        <v>-0.64161101333420545</v>
      </c>
    </row>
    <row r="159" spans="2:23" ht="20.100000000000001" customHeight="1" x14ac:dyDescent="0.25">
      <c r="B159" s="249">
        <v>42461</v>
      </c>
      <c r="C159" s="250">
        <v>2072.7800000000002</v>
      </c>
      <c r="D159" s="175">
        <f t="shared" si="46"/>
        <v>6.3308961325217843E-3</v>
      </c>
      <c r="E159" s="251">
        <f t="shared" si="48"/>
        <v>-1.4107418047601765E-2</v>
      </c>
      <c r="F159" s="252">
        <v>4914.54</v>
      </c>
      <c r="G159" s="175">
        <f t="shared" si="44"/>
        <v>9.1789463308855762E-3</v>
      </c>
      <c r="H159" s="253">
        <f t="shared" si="49"/>
        <v>-3.4793880236463237E-2</v>
      </c>
      <c r="I159" s="254">
        <v>293885.49</v>
      </c>
      <c r="J159" s="255">
        <v>400000</v>
      </c>
      <c r="K159" s="255">
        <f t="shared" si="51"/>
        <v>-1781.8800000000047</v>
      </c>
      <c r="L159" s="175">
        <f t="shared" si="45"/>
        <v>-6.026637298529103E-3</v>
      </c>
      <c r="M159" s="256">
        <f t="shared" si="54"/>
        <v>-106114.51000000001</v>
      </c>
      <c r="N159" s="257">
        <f t="shared" si="55"/>
        <v>-0.26528627500000002</v>
      </c>
      <c r="O159" s="256" t="b">
        <f t="shared" si="53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52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  <c r="W159" s="256">
        <f t="shared" si="43"/>
        <v>-0.65459033550694867</v>
      </c>
    </row>
    <row r="160" spans="2:23" ht="20.100000000000001" customHeight="1" x14ac:dyDescent="0.25">
      <c r="B160" s="176">
        <v>42464</v>
      </c>
      <c r="C160" s="220">
        <v>2066.13</v>
      </c>
      <c r="D160" s="175">
        <f t="shared" si="46"/>
        <v>-3.2082517199124318E-3</v>
      </c>
      <c r="E160" s="214">
        <f t="shared" si="48"/>
        <v>-1.7270409619299456E-2</v>
      </c>
      <c r="F160" s="224">
        <v>4891.79</v>
      </c>
      <c r="G160" s="175">
        <f t="shared" si="44"/>
        <v>-4.6291209350213854E-3</v>
      </c>
      <c r="H160" s="208">
        <f t="shared" si="49"/>
        <v>-3.9261936092071383E-2</v>
      </c>
      <c r="I160" s="226">
        <v>291382.05</v>
      </c>
      <c r="J160" s="177">
        <v>400000</v>
      </c>
      <c r="K160" s="177">
        <f t="shared" si="51"/>
        <v>-2503.4400000000023</v>
      </c>
      <c r="L160" s="175">
        <f t="shared" si="45"/>
        <v>-8.5184198784363334E-3</v>
      </c>
      <c r="M160" s="187">
        <f t="shared" si="54"/>
        <v>-108617.95000000001</v>
      </c>
      <c r="N160" s="189">
        <f t="shared" si="55"/>
        <v>-0.27154487500000002</v>
      </c>
      <c r="O160" s="187" t="b">
        <f t="shared" si="53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52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  <c r="W160" s="187">
        <f t="shared" si="43"/>
        <v>-0.67199421682345772</v>
      </c>
    </row>
    <row r="161" spans="2:23" ht="20.100000000000001" customHeight="1" x14ac:dyDescent="0.25">
      <c r="B161" s="176">
        <v>42465</v>
      </c>
      <c r="C161" s="220">
        <v>2045.17</v>
      </c>
      <c r="D161" s="175">
        <f t="shared" si="46"/>
        <v>-1.0144569799577004E-2</v>
      </c>
      <c r="E161" s="214">
        <f t="shared" si="48"/>
        <v>-2.7239778543026189E-2</v>
      </c>
      <c r="F161" s="224">
        <v>4843.93</v>
      </c>
      <c r="G161" s="175">
        <f t="shared" si="44"/>
        <v>-9.7837396944676028E-3</v>
      </c>
      <c r="H161" s="208">
        <f t="shared" si="49"/>
        <v>-4.8661547223913339E-2</v>
      </c>
      <c r="I161" s="226">
        <v>289909.68</v>
      </c>
      <c r="J161" s="177">
        <v>400000</v>
      </c>
      <c r="K161" s="177">
        <f t="shared" si="51"/>
        <v>-1472.3699999999953</v>
      </c>
      <c r="L161" s="175">
        <f t="shared" si="45"/>
        <v>-5.0530566313195871E-3</v>
      </c>
      <c r="M161" s="187">
        <f t="shared" si="54"/>
        <v>-110090.32</v>
      </c>
      <c r="N161" s="189">
        <f t="shared" si="55"/>
        <v>-0.27522580000000002</v>
      </c>
      <c r="O161" s="187" t="b">
        <f t="shared" si="53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52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  <c r="W161" s="187">
        <f t="shared" si="43"/>
        <v>-0.68321683303878389</v>
      </c>
    </row>
    <row r="162" spans="2:23" ht="20.100000000000001" customHeight="1" x14ac:dyDescent="0.25">
      <c r="B162" s="176">
        <v>42466</v>
      </c>
      <c r="C162" s="220">
        <v>2066.66</v>
      </c>
      <c r="D162" s="175">
        <f t="shared" si="46"/>
        <v>1.0507683957812691E-2</v>
      </c>
      <c r="E162" s="214">
        <f t="shared" si="48"/>
        <v>-1.7018321569224424E-2</v>
      </c>
      <c r="F162" s="224">
        <v>4920.71</v>
      </c>
      <c r="G162" s="175">
        <f t="shared" si="44"/>
        <v>1.5850765803799755E-2</v>
      </c>
      <c r="H162" s="208">
        <f t="shared" si="49"/>
        <v>-3.3582104208810373E-2</v>
      </c>
      <c r="I162" s="226">
        <v>294800.27</v>
      </c>
      <c r="J162" s="177">
        <v>400000</v>
      </c>
      <c r="K162" s="177">
        <f t="shared" si="51"/>
        <v>4890.5900000000256</v>
      </c>
      <c r="L162" s="175">
        <f t="shared" si="45"/>
        <v>1.6869357380547022E-2</v>
      </c>
      <c r="M162" s="187">
        <f t="shared" si="54"/>
        <v>-105199.72999999998</v>
      </c>
      <c r="N162" s="189">
        <f t="shared" si="55"/>
        <v>-0.26299932499999995</v>
      </c>
      <c r="O162" s="187" t="b">
        <f t="shared" si="53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52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  <c r="W162" s="187">
        <f t="shared" si="43"/>
        <v>-0.65389619265055354</v>
      </c>
    </row>
    <row r="163" spans="2:23" ht="20.100000000000001" customHeight="1" x14ac:dyDescent="0.25">
      <c r="B163" s="176">
        <v>42467</v>
      </c>
      <c r="C163" s="220">
        <v>2041.91</v>
      </c>
      <c r="D163" s="175">
        <f t="shared" si="46"/>
        <v>-1.1975845083371128E-2</v>
      </c>
      <c r="E163" s="214">
        <f t="shared" si="48"/>
        <v>-2.8790357869903527E-2</v>
      </c>
      <c r="F163" s="224">
        <v>4848.3599999999997</v>
      </c>
      <c r="G163" s="175">
        <f t="shared" si="44"/>
        <v>-1.4703162754968361E-2</v>
      </c>
      <c r="H163" s="208">
        <f t="shared" si="49"/>
        <v>-4.7791503819942287E-2</v>
      </c>
      <c r="I163" s="226">
        <v>296412.12</v>
      </c>
      <c r="J163" s="177">
        <v>400000</v>
      </c>
      <c r="K163" s="177">
        <f t="shared" si="51"/>
        <v>1611.8499999999767</v>
      </c>
      <c r="L163" s="175">
        <f t="shared" si="45"/>
        <v>5.4676001483986991E-3</v>
      </c>
      <c r="M163" s="187">
        <f t="shared" si="54"/>
        <v>-103587.88</v>
      </c>
      <c r="N163" s="189">
        <f t="shared" si="55"/>
        <v>-0.25896970000000002</v>
      </c>
      <c r="O163" s="187" t="b">
        <f t="shared" si="53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52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  <c r="W163" s="187">
        <f t="shared" si="43"/>
        <v>-0.64576712483019405</v>
      </c>
    </row>
    <row r="164" spans="2:23" ht="20.100000000000001" customHeight="1" x14ac:dyDescent="0.25">
      <c r="B164" s="176">
        <v>42468</v>
      </c>
      <c r="C164" s="220">
        <v>2047.6</v>
      </c>
      <c r="D164" s="175">
        <f t="shared" si="46"/>
        <v>2.7866066574921654E-3</v>
      </c>
      <c r="E164" s="214">
        <f t="shared" si="48"/>
        <v>-2.6083978615323217E-2</v>
      </c>
      <c r="F164" s="224">
        <v>4850.6899999999996</v>
      </c>
      <c r="G164" s="175">
        <f t="shared" si="44"/>
        <v>4.8057487480301122E-4</v>
      </c>
      <c r="H164" s="208">
        <f t="shared" si="49"/>
        <v>-4.7333896341104194E-2</v>
      </c>
      <c r="I164" s="226">
        <v>303561.17</v>
      </c>
      <c r="J164" s="177">
        <v>400000</v>
      </c>
      <c r="K164" s="177">
        <f t="shared" si="51"/>
        <v>7149.0499999999884</v>
      </c>
      <c r="L164" s="175">
        <f t="shared" si="45"/>
        <v>2.4118615662544394E-2</v>
      </c>
      <c r="M164" s="187">
        <f t="shared" si="54"/>
        <v>-96438.830000000016</v>
      </c>
      <c r="N164" s="189">
        <f t="shared" si="55"/>
        <v>-0.24109707500000005</v>
      </c>
      <c r="O164" s="187" t="b">
        <f t="shared" si="53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52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  <c r="W164" s="187">
        <f t="shared" si="43"/>
        <v>-0.6012372836140647</v>
      </c>
    </row>
    <row r="165" spans="2:23" ht="20.100000000000001" customHeight="1" x14ac:dyDescent="0.25">
      <c r="B165" s="249">
        <v>42471</v>
      </c>
      <c r="C165" s="250">
        <v>2041.99</v>
      </c>
      <c r="D165" s="175">
        <f t="shared" si="46"/>
        <v>-2.7397929283062613E-3</v>
      </c>
      <c r="E165" s="251">
        <f t="shared" si="48"/>
        <v>-2.8752306843477123E-2</v>
      </c>
      <c r="F165" s="252">
        <v>4833.3900000000003</v>
      </c>
      <c r="G165" s="175">
        <f t="shared" si="44"/>
        <v>-3.5665029098951436E-3</v>
      </c>
      <c r="H165" s="253">
        <f t="shared" si="49"/>
        <v>-5.0731582771962117E-2</v>
      </c>
      <c r="I165" s="254">
        <v>301374.21999999997</v>
      </c>
      <c r="J165" s="255">
        <v>400000</v>
      </c>
      <c r="K165" s="255">
        <f t="shared" si="51"/>
        <v>-2186.9500000000116</v>
      </c>
      <c r="L165" s="175">
        <f t="shared" si="45"/>
        <v>-7.2043140431960117E-3</v>
      </c>
      <c r="M165" s="256">
        <f t="shared" si="54"/>
        <v>-98625.780000000028</v>
      </c>
      <c r="N165" s="257">
        <f t="shared" si="55"/>
        <v>-0.24656445000000007</v>
      </c>
      <c r="O165" s="256" t="b">
        <f t="shared" si="53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52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  <c r="W165" s="256">
        <f t="shared" si="43"/>
        <v>-0.61665631137014731</v>
      </c>
    </row>
    <row r="166" spans="2:23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8"/>
        <v>-1.9367972451056988E-2</v>
      </c>
      <c r="F166" s="252">
        <v>4872.09</v>
      </c>
      <c r="G166" s="175">
        <f t="shared" ref="G166:G171" si="56">(F166-F165)/F165</f>
        <v>8.0068026788651069E-3</v>
      </c>
      <c r="H166" s="253">
        <f t="shared" si="49"/>
        <v>-4.313097786593862E-2</v>
      </c>
      <c r="I166" s="254">
        <v>314750.48</v>
      </c>
      <c r="J166" s="255">
        <v>400000</v>
      </c>
      <c r="K166" s="255">
        <f t="shared" si="51"/>
        <v>13376.260000000009</v>
      </c>
      <c r="L166" s="175">
        <f t="shared" si="45"/>
        <v>4.438422105248422E-2</v>
      </c>
      <c r="M166" s="256">
        <f t="shared" si="54"/>
        <v>-85249.520000000019</v>
      </c>
      <c r="N166" s="257">
        <f t="shared" si="55"/>
        <v>-0.21312380000000006</v>
      </c>
      <c r="O166" s="256" t="b">
        <f t="shared" si="53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52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  <c r="W166" s="256">
        <f t="shared" si="43"/>
        <v>-0.52945108632147042</v>
      </c>
    </row>
    <row r="167" spans="2:23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8"/>
        <v>-9.522269363216063E-3</v>
      </c>
      <c r="F167" s="252">
        <v>4947.42</v>
      </c>
      <c r="G167" s="175">
        <f t="shared" si="56"/>
        <v>1.5461537040571896E-2</v>
      </c>
      <c r="H167" s="253">
        <f t="shared" si="49"/>
        <v>-2.8336312037237021E-2</v>
      </c>
      <c r="I167" s="254">
        <v>317683.34999999998</v>
      </c>
      <c r="J167" s="255">
        <v>400000</v>
      </c>
      <c r="K167" s="255">
        <f t="shared" si="51"/>
        <v>2932.8699999999953</v>
      </c>
      <c r="L167" s="175">
        <f t="shared" si="45"/>
        <v>9.3180795149224102E-3</v>
      </c>
      <c r="M167" s="256">
        <f t="shared" si="54"/>
        <v>-82316.650000000023</v>
      </c>
      <c r="N167" s="257">
        <f t="shared" si="55"/>
        <v>-0.20579162500000006</v>
      </c>
      <c r="O167" s="256" t="b">
        <f t="shared" si="53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52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  <c r="W167" s="256">
        <f t="shared" si="43"/>
        <v>-0.51256414711140119</v>
      </c>
    </row>
    <row r="168" spans="2:23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8"/>
        <v>-9.3510397442970322E-3</v>
      </c>
      <c r="F168" s="252">
        <v>4945.88</v>
      </c>
      <c r="G168" s="175">
        <f t="shared" si="56"/>
        <v>-3.1127335055442304E-4</v>
      </c>
      <c r="H168" s="253">
        <f t="shared" si="49"/>
        <v>-2.8638765049001261E-2</v>
      </c>
      <c r="I168" s="254">
        <v>317242.28999999998</v>
      </c>
      <c r="J168" s="255">
        <v>400000</v>
      </c>
      <c r="K168" s="255">
        <f t="shared" si="51"/>
        <v>-441.05999999999767</v>
      </c>
      <c r="L168" s="175">
        <f t="shared" si="45"/>
        <v>-1.3883636016807229E-3</v>
      </c>
      <c r="M168" s="256">
        <f t="shared" si="54"/>
        <v>-82757.710000000021</v>
      </c>
      <c r="N168" s="257">
        <f t="shared" si="55"/>
        <v>-0.20689427500000004</v>
      </c>
      <c r="O168" s="256" t="b">
        <f t="shared" si="53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52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  <c r="W168" s="256">
        <f t="shared" si="43"/>
        <v>-0.51687732856267177</v>
      </c>
    </row>
    <row r="169" spans="2:23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8"/>
        <v>-1.0326097296474589E-2</v>
      </c>
      <c r="F169" s="252">
        <v>4938.21</v>
      </c>
      <c r="G169" s="175">
        <f t="shared" si="56"/>
        <v>-1.5507857044651453E-3</v>
      </c>
      <c r="H169" s="253">
        <f t="shared" si="49"/>
        <v>-3.0145138166034879E-2</v>
      </c>
      <c r="I169" s="254">
        <v>317721.64</v>
      </c>
      <c r="J169" s="255">
        <v>400000</v>
      </c>
      <c r="K169" s="255">
        <f t="shared" si="51"/>
        <v>479.35000000003492</v>
      </c>
      <c r="L169" s="175">
        <f t="shared" si="45"/>
        <v>1.5109902276901196E-3</v>
      </c>
      <c r="M169" s="256">
        <f t="shared" si="54"/>
        <v>-82278.359999999986</v>
      </c>
      <c r="N169" s="257">
        <f t="shared" si="55"/>
        <v>-0.20569589999999996</v>
      </c>
      <c r="O169" s="256" t="b">
        <f t="shared" si="53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52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  <c r="W169" s="256">
        <f t="shared" si="43"/>
        <v>-0.51542825391438329</v>
      </c>
    </row>
    <row r="170" spans="2:23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8"/>
        <v>-3.8288845341603954E-3</v>
      </c>
      <c r="F170" s="224">
        <v>4960.01</v>
      </c>
      <c r="G170" s="175">
        <f t="shared" si="56"/>
        <v>4.414555071574555E-3</v>
      </c>
      <c r="H170" s="208">
        <f t="shared" si="49"/>
        <v>-2.5863660467034508E-2</v>
      </c>
      <c r="I170" s="226">
        <v>322899.31</v>
      </c>
      <c r="J170" s="177">
        <v>400000</v>
      </c>
      <c r="K170" s="177">
        <f t="shared" si="51"/>
        <v>5177.6699999999837</v>
      </c>
      <c r="L170" s="175">
        <f t="shared" si="45"/>
        <v>1.6296245984377972E-2</v>
      </c>
      <c r="M170" s="187">
        <f t="shared" si="54"/>
        <v>-77100.69</v>
      </c>
      <c r="N170" s="189">
        <f t="shared" si="55"/>
        <v>-0.19275172500000001</v>
      </c>
      <c r="O170" s="187" t="b">
        <f t="shared" si="53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52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  <c r="W170" s="187">
        <f t="shared" si="43"/>
        <v>-0.48379877316004366</v>
      </c>
    </row>
    <row r="171" spans="2:23" ht="20.100000000000001" customHeight="1" x14ac:dyDescent="0.25">
      <c r="B171" s="176">
        <v>42479</v>
      </c>
      <c r="C171" s="220">
        <v>2100.8000000000002</v>
      </c>
      <c r="D171" s="175">
        <f t="shared" ref="D171:D190" si="57">(C171-C170)/C170</f>
        <v>3.0605570118269806E-3</v>
      </c>
      <c r="E171" s="214">
        <f t="shared" si="48"/>
        <v>-7.8004604174191543E-4</v>
      </c>
      <c r="F171" s="224">
        <v>4940.33</v>
      </c>
      <c r="G171" s="175">
        <f t="shared" si="56"/>
        <v>-3.9677339360203491E-3</v>
      </c>
      <c r="H171" s="208">
        <f t="shared" si="49"/>
        <v>-2.9728774279710095E-2</v>
      </c>
      <c r="I171" s="226">
        <v>328320.36</v>
      </c>
      <c r="J171" s="177">
        <v>400000</v>
      </c>
      <c r="K171" s="177">
        <f t="shared" si="51"/>
        <v>5421.0499999999884</v>
      </c>
      <c r="L171" s="175">
        <f t="shared" si="45"/>
        <v>1.6788670127539103E-2</v>
      </c>
      <c r="M171" s="187">
        <f t="shared" si="54"/>
        <v>-71679.640000000014</v>
      </c>
      <c r="N171" s="189">
        <f t="shared" si="55"/>
        <v>-0.17919910000000003</v>
      </c>
      <c r="O171" s="187" t="b">
        <f t="shared" si="53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52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  <c r="W171" s="187">
        <f t="shared" si="43"/>
        <v>-0.4504977761828623</v>
      </c>
    </row>
    <row r="172" spans="2:23" ht="20.100000000000001" customHeight="1" x14ac:dyDescent="0.25">
      <c r="B172" s="176">
        <v>42480</v>
      </c>
      <c r="C172" s="220">
        <v>2102.4</v>
      </c>
      <c r="D172" s="175">
        <f t="shared" si="57"/>
        <v>7.6161462300071826E-4</v>
      </c>
      <c r="E172" s="214">
        <f t="shared" ref="E172:E191" si="58">(C172-$C$2)/$C$2</f>
        <v>-1.9025513213201623E-5</v>
      </c>
      <c r="F172" s="224">
        <v>4948.13</v>
      </c>
      <c r="G172" s="175">
        <f t="shared" ref="G172:G190" si="59">(F172-F171)/F171</f>
        <v>1.5788418992253922E-3</v>
      </c>
      <c r="H172" s="208">
        <f t="shared" si="49"/>
        <v>-2.8196869414930124E-2</v>
      </c>
      <c r="I172" s="226">
        <v>329335.82</v>
      </c>
      <c r="J172" s="177">
        <v>400000</v>
      </c>
      <c r="K172" s="177">
        <f t="shared" si="51"/>
        <v>1015.460000000021</v>
      </c>
      <c r="L172" s="175">
        <f t="shared" si="45"/>
        <v>3.0928937821584411E-3</v>
      </c>
      <c r="M172" s="187">
        <f t="shared" si="54"/>
        <v>-70664.179999999993</v>
      </c>
      <c r="N172" s="189">
        <f t="shared" si="55"/>
        <v>-0.17666044999999997</v>
      </c>
      <c r="O172" s="187" t="b">
        <f t="shared" si="53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52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  <c r="W172" s="187">
        <f t="shared" si="43"/>
        <v>-0.44541128432764099</v>
      </c>
    </row>
    <row r="173" spans="2:23" ht="20.100000000000001" customHeight="1" x14ac:dyDescent="0.25">
      <c r="B173" s="176">
        <v>42481</v>
      </c>
      <c r="C173" s="220">
        <v>2091.48</v>
      </c>
      <c r="D173" s="175">
        <f t="shared" si="57"/>
        <v>-5.194063926940674E-3</v>
      </c>
      <c r="E173" s="214">
        <f t="shared" si="58"/>
        <v>-5.2129906204220026E-3</v>
      </c>
      <c r="F173" s="224">
        <v>4945.88</v>
      </c>
      <c r="G173" s="175">
        <f t="shared" si="59"/>
        <v>-4.547172366126193E-4</v>
      </c>
      <c r="H173" s="208">
        <f t="shared" si="49"/>
        <v>-2.8638765049001261E-2</v>
      </c>
      <c r="I173" s="226">
        <v>327169.02</v>
      </c>
      <c r="J173" s="177">
        <v>400000</v>
      </c>
      <c r="K173" s="177">
        <f t="shared" si="51"/>
        <v>-2166.7999999999884</v>
      </c>
      <c r="L173" s="175">
        <f t="shared" si="45"/>
        <v>-6.5793025489908393E-3</v>
      </c>
      <c r="M173" s="187">
        <f t="shared" si="54"/>
        <v>-72830.979999999981</v>
      </c>
      <c r="N173" s="189">
        <f t="shared" si="55"/>
        <v>-0.18207744999999995</v>
      </c>
      <c r="O173" s="187" t="b">
        <f t="shared" si="53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52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  <c r="W173" s="187">
        <f t="shared" si="43"/>
        <v>-0.46033940675573293</v>
      </c>
    </row>
    <row r="174" spans="2:23" ht="20.100000000000001" customHeight="1" x14ac:dyDescent="0.25">
      <c r="B174" s="176">
        <v>42482</v>
      </c>
      <c r="C174" s="220">
        <v>2091.58</v>
      </c>
      <c r="D174" s="175">
        <f t="shared" si="57"/>
        <v>4.7813031919936622E-5</v>
      </c>
      <c r="E174" s="214">
        <f t="shared" si="58"/>
        <v>-5.1654268373889992E-3</v>
      </c>
      <c r="F174" s="224">
        <v>4906.28</v>
      </c>
      <c r="G174" s="175">
        <f t="shared" si="59"/>
        <v>-8.006664132571022E-3</v>
      </c>
      <c r="H174" s="208">
        <f t="shared" ref="H174:H191" si="60">(F174-F$2)/F$2</f>
        <v>-3.6416128208653316E-2</v>
      </c>
      <c r="I174" s="226">
        <v>331471.71000000002</v>
      </c>
      <c r="J174" s="177">
        <v>400000</v>
      </c>
      <c r="K174" s="177">
        <f t="shared" si="51"/>
        <v>4302.6900000000023</v>
      </c>
      <c r="L174" s="175">
        <f t="shared" si="45"/>
        <v>1.3151275753431673E-2</v>
      </c>
      <c r="M174" s="187">
        <f t="shared" si="54"/>
        <v>-68528.289999999979</v>
      </c>
      <c r="N174" s="189">
        <f t="shared" si="55"/>
        <v>-0.17132072499999995</v>
      </c>
      <c r="O174" s="187" t="b">
        <f t="shared" si="53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52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  <c r="W174" s="187">
        <f t="shared" si="43"/>
        <v>-0.43404461026348407</v>
      </c>
    </row>
    <row r="175" spans="2:23" ht="20.100000000000001" customHeight="1" x14ac:dyDescent="0.25">
      <c r="B175" s="249">
        <v>42485</v>
      </c>
      <c r="C175" s="250">
        <v>2087.79</v>
      </c>
      <c r="D175" s="175">
        <f t="shared" si="57"/>
        <v>-1.8120272712494688E-3</v>
      </c>
      <c r="E175" s="251">
        <f t="shared" si="58"/>
        <v>-6.9680942143414753E-3</v>
      </c>
      <c r="F175" s="252">
        <v>4895.78</v>
      </c>
      <c r="G175" s="175">
        <f t="shared" si="59"/>
        <v>-2.140114302485794E-3</v>
      </c>
      <c r="H175" s="253">
        <f t="shared" si="60"/>
        <v>-3.8478307834318611E-2</v>
      </c>
      <c r="I175" s="254">
        <v>325541.03000000003</v>
      </c>
      <c r="J175" s="255">
        <v>400000</v>
      </c>
      <c r="K175" s="255">
        <f t="shared" si="51"/>
        <v>-5930.679999999993</v>
      </c>
      <c r="L175" s="175">
        <f t="shared" si="45"/>
        <v>-1.7891964294630129E-2</v>
      </c>
      <c r="M175" s="256">
        <f t="shared" si="54"/>
        <v>-74458.969999999972</v>
      </c>
      <c r="N175" s="257">
        <f t="shared" si="55"/>
        <v>-0.18614742499999992</v>
      </c>
      <c r="O175" s="256" t="b">
        <f t="shared" si="53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52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  <c r="W175" s="256">
        <f t="shared" si="43"/>
        <v>-0.47229426874738822</v>
      </c>
    </row>
    <row r="176" spans="2:23" ht="20.100000000000001" customHeight="1" x14ac:dyDescent="0.25">
      <c r="B176" s="249">
        <v>42486</v>
      </c>
      <c r="C176" s="341">
        <v>2091.6999999999998</v>
      </c>
      <c r="D176" s="175">
        <f t="shared" si="57"/>
        <v>1.8727937196748019E-3</v>
      </c>
      <c r="E176" s="251">
        <f t="shared" si="58"/>
        <v>-5.1083502977493939E-3</v>
      </c>
      <c r="F176" s="252">
        <v>4888.28</v>
      </c>
      <c r="G176" s="175">
        <f t="shared" si="59"/>
        <v>-1.5319315818929772E-3</v>
      </c>
      <c r="H176" s="253">
        <f t="shared" si="60"/>
        <v>-3.9951293281222398E-2</v>
      </c>
      <c r="I176" s="254">
        <v>336797.26</v>
      </c>
      <c r="J176" s="255">
        <v>400000</v>
      </c>
      <c r="K176" s="255">
        <f t="shared" si="51"/>
        <v>11256.229999999981</v>
      </c>
      <c r="L176" s="175">
        <f t="shared" si="45"/>
        <v>3.4576993259497826E-2</v>
      </c>
      <c r="M176" s="256">
        <f t="shared" si="54"/>
        <v>-63202.739999999991</v>
      </c>
      <c r="N176" s="257">
        <f t="shared" si="55"/>
        <v>-0.15800684999999998</v>
      </c>
      <c r="O176" s="256" t="b">
        <f t="shared" si="53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52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  <c r="W176" s="256">
        <f t="shared" si="43"/>
        <v>-0.39977975447523584</v>
      </c>
    </row>
    <row r="177" spans="2:23" ht="20.100000000000001" customHeight="1" x14ac:dyDescent="0.25">
      <c r="B177" s="249">
        <v>42487</v>
      </c>
      <c r="C177" s="341">
        <v>2095.15</v>
      </c>
      <c r="D177" s="175">
        <f t="shared" si="57"/>
        <v>1.6493761055602013E-3</v>
      </c>
      <c r="E177" s="251">
        <f t="shared" si="58"/>
        <v>-3.4673997831091321E-3</v>
      </c>
      <c r="F177" s="252">
        <v>4863.1400000000003</v>
      </c>
      <c r="G177" s="175">
        <f t="shared" si="59"/>
        <v>-5.1429132537414834E-3</v>
      </c>
      <c r="H177" s="253">
        <f t="shared" si="60"/>
        <v>-4.4888740499243768E-2</v>
      </c>
      <c r="I177" s="254">
        <v>341540.33</v>
      </c>
      <c r="J177" s="255">
        <v>400000</v>
      </c>
      <c r="K177" s="255">
        <f t="shared" si="51"/>
        <v>4743.070000000007</v>
      </c>
      <c r="L177" s="175">
        <f t="shared" si="45"/>
        <v>1.4082863975793648E-2</v>
      </c>
      <c r="M177" s="256">
        <f t="shared" si="54"/>
        <v>-58459.669999999984</v>
      </c>
      <c r="N177" s="257">
        <f t="shared" si="55"/>
        <v>-0.14614917499999996</v>
      </c>
      <c r="O177" s="256" t="b">
        <f t="shared" si="53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52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  <c r="W177" s="256">
        <f t="shared" si="43"/>
        <v>-0.37049772074294612</v>
      </c>
    </row>
    <row r="178" spans="2:23" ht="20.100000000000001" customHeight="1" x14ac:dyDescent="0.25">
      <c r="B178" s="249">
        <v>42488</v>
      </c>
      <c r="C178" s="341">
        <v>2075.81</v>
      </c>
      <c r="D178" s="175">
        <f t="shared" si="57"/>
        <v>-9.2308426604301094E-3</v>
      </c>
      <c r="E178" s="251">
        <f t="shared" si="58"/>
        <v>-1.2666235421700553E-2</v>
      </c>
      <c r="F178" s="252">
        <v>4805.29</v>
      </c>
      <c r="G178" s="175">
        <f t="shared" si="59"/>
        <v>-1.1895606542275229E-2</v>
      </c>
      <c r="H178" s="253">
        <f t="shared" si="60"/>
        <v>-5.6250368246361697E-2</v>
      </c>
      <c r="I178" s="254">
        <v>336936.02</v>
      </c>
      <c r="J178" s="255">
        <v>400000</v>
      </c>
      <c r="K178" s="255">
        <f t="shared" si="51"/>
        <v>-4604.3099999999977</v>
      </c>
      <c r="L178" s="175">
        <f t="shared" si="45"/>
        <v>-1.3481014086974729E-2</v>
      </c>
      <c r="M178" s="256">
        <f t="shared" si="54"/>
        <v>-63063.979999999981</v>
      </c>
      <c r="N178" s="257">
        <f t="shared" si="55"/>
        <v>-0.15765994999999997</v>
      </c>
      <c r="O178" s="256" t="b">
        <f t="shared" si="53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52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  <c r="W178" s="256">
        <f t="shared" si="43"/>
        <v>-0.40049175612757026</v>
      </c>
    </row>
    <row r="179" spans="2:23" ht="20.100000000000001" customHeight="1" x14ac:dyDescent="0.25">
      <c r="B179" s="249">
        <v>42489</v>
      </c>
      <c r="C179" s="341">
        <v>2065.3000000000002</v>
      </c>
      <c r="D179" s="175">
        <f t="shared" si="57"/>
        <v>-5.0630838082482326E-3</v>
      </c>
      <c r="E179" s="251">
        <f t="shared" si="58"/>
        <v>-1.7665189018473713E-2</v>
      </c>
      <c r="F179" s="252">
        <v>4775.3599999999997</v>
      </c>
      <c r="G179" s="175">
        <f t="shared" si="59"/>
        <v>-6.2285522830048323E-3</v>
      </c>
      <c r="H179" s="253">
        <f t="shared" si="60"/>
        <v>-6.2128562169805793E-2</v>
      </c>
      <c r="I179" s="508">
        <v>329545.53999999998</v>
      </c>
      <c r="J179" s="255">
        <v>400000</v>
      </c>
      <c r="K179" s="255">
        <f t="shared" si="51"/>
        <v>-7390.4800000000396</v>
      </c>
      <c r="L179" s="175">
        <f t="shared" si="45"/>
        <v>-2.1934371991454163E-2</v>
      </c>
      <c r="M179" s="256">
        <f t="shared" si="54"/>
        <v>-70454.460000000021</v>
      </c>
      <c r="N179" s="257">
        <f t="shared" si="55"/>
        <v>-0.17613615000000005</v>
      </c>
      <c r="O179" s="256" t="b">
        <f t="shared" si="53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52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  <c r="W179" s="256">
        <f t="shared" si="43"/>
        <v>-0.44772078039883456</v>
      </c>
    </row>
    <row r="180" spans="2:23" ht="20.100000000000001" customHeight="1" x14ac:dyDescent="0.25">
      <c r="B180" s="176">
        <v>42492</v>
      </c>
      <c r="C180" s="220">
        <v>2081.4299999999998</v>
      </c>
      <c r="D180" s="175">
        <f t="shared" si="57"/>
        <v>7.8100033893379424E-3</v>
      </c>
      <c r="E180" s="214">
        <f t="shared" si="58"/>
        <v>-9.9931508152433443E-3</v>
      </c>
      <c r="F180" s="224">
        <v>4817.59</v>
      </c>
      <c r="G180" s="175">
        <f t="shared" si="59"/>
        <v>8.8433123366616281E-3</v>
      </c>
      <c r="H180" s="208">
        <f t="shared" si="60"/>
        <v>-5.3834672113439459E-2</v>
      </c>
      <c r="I180" s="226">
        <v>323730.93</v>
      </c>
      <c r="J180" s="177">
        <v>400000</v>
      </c>
      <c r="K180" s="177">
        <f t="shared" si="51"/>
        <v>-5814.609999999986</v>
      </c>
      <c r="L180" s="175">
        <f t="shared" si="45"/>
        <v>-1.7644329217746314E-2</v>
      </c>
      <c r="M180" s="187">
        <f t="shared" si="54"/>
        <v>-76269.070000000007</v>
      </c>
      <c r="N180" s="189">
        <f t="shared" si="55"/>
        <v>-0.19067267500000001</v>
      </c>
      <c r="O180" s="187" t="b">
        <f t="shared" si="53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52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  <c r="W180" s="187">
        <f t="shared" si="43"/>
        <v>-0.48537228831508195</v>
      </c>
    </row>
    <row r="181" spans="2:23" ht="20.100000000000001" customHeight="1" x14ac:dyDescent="0.25">
      <c r="B181" s="176">
        <v>42493</v>
      </c>
      <c r="C181" s="220">
        <v>2063.37</v>
      </c>
      <c r="D181" s="175">
        <f t="shared" si="57"/>
        <v>-8.6767270578400179E-3</v>
      </c>
      <c r="E181" s="214">
        <f t="shared" si="58"/>
        <v>-1.8583170031011665E-2</v>
      </c>
      <c r="F181" s="224">
        <v>4763.22</v>
      </c>
      <c r="G181" s="175">
        <f t="shared" si="59"/>
        <v>-1.1285725850477083E-2</v>
      </c>
      <c r="H181" s="208">
        <f t="shared" si="60"/>
        <v>-6.4512834613193945E-2</v>
      </c>
      <c r="I181" s="226">
        <v>314233.52</v>
      </c>
      <c r="J181" s="177">
        <v>400000</v>
      </c>
      <c r="K181" s="177">
        <f t="shared" si="51"/>
        <v>-9497.4099999999744</v>
      </c>
      <c r="L181" s="175">
        <f t="shared" si="45"/>
        <v>-2.9337357415925549E-2</v>
      </c>
      <c r="M181" s="187">
        <f t="shared" si="54"/>
        <v>-85766.479999999981</v>
      </c>
      <c r="N181" s="189">
        <f t="shared" si="55"/>
        <v>-0.21441619999999995</v>
      </c>
      <c r="O181" s="187" t="b">
        <f t="shared" si="53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52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  <c r="W181" s="187">
        <f t="shared" si="43"/>
        <v>-0.5452571876818868</v>
      </c>
    </row>
    <row r="182" spans="2:23" ht="20.100000000000001" customHeight="1" x14ac:dyDescent="0.25">
      <c r="B182" s="176">
        <v>42494</v>
      </c>
      <c r="C182" s="220">
        <v>2051.12</v>
      </c>
      <c r="D182" s="175">
        <f t="shared" si="57"/>
        <v>-5.9368896513955329E-3</v>
      </c>
      <c r="E182" s="214">
        <f t="shared" si="58"/>
        <v>-2.4409733452559961E-2</v>
      </c>
      <c r="F182" s="224">
        <v>4725.6400000000003</v>
      </c>
      <c r="G182" s="175">
        <f t="shared" si="59"/>
        <v>-7.8896208867110743E-3</v>
      </c>
      <c r="H182" s="208">
        <f t="shared" si="60"/>
        <v>-7.1893473692479823E-2</v>
      </c>
      <c r="I182" s="226">
        <v>304379.90999999997</v>
      </c>
      <c r="J182" s="177">
        <v>400000</v>
      </c>
      <c r="K182" s="177">
        <f t="shared" si="51"/>
        <v>-9853.6100000000442</v>
      </c>
      <c r="L182" s="175">
        <f t="shared" si="45"/>
        <v>-3.135760309721268E-2</v>
      </c>
      <c r="M182" s="187">
        <f t="shared" si="54"/>
        <v>-95620.090000000026</v>
      </c>
      <c r="N182" s="189">
        <f t="shared" si="55"/>
        <v>-0.23905022500000006</v>
      </c>
      <c r="O182" s="187" t="b">
        <f t="shared" si="53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52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  <c r="W182" s="187">
        <f t="shared" si="43"/>
        <v>-0.60698515730342806</v>
      </c>
    </row>
    <row r="183" spans="2:23" ht="20.100000000000001" customHeight="1" x14ac:dyDescent="0.25">
      <c r="B183" s="176">
        <v>42495</v>
      </c>
      <c r="C183" s="220">
        <v>2050.63</v>
      </c>
      <c r="D183" s="175">
        <f t="shared" si="57"/>
        <v>-2.3889387261583024E-4</v>
      </c>
      <c r="E183" s="214">
        <f t="shared" si="58"/>
        <v>-2.464279598942179E-2</v>
      </c>
      <c r="F183" s="224">
        <v>4717.09</v>
      </c>
      <c r="G183" s="175">
        <f t="shared" si="59"/>
        <v>-1.8092787431967271E-3</v>
      </c>
      <c r="H183" s="208">
        <f t="shared" si="60"/>
        <v>-7.3572677101950174E-2</v>
      </c>
      <c r="I183" s="226">
        <v>304854.58</v>
      </c>
      <c r="J183" s="177">
        <v>400000</v>
      </c>
      <c r="K183" s="177">
        <f t="shared" si="51"/>
        <v>474.67000000004191</v>
      </c>
      <c r="L183" s="175">
        <f t="shared" si="45"/>
        <v>1.5594656033640392E-3</v>
      </c>
      <c r="M183" s="187">
        <f t="shared" si="54"/>
        <v>-95145.419999999984</v>
      </c>
      <c r="N183" s="189">
        <f t="shared" si="55"/>
        <v>-0.23786354999999995</v>
      </c>
      <c r="O183" s="187" t="b">
        <f t="shared" si="53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52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  <c r="W183" s="187">
        <f t="shared" si="43"/>
        <v>-0.60564282927236923</v>
      </c>
    </row>
    <row r="184" spans="2:23" ht="20.100000000000001" customHeight="1" x14ac:dyDescent="0.25">
      <c r="B184" s="176">
        <v>42496</v>
      </c>
      <c r="C184" s="220">
        <v>2057.14</v>
      </c>
      <c r="D184" s="175">
        <f t="shared" si="57"/>
        <v>3.1746341368261281E-3</v>
      </c>
      <c r="E184" s="214">
        <f t="shared" si="58"/>
        <v>-2.1546393713970519E-2</v>
      </c>
      <c r="F184" s="224">
        <v>4736.1499999999996</v>
      </c>
      <c r="G184" s="175">
        <f t="shared" si="59"/>
        <v>4.0406267423346784E-3</v>
      </c>
      <c r="H184" s="208">
        <f t="shared" si="60"/>
        <v>-6.9829330086218791E-2</v>
      </c>
      <c r="I184" s="226">
        <v>304553.01</v>
      </c>
      <c r="J184" s="177">
        <v>400000</v>
      </c>
      <c r="K184" s="177">
        <f t="shared" ref="K184:K191" si="61">I184-I183-J184+J183</f>
        <v>-301.57000000000698</v>
      </c>
      <c r="L184" s="175">
        <f t="shared" si="45"/>
        <v>-9.8922574822397935E-4</v>
      </c>
      <c r="M184" s="187">
        <f t="shared" si="54"/>
        <v>-95446.989999999991</v>
      </c>
      <c r="N184" s="189">
        <f t="shared" si="55"/>
        <v>-0.23861747499999997</v>
      </c>
      <c r="O184" s="187" t="b">
        <f t="shared" si="53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52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  <c r="W184" s="187">
        <f t="shared" si="43"/>
        <v>-0.60924753471243354</v>
      </c>
    </row>
    <row r="185" spans="2:23" ht="20.100000000000001" customHeight="1" x14ac:dyDescent="0.25">
      <c r="B185" s="249">
        <v>42499</v>
      </c>
      <c r="C185" s="250">
        <v>2058.69</v>
      </c>
      <c r="D185" s="175">
        <f t="shared" si="57"/>
        <v>7.5347326871296166E-4</v>
      </c>
      <c r="E185" s="251">
        <f t="shared" si="58"/>
        <v>-2.08091550769582E-2</v>
      </c>
      <c r="F185" s="252">
        <v>4750.2</v>
      </c>
      <c r="G185" s="175">
        <f t="shared" si="59"/>
        <v>2.9665445562324214E-3</v>
      </c>
      <c r="H185" s="253">
        <f t="shared" si="60"/>
        <v>-6.706993734901899E-2</v>
      </c>
      <c r="I185" s="254">
        <v>298140.64</v>
      </c>
      <c r="J185" s="255">
        <v>400000</v>
      </c>
      <c r="K185" s="255">
        <f t="shared" si="61"/>
        <v>-6412.3699999999953</v>
      </c>
      <c r="L185" s="175">
        <f t="shared" si="45"/>
        <v>-2.1055020930510572E-2</v>
      </c>
      <c r="M185" s="256">
        <f t="shared" si="54"/>
        <v>-101859.35999999999</v>
      </c>
      <c r="N185" s="257">
        <f t="shared" si="55"/>
        <v>-0.25464839999999994</v>
      </c>
      <c r="O185" s="256" t="b">
        <f t="shared" si="53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52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  <c r="W185" s="256">
        <f t="shared" si="43"/>
        <v>-0.65075435554947725</v>
      </c>
    </row>
    <row r="186" spans="2:23" ht="20.100000000000001" customHeight="1" x14ac:dyDescent="0.25">
      <c r="B186" s="249">
        <v>42500</v>
      </c>
      <c r="C186" s="250">
        <v>2084.39</v>
      </c>
      <c r="D186" s="175">
        <f t="shared" si="57"/>
        <v>1.2483666797817941E-2</v>
      </c>
      <c r="E186" s="251">
        <f t="shared" si="58"/>
        <v>-8.5852628374651265E-3</v>
      </c>
      <c r="F186" s="252">
        <v>4809.88</v>
      </c>
      <c r="G186" s="175">
        <f t="shared" si="59"/>
        <v>1.2563681529198832E-2</v>
      </c>
      <c r="H186" s="253">
        <f t="shared" si="60"/>
        <v>-5.5348901152856553E-2</v>
      </c>
      <c r="I186" s="254">
        <v>304800.26</v>
      </c>
      <c r="J186" s="255">
        <v>400000</v>
      </c>
      <c r="K186" s="255">
        <f t="shared" si="61"/>
        <v>6659.6199999999953</v>
      </c>
      <c r="L186" s="175">
        <f t="shared" si="45"/>
        <v>2.2337176172963186E-2</v>
      </c>
      <c r="M186" s="256">
        <f t="shared" si="54"/>
        <v>-95199.739999999991</v>
      </c>
      <c r="N186" s="257">
        <f t="shared" si="55"/>
        <v>-0.23799934999999997</v>
      </c>
      <c r="O186" s="256" t="b">
        <f t="shared" si="53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52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  <c r="W186" s="256">
        <f t="shared" si="43"/>
        <v>-0.6084139790297225</v>
      </c>
    </row>
    <row r="187" spans="2:23" ht="20.100000000000001" customHeight="1" x14ac:dyDescent="0.25">
      <c r="B187" s="249">
        <v>42501</v>
      </c>
      <c r="C187" s="250">
        <v>2064.46</v>
      </c>
      <c r="D187" s="175">
        <f t="shared" si="57"/>
        <v>-9.5615503816463502E-3</v>
      </c>
      <c r="E187" s="251">
        <f t="shared" si="58"/>
        <v>-1.8064724795951378E-2</v>
      </c>
      <c r="F187" s="252">
        <v>4760.68</v>
      </c>
      <c r="G187" s="175">
        <f t="shared" si="59"/>
        <v>-1.0228945420675737E-2</v>
      </c>
      <c r="H187" s="253">
        <f t="shared" si="60"/>
        <v>-6.5011685684545351E-2</v>
      </c>
      <c r="I187" s="254">
        <v>308835.23</v>
      </c>
      <c r="J187" s="255">
        <v>400000</v>
      </c>
      <c r="K187" s="255">
        <f t="shared" si="61"/>
        <v>4034.9699999999721</v>
      </c>
      <c r="L187" s="175">
        <f t="shared" si="45"/>
        <v>1.3238079258856183E-2</v>
      </c>
      <c r="M187" s="256">
        <f t="shared" si="54"/>
        <v>-91164.770000000019</v>
      </c>
      <c r="N187" s="257">
        <f t="shared" si="55"/>
        <v>-0.22791192500000004</v>
      </c>
      <c r="O187" s="256" t="b">
        <f t="shared" si="53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52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  <c r="W187" s="256">
        <f t="shared" si="43"/>
        <v>-0.58371140107639852</v>
      </c>
    </row>
    <row r="188" spans="2:23" ht="20.100000000000001" customHeight="1" x14ac:dyDescent="0.25">
      <c r="B188" s="249">
        <v>42502</v>
      </c>
      <c r="C188" s="250">
        <v>2064.11</v>
      </c>
      <c r="D188" s="175">
        <f t="shared" si="57"/>
        <v>-1.6953585925612947E-4</v>
      </c>
      <c r="E188" s="251">
        <f t="shared" si="58"/>
        <v>-1.8231198036567E-2</v>
      </c>
      <c r="F188" s="252">
        <v>4737.33</v>
      </c>
      <c r="G188" s="175">
        <f t="shared" si="59"/>
        <v>-4.9047615046590746E-3</v>
      </c>
      <c r="H188" s="253">
        <f t="shared" si="60"/>
        <v>-6.9597580375905868E-2</v>
      </c>
      <c r="I188" s="254">
        <v>304301.34000000003</v>
      </c>
      <c r="J188" s="255">
        <v>400000</v>
      </c>
      <c r="K188" s="255">
        <f t="shared" si="61"/>
        <v>-4533.8899999999558</v>
      </c>
      <c r="L188" s="175">
        <f t="shared" si="45"/>
        <v>-1.4680611405635154E-2</v>
      </c>
      <c r="M188" s="256">
        <f t="shared" si="54"/>
        <v>-95698.659999999974</v>
      </c>
      <c r="N188" s="257">
        <f t="shared" si="55"/>
        <v>-0.23924664999999995</v>
      </c>
      <c r="O188" s="256" t="b">
        <f t="shared" si="53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52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  <c r="W188" s="256">
        <f t="shared" si="43"/>
        <v>-0.61386001915834465</v>
      </c>
    </row>
    <row r="189" spans="2:23" ht="20.100000000000001" customHeight="1" x14ac:dyDescent="0.25">
      <c r="B189" s="249">
        <v>42503</v>
      </c>
      <c r="C189" s="250">
        <v>2046.61</v>
      </c>
      <c r="D189" s="175">
        <f t="shared" si="57"/>
        <v>-8.4782303268722235E-3</v>
      </c>
      <c r="E189" s="251">
        <f t="shared" si="58"/>
        <v>-2.6554860067350389E-2</v>
      </c>
      <c r="F189" s="252">
        <v>4717.68</v>
      </c>
      <c r="G189" s="175">
        <f t="shared" si="59"/>
        <v>-4.1479060990050592E-3</v>
      </c>
      <c r="H189" s="253">
        <f t="shared" si="60"/>
        <v>-7.3456802246793712E-2</v>
      </c>
      <c r="I189" s="254">
        <v>303736.26</v>
      </c>
      <c r="J189" s="255">
        <v>400000</v>
      </c>
      <c r="K189" s="255">
        <f t="shared" si="61"/>
        <v>-565.0800000000163</v>
      </c>
      <c r="L189" s="175">
        <f t="shared" si="45"/>
        <v>-1.8569750629425959E-3</v>
      </c>
      <c r="M189" s="256">
        <f t="shared" si="54"/>
        <v>-96263.739999999991</v>
      </c>
      <c r="N189" s="257">
        <f t="shared" si="55"/>
        <v>-0.24065934999999997</v>
      </c>
      <c r="O189" s="256" t="b">
        <f t="shared" si="53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52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  <c r="W189" s="256">
        <f t="shared" si="43"/>
        <v>-0.6191474754801024</v>
      </c>
    </row>
    <row r="190" spans="2:23" ht="20.100000000000001" customHeight="1" x14ac:dyDescent="0.25">
      <c r="B190" s="176">
        <v>42506</v>
      </c>
      <c r="C190" s="220">
        <v>2066.66</v>
      </c>
      <c r="D190" s="175">
        <f t="shared" si="57"/>
        <v>9.7966881819203239E-3</v>
      </c>
      <c r="E190" s="214">
        <f t="shared" si="58"/>
        <v>-1.7018321569224424E-2</v>
      </c>
      <c r="F190" s="224">
        <v>4775.45</v>
      </c>
      <c r="G190" s="175">
        <f t="shared" si="59"/>
        <v>1.224542571772556E-2</v>
      </c>
      <c r="H190" s="208">
        <f t="shared" si="60"/>
        <v>-6.2110886344442916E-2</v>
      </c>
      <c r="I190" s="226">
        <v>310136.52</v>
      </c>
      <c r="J190" s="177">
        <v>400000</v>
      </c>
      <c r="K190" s="177">
        <f t="shared" si="61"/>
        <v>6400.2600000000093</v>
      </c>
      <c r="L190" s="175">
        <f t="shared" si="45"/>
        <v>2.1071767987134657E-2</v>
      </c>
      <c r="M190" s="187">
        <f t="shared" si="54"/>
        <v>-89863.479999999981</v>
      </c>
      <c r="N190" s="189">
        <f t="shared" ref="N190:N191" si="62">M190/J190</f>
        <v>-0.22465869999999996</v>
      </c>
      <c r="O190" s="187" t="b">
        <f t="shared" si="53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52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  <c r="W190" s="187">
        <f t="shared" si="43"/>
        <v>-0.57831527146908224</v>
      </c>
    </row>
    <row r="191" spans="2:23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8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60"/>
        <v>-7.3839778462988837E-2</v>
      </c>
      <c r="I191" s="226">
        <v>311039.01</v>
      </c>
      <c r="J191" s="177">
        <v>400000</v>
      </c>
      <c r="K191" s="177">
        <f t="shared" si="61"/>
        <v>902.48999999999069</v>
      </c>
      <c r="L191" s="175">
        <f t="shared" si="45"/>
        <v>2.9099765483922711E-3</v>
      </c>
      <c r="M191" s="187">
        <f t="shared" si="54"/>
        <v>-88960.989999999991</v>
      </c>
      <c r="N191" s="189">
        <f t="shared" si="62"/>
        <v>-0.22240247499999999</v>
      </c>
      <c r="O191" s="187" t="b">
        <f t="shared" si="53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52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  <c r="W191" s="187">
        <f t="shared" si="43"/>
        <v>-0.57400531087054396</v>
      </c>
    </row>
    <row r="192" spans="2:23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3">(C192-$C$2)/$C$2</f>
        <v>-2.6069709480413209E-2</v>
      </c>
      <c r="F192" s="224">
        <v>4739.1099999999997</v>
      </c>
      <c r="G192" s="175">
        <f t="shared" ref="G192:G255" si="64">(F192-F191)/F191</f>
        <v>4.9578750267721249E-3</v>
      </c>
      <c r="H192" s="208">
        <f t="shared" ref="H192" si="65">(F192-F$2)/F$2</f>
        <v>-6.9247991829840747E-2</v>
      </c>
      <c r="I192" s="226">
        <v>310817.56</v>
      </c>
      <c r="J192" s="177">
        <v>400000</v>
      </c>
      <c r="K192" s="177">
        <f t="shared" ref="K192" si="66">I192-I191-J192+J191</f>
        <v>-221.45000000001164</v>
      </c>
      <c r="L192" s="175">
        <f t="shared" si="45"/>
        <v>-7.1196857268807415E-4</v>
      </c>
      <c r="M192" s="187">
        <f t="shared" ref="M192" si="67">I192-J192</f>
        <v>-89182.44</v>
      </c>
      <c r="N192" s="189">
        <f t="shared" ref="N192" si="68">M192/J192</f>
        <v>-0.22295610000000002</v>
      </c>
      <c r="O192" s="187" t="b">
        <f t="shared" ref="O192" si="69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70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  <c r="W192" s="187">
        <f t="shared" si="43"/>
        <v>-0.5769624859289274</v>
      </c>
    </row>
    <row r="193" spans="2:23" ht="20.100000000000001" customHeight="1" x14ac:dyDescent="0.25">
      <c r="B193" s="176">
        <v>42509</v>
      </c>
      <c r="C193" s="220">
        <v>2040.04</v>
      </c>
      <c r="D193" s="175">
        <f t="shared" ref="D193:D256" si="71">(C193-C192)/C192</f>
        <v>-3.7067243593814046E-3</v>
      </c>
      <c r="E193" s="214">
        <f t="shared" ref="E193" si="72">(C193-$C$2)/$C$2</f>
        <v>-2.9679800612621567E-2</v>
      </c>
      <c r="F193" s="224">
        <v>4712.53</v>
      </c>
      <c r="G193" s="175">
        <f t="shared" si="64"/>
        <v>-5.6086480372896869E-3</v>
      </c>
      <c r="H193" s="208">
        <f t="shared" ref="H193" si="73">(F193-F$2)/F$2</f>
        <v>-7.4468252253667752E-2</v>
      </c>
      <c r="I193" s="226">
        <v>311569.3</v>
      </c>
      <c r="J193" s="177">
        <v>400000</v>
      </c>
      <c r="K193" s="177">
        <f t="shared" ref="K193" si="74">I193-I192-J193+J192</f>
        <v>751.73999999999069</v>
      </c>
      <c r="L193" s="175">
        <f t="shared" si="45"/>
        <v>2.4185892199912731E-3</v>
      </c>
      <c r="M193" s="187">
        <f t="shared" ref="M193" si="75">I193-J193</f>
        <v>-88430.700000000012</v>
      </c>
      <c r="N193" s="189">
        <f t="shared" ref="N193" si="76">M193/J193</f>
        <v>-0.22107675000000002</v>
      </c>
      <c r="O193" s="187" t="b">
        <f t="shared" ref="O193" si="77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8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  <c r="W193" s="187">
        <f t="shared" si="43"/>
        <v>-0.57358826427932663</v>
      </c>
    </row>
    <row r="194" spans="2:23" ht="20.100000000000001" customHeight="1" x14ac:dyDescent="0.25">
      <c r="B194" s="176">
        <v>42510</v>
      </c>
      <c r="C194" s="220">
        <v>2052.3200000000002</v>
      </c>
      <c r="D194" s="175">
        <f t="shared" si="71"/>
        <v>6.0194898139253154E-3</v>
      </c>
      <c r="E194" s="214">
        <f t="shared" ref="E194:E195" si="79">(C194-$C$2)/$C$2</f>
        <v>-2.3838968056163264E-2</v>
      </c>
      <c r="F194" s="224">
        <v>4769.55</v>
      </c>
      <c r="G194" s="175">
        <f t="shared" si="64"/>
        <v>1.209965772101195E-2</v>
      </c>
      <c r="H194" s="208">
        <f t="shared" ref="H194:H195" si="80">(F194-F$2)/F$2</f>
        <v>-6.3269634896007163E-2</v>
      </c>
      <c r="I194" s="226">
        <v>320418.83</v>
      </c>
      <c r="J194" s="177">
        <v>400000</v>
      </c>
      <c r="K194" s="177">
        <f t="shared" ref="K194:K195" si="81">I194-I193-J194+J193</f>
        <v>8849.5300000000279</v>
      </c>
      <c r="L194" s="175">
        <f t="shared" si="45"/>
        <v>2.8403087210453752E-2</v>
      </c>
      <c r="M194" s="187">
        <f t="shared" ref="M194:M195" si="82">I194-J194</f>
        <v>-79581.169999999984</v>
      </c>
      <c r="N194" s="189">
        <f t="shared" ref="N194:N195" si="83">M194/J194</f>
        <v>-0.19895292499999995</v>
      </c>
      <c r="O194" s="187" t="b">
        <f t="shared" ref="O194:O195" si="84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5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  <c r="W194" s="187">
        <f t="shared" si="43"/>
        <v>-0.51563099482586394</v>
      </c>
    </row>
    <row r="195" spans="2:23" ht="20.100000000000001" customHeight="1" x14ac:dyDescent="0.25">
      <c r="B195" s="249">
        <v>42513</v>
      </c>
      <c r="C195" s="250">
        <v>2048.04</v>
      </c>
      <c r="D195" s="175">
        <f t="shared" si="71"/>
        <v>-2.085444764949033E-3</v>
      </c>
      <c r="E195" s="251">
        <f t="shared" si="79"/>
        <v>-2.5874697969977784E-2</v>
      </c>
      <c r="F195" s="252">
        <v>4765.78</v>
      </c>
      <c r="G195" s="175">
        <f t="shared" si="64"/>
        <v>-7.9043096308885254E-4</v>
      </c>
      <c r="H195" s="253">
        <f t="shared" si="80"/>
        <v>-6.4010055580650885E-2</v>
      </c>
      <c r="I195" s="254">
        <v>322945.12</v>
      </c>
      <c r="J195" s="255">
        <v>400000</v>
      </c>
      <c r="K195" s="255">
        <f t="shared" si="81"/>
        <v>2526.289999999979</v>
      </c>
      <c r="L195" s="175">
        <f t="shared" si="45"/>
        <v>7.8843368849451784E-3</v>
      </c>
      <c r="M195" s="256">
        <f t="shared" si="82"/>
        <v>-77054.880000000005</v>
      </c>
      <c r="N195" s="257">
        <f t="shared" si="83"/>
        <v>-0.19263720000000001</v>
      </c>
      <c r="O195" s="256" t="b">
        <f t="shared" si="84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5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  <c r="W195" s="256">
        <f t="shared" ref="W195:W258" si="86">N195/V195</f>
        <v>-0.50041707622316867</v>
      </c>
    </row>
    <row r="196" spans="2:23" ht="20.100000000000001" customHeight="1" x14ac:dyDescent="0.25">
      <c r="B196" s="249">
        <v>42514</v>
      </c>
      <c r="C196" s="250">
        <v>2076.06</v>
      </c>
      <c r="D196" s="175">
        <f t="shared" si="71"/>
        <v>1.3681373410675565E-2</v>
      </c>
      <c r="E196" s="251">
        <f t="shared" ref="E196" si="87">(C196-$C$2)/$C$2</f>
        <v>-1.2547325964117933E-2</v>
      </c>
      <c r="F196" s="252">
        <v>4861.05</v>
      </c>
      <c r="G196" s="175">
        <f t="shared" si="64"/>
        <v>1.9990431786612146E-2</v>
      </c>
      <c r="H196" s="253">
        <f t="shared" ref="H196" si="88">(F196-F$2)/F$2</f>
        <v>-4.5299212443780983E-2</v>
      </c>
      <c r="I196" s="254">
        <v>324441.06</v>
      </c>
      <c r="J196" s="255">
        <v>400000</v>
      </c>
      <c r="K196" s="255">
        <f t="shared" ref="K196" si="89">I196-I195-J196+J195</f>
        <v>1495.9400000000023</v>
      </c>
      <c r="L196" s="175">
        <f t="shared" ref="L196:L219" si="90">K196/I195</f>
        <v>4.6321802292600125E-3</v>
      </c>
      <c r="M196" s="256">
        <f t="shared" ref="M196" si="91">I196-J196</f>
        <v>-75558.94</v>
      </c>
      <c r="N196" s="257">
        <f t="shared" ref="N196" si="92">M196/J196</f>
        <v>-0.18889735000000002</v>
      </c>
      <c r="O196" s="256" t="b">
        <f t="shared" ref="O196" si="93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4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  <c r="W196" s="256">
        <f t="shared" si="86"/>
        <v>-0.4919247378667303</v>
      </c>
    </row>
    <row r="197" spans="2:23" ht="20.100000000000001" customHeight="1" x14ac:dyDescent="0.25">
      <c r="B197" s="249">
        <v>42515</v>
      </c>
      <c r="C197" s="250">
        <v>2090.54</v>
      </c>
      <c r="D197" s="175">
        <f t="shared" si="71"/>
        <v>6.9747502480660573E-3</v>
      </c>
      <c r="E197" s="251">
        <f t="shared" ref="E197" si="95">(C197-$C$2)/$C$2</f>
        <v>-5.6600901809326738E-3</v>
      </c>
      <c r="F197" s="252">
        <v>4894.8900000000003</v>
      </c>
      <c r="G197" s="175">
        <f t="shared" si="64"/>
        <v>6.9614589440553263E-3</v>
      </c>
      <c r="H197" s="253">
        <f t="shared" ref="H197" si="96">(F197-F$2)/F$2</f>
        <v>-3.8653102107351081E-2</v>
      </c>
      <c r="I197" s="254">
        <v>329556.86</v>
      </c>
      <c r="J197" s="255">
        <v>400000</v>
      </c>
      <c r="K197" s="255">
        <f t="shared" ref="K197" si="97">I197-I196-J197+J196</f>
        <v>5115.7999999999884</v>
      </c>
      <c r="L197" s="175">
        <f t="shared" si="90"/>
        <v>1.5768041196758474E-2</v>
      </c>
      <c r="M197" s="256">
        <f t="shared" ref="M197" si="98">I197-J197</f>
        <v>-70443.140000000014</v>
      </c>
      <c r="N197" s="257">
        <f t="shared" ref="N197" si="99">M197/J197</f>
        <v>-0.17610785000000004</v>
      </c>
      <c r="O197" s="256" t="b">
        <f t="shared" ref="O197" si="100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101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  <c r="W197" s="256">
        <f t="shared" si="86"/>
        <v>-0.45928239402736104</v>
      </c>
    </row>
    <row r="198" spans="2:23" ht="20.100000000000001" customHeight="1" x14ac:dyDescent="0.25">
      <c r="B198" s="249">
        <v>42516</v>
      </c>
      <c r="C198" s="250">
        <v>2090.1</v>
      </c>
      <c r="D198" s="175">
        <f t="shared" si="71"/>
        <v>-2.1047193548081098E-4</v>
      </c>
      <c r="E198" s="251">
        <f t="shared" ref="E198" si="102">(C198-$C$2)/$C$2</f>
        <v>-5.8693708262781081E-3</v>
      </c>
      <c r="F198" s="252">
        <v>4901.76</v>
      </c>
      <c r="G198" s="175">
        <f t="shared" si="64"/>
        <v>1.4035044709891111E-3</v>
      </c>
      <c r="H198" s="253">
        <f t="shared" ref="H198" si="103">(F198-F$2)/F$2</f>
        <v>-3.7303847437987238E-2</v>
      </c>
      <c r="I198" s="254">
        <v>327477.31</v>
      </c>
      <c r="J198" s="255">
        <v>400000</v>
      </c>
      <c r="K198" s="255">
        <f t="shared" ref="K198" si="104">I198-I197-J198+J197</f>
        <v>-2079.5499999999884</v>
      </c>
      <c r="L198" s="175">
        <f t="shared" si="90"/>
        <v>-6.3101402289122083E-3</v>
      </c>
      <c r="M198" s="256">
        <f t="shared" ref="M198" si="105">I198-J198</f>
        <v>-72522.69</v>
      </c>
      <c r="N198" s="257">
        <f t="shared" ref="N198" si="106">M198/J198</f>
        <v>-0.181306725</v>
      </c>
      <c r="O198" s="256" t="b">
        <f t="shared" ref="O198" si="107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8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  <c r="W198" s="256">
        <f t="shared" si="86"/>
        <v>-0.4739808785397634</v>
      </c>
    </row>
    <row r="199" spans="2:23" ht="20.100000000000001" customHeight="1" x14ac:dyDescent="0.25">
      <c r="B199" s="249">
        <v>42517</v>
      </c>
      <c r="C199" s="250">
        <v>2099.06</v>
      </c>
      <c r="D199" s="175">
        <f t="shared" si="71"/>
        <v>4.2868762260179112E-3</v>
      </c>
      <c r="E199" s="251">
        <f t="shared" ref="E199:E200" si="109">(C199-$C$2)/$C$2</f>
        <v>-1.6076558665170512E-3</v>
      </c>
      <c r="F199" s="252">
        <v>4933.5</v>
      </c>
      <c r="G199" s="175">
        <f t="shared" si="64"/>
        <v>6.4752252252251808E-3</v>
      </c>
      <c r="H199" s="253">
        <f t="shared" ref="H199:H200" si="110">(F199-F$2)/F$2</f>
        <v>-3.1070173026690462E-2</v>
      </c>
      <c r="I199" s="254">
        <v>327126.28999999998</v>
      </c>
      <c r="J199" s="255">
        <v>400000</v>
      </c>
      <c r="K199" s="255">
        <f t="shared" ref="K199:K200" si="111">I199-I198-J199+J198</f>
        <v>-351.02000000001863</v>
      </c>
      <c r="L199" s="175">
        <f t="shared" si="90"/>
        <v>-1.0718910571239841E-3</v>
      </c>
      <c r="M199" s="256">
        <f t="shared" ref="M199:M200" si="112">I199-J199</f>
        <v>-72873.710000000021</v>
      </c>
      <c r="N199" s="257">
        <f t="shared" ref="N199:N200" si="113">M199/J199</f>
        <v>-0.18218427500000006</v>
      </c>
      <c r="O199" s="256" t="b">
        <f t="shared" ref="O199:O200" si="114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5">I199-Q199</f>
        <v>75022.939999999973</v>
      </c>
      <c r="S199" s="255">
        <v>-82653.611999999514</v>
      </c>
      <c r="T199" s="255">
        <f t="shared" ref="T199:T204" si="116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  <c r="W199" s="256">
        <f t="shared" si="86"/>
        <v>-0.47749327981736855</v>
      </c>
    </row>
    <row r="200" spans="2:23" ht="20.100000000000001" customHeight="1" x14ac:dyDescent="0.25">
      <c r="B200" s="176">
        <v>42521</v>
      </c>
      <c r="C200" s="220">
        <v>2096.9499999999998</v>
      </c>
      <c r="D200" s="175">
        <f t="shared" si="71"/>
        <v>-1.0052118567359328E-3</v>
      </c>
      <c r="E200" s="214">
        <f t="shared" si="109"/>
        <v>-2.6112516885144102E-3</v>
      </c>
      <c r="F200" s="224">
        <v>4948.05</v>
      </c>
      <c r="G200" s="175">
        <f t="shared" si="64"/>
        <v>2.9492246883551601E-3</v>
      </c>
      <c r="H200" s="208">
        <f t="shared" si="110"/>
        <v>-2.8212581259697084E-2</v>
      </c>
      <c r="I200" s="509">
        <v>330773</v>
      </c>
      <c r="J200" s="177">
        <v>400000</v>
      </c>
      <c r="K200" s="177">
        <f t="shared" si="111"/>
        <v>3646.710000000021</v>
      </c>
      <c r="L200" s="175">
        <f t="shared" si="90"/>
        <v>1.1147713013221962E-2</v>
      </c>
      <c r="M200" s="187">
        <f t="shared" si="112"/>
        <v>-69227</v>
      </c>
      <c r="N200" s="189">
        <f t="shared" si="113"/>
        <v>-0.17306750000000001</v>
      </c>
      <c r="O200" s="187" t="b">
        <f t="shared" si="114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5"/>
        <v>76923.670000000013</v>
      </c>
      <c r="S200" s="177">
        <v>-78775</v>
      </c>
      <c r="T200" s="177">
        <f t="shared" si="116"/>
        <v>9548</v>
      </c>
      <c r="U200" s="189">
        <f>STDEV(D$2:D200)*SQRT(252)</f>
        <v>0.17916254338672621</v>
      </c>
      <c r="V200" s="189">
        <f>STDEV(L$2:L200)*SQRT(252)</f>
        <v>0.38079113185082497</v>
      </c>
      <c r="W200" s="187">
        <f t="shared" si="86"/>
        <v>-0.45449456545589734</v>
      </c>
    </row>
    <row r="201" spans="2:23" ht="20.100000000000001" customHeight="1" x14ac:dyDescent="0.25">
      <c r="B201" s="176">
        <v>42522</v>
      </c>
      <c r="C201" s="220">
        <v>2099.33</v>
      </c>
      <c r="D201" s="175">
        <f t="shared" si="71"/>
        <v>1.1349817592217789E-3</v>
      </c>
      <c r="E201" s="214">
        <f t="shared" ref="E201" si="117">(C201-$C$2)/$C$2</f>
        <v>-1.4792336523278321E-3</v>
      </c>
      <c r="F201" s="224">
        <v>4952.25</v>
      </c>
      <c r="G201" s="175">
        <f t="shared" si="64"/>
        <v>8.4881923181855839E-4</v>
      </c>
      <c r="H201" s="208">
        <f t="shared" ref="H201" si="118">(F201-F$2)/F$2</f>
        <v>-2.7387709409430999E-2</v>
      </c>
      <c r="I201" s="226">
        <v>334317.64</v>
      </c>
      <c r="J201" s="177">
        <v>400000</v>
      </c>
      <c r="K201" s="177">
        <f t="shared" ref="K201" si="119">I201-I200-J201+J200</f>
        <v>3544.640000000014</v>
      </c>
      <c r="L201" s="175">
        <f t="shared" si="90"/>
        <v>1.0716231373177417E-2</v>
      </c>
      <c r="M201" s="187">
        <f t="shared" ref="M201" si="120">I201-J201</f>
        <v>-65682.359999999986</v>
      </c>
      <c r="N201" s="189">
        <f t="shared" ref="N201" si="121">M201/J201</f>
        <v>-0.16420589999999996</v>
      </c>
      <c r="O201" s="187" t="b">
        <f t="shared" ref="O201" si="122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23">I201-Q201</f>
        <v>85683.450000000012</v>
      </c>
      <c r="S201" s="177">
        <v>-75736.72</v>
      </c>
      <c r="T201" s="177">
        <f t="shared" si="116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  <c r="W201" s="187">
        <f t="shared" si="86"/>
        <v>-0.43208999286266453</v>
      </c>
    </row>
    <row r="202" spans="2:23" ht="20.100000000000001" customHeight="1" x14ac:dyDescent="0.25">
      <c r="B202" s="176">
        <v>42523</v>
      </c>
      <c r="C202" s="220">
        <v>2105.2600000000002</v>
      </c>
      <c r="D202" s="175">
        <f t="shared" si="71"/>
        <v>2.8247107410460915E-3</v>
      </c>
      <c r="E202" s="214">
        <f t="shared" ref="E202" si="124">(C202-$C$2)/$C$2</f>
        <v>1.3412986815320121E-3</v>
      </c>
      <c r="F202" s="224">
        <v>4971.3599999999997</v>
      </c>
      <c r="G202" s="175">
        <f t="shared" si="64"/>
        <v>3.8588520369528339E-3</v>
      </c>
      <c r="H202" s="208">
        <f t="shared" ref="H202" si="125">(F202-F$2)/F$2</f>
        <v>-2.3634542490720223E-2</v>
      </c>
      <c r="I202" s="226">
        <v>335688.99</v>
      </c>
      <c r="J202" s="177">
        <v>400000</v>
      </c>
      <c r="K202" s="177">
        <f t="shared" ref="K202" si="126">I202-I201-J202+J201</f>
        <v>1371.3499999999767</v>
      </c>
      <c r="L202" s="175">
        <f t="shared" si="90"/>
        <v>4.1019373072864974E-3</v>
      </c>
      <c r="M202" s="187">
        <f t="shared" ref="M202" si="127">I202-J202</f>
        <v>-64311.010000000009</v>
      </c>
      <c r="N202" s="189">
        <f t="shared" ref="N202" si="128">M202/J202</f>
        <v>-0.16077752500000003</v>
      </c>
      <c r="O202" s="187" t="b">
        <f t="shared" ref="O202" si="129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30">I202-Q202</f>
        <v>85683.449999999983</v>
      </c>
      <c r="S202" s="177">
        <v>-74052.52</v>
      </c>
      <c r="T202" s="177">
        <f t="shared" si="116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  <c r="W202" s="187">
        <f t="shared" si="86"/>
        <v>-0.42410199427288919</v>
      </c>
    </row>
    <row r="203" spans="2:23" ht="20.100000000000001" customHeight="1" x14ac:dyDescent="0.25">
      <c r="B203" s="176">
        <v>42524</v>
      </c>
      <c r="C203" s="220">
        <v>2099.13</v>
      </c>
      <c r="D203" s="175">
        <f t="shared" si="71"/>
        <v>-2.911754367631603E-3</v>
      </c>
      <c r="E203" s="214">
        <f t="shared" ref="E203" si="131">(C203-$C$2)/$C$2</f>
        <v>-1.5743612183938402E-3</v>
      </c>
      <c r="F203" s="224">
        <v>4942.51</v>
      </c>
      <c r="G203" s="175">
        <f t="shared" si="64"/>
        <v>-5.8032409642430755E-3</v>
      </c>
      <c r="H203" s="208">
        <f t="shared" ref="H203" si="132">(F203-F$2)/F$2</f>
        <v>-2.9300626509810006E-2</v>
      </c>
      <c r="I203" s="226">
        <v>333931.11</v>
      </c>
      <c r="J203" s="177">
        <v>400000</v>
      </c>
      <c r="K203" s="177">
        <f t="shared" ref="K203" si="133">I203-I202-J203+J202</f>
        <v>-1757.8800000000047</v>
      </c>
      <c r="L203" s="175">
        <f t="shared" si="90"/>
        <v>-5.2366328725884179E-3</v>
      </c>
      <c r="M203" s="187">
        <f t="shared" ref="M203" si="134">I203-J203</f>
        <v>-66068.890000000014</v>
      </c>
      <c r="N203" s="189">
        <f t="shared" ref="N203" si="135">M203/J203</f>
        <v>-0.16517222500000003</v>
      </c>
      <c r="O203" s="187" t="b">
        <f t="shared" ref="O203" si="136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7">I203-Q203</f>
        <v>73642.349999999977</v>
      </c>
      <c r="S203" s="177">
        <v>-75134.75</v>
      </c>
      <c r="T203" s="177">
        <f t="shared" si="116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  <c r="W203" s="187">
        <f t="shared" si="86"/>
        <v>-0.4367378029444976</v>
      </c>
    </row>
    <row r="204" spans="2:23" ht="20.100000000000001" customHeight="1" x14ac:dyDescent="0.25">
      <c r="B204" s="249">
        <v>42527</v>
      </c>
      <c r="C204" s="250">
        <v>2109.41</v>
      </c>
      <c r="D204" s="175">
        <f t="shared" si="71"/>
        <v>4.8972669629797792E-3</v>
      </c>
      <c r="E204" s="251">
        <f t="shared" ref="E204" si="138">(C204-$C$2)/$C$2</f>
        <v>3.3151956774033027E-3</v>
      </c>
      <c r="F204" s="252">
        <v>4968.71</v>
      </c>
      <c r="G204" s="175">
        <f t="shared" si="64"/>
        <v>5.300950326858179E-3</v>
      </c>
      <c r="H204" s="253">
        <f t="shared" ref="H204" si="139">(F204-F$2)/F$2</f>
        <v>-2.4154997348626153E-2</v>
      </c>
      <c r="I204" s="254">
        <v>340934.25</v>
      </c>
      <c r="J204" s="255">
        <v>400000</v>
      </c>
      <c r="K204" s="255">
        <f t="shared" ref="K204" si="140">I204-I203-J204+J203</f>
        <v>7003.140000000014</v>
      </c>
      <c r="L204" s="175">
        <f t="shared" si="90"/>
        <v>2.0971810622855757E-2</v>
      </c>
      <c r="M204" s="256">
        <f t="shared" ref="M204" si="141">I204-J204</f>
        <v>-59065.75</v>
      </c>
      <c r="N204" s="257">
        <f t="shared" ref="N204" si="142">M204/J204</f>
        <v>-0.14766437499999999</v>
      </c>
      <c r="O204" s="256" t="b">
        <f t="shared" ref="O204" si="143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4">I204-Q204</f>
        <v>114837.67000000001</v>
      </c>
      <c r="S204" s="255">
        <v>-68552.800000000003</v>
      </c>
      <c r="T204" s="255">
        <f t="shared" si="116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  <c r="W204" s="256">
        <f t="shared" si="86"/>
        <v>-0.39065616902927447</v>
      </c>
    </row>
    <row r="205" spans="2:23" ht="20.100000000000001" customHeight="1" x14ac:dyDescent="0.25">
      <c r="B205" s="249">
        <v>42528</v>
      </c>
      <c r="C205" s="250">
        <v>2112.13</v>
      </c>
      <c r="D205" s="175">
        <f t="shared" si="71"/>
        <v>1.289460085995731E-3</v>
      </c>
      <c r="E205" s="251">
        <f t="shared" ref="E205" si="145">(C205-$C$2)/$C$2</f>
        <v>4.6089305759023109E-3</v>
      </c>
      <c r="F205" s="252">
        <v>4961.75</v>
      </c>
      <c r="G205" s="175">
        <f t="shared" si="64"/>
        <v>-1.4007659935878802E-3</v>
      </c>
      <c r="H205" s="253">
        <f t="shared" ref="H205" si="146">(F205-F$2)/F$2</f>
        <v>-2.5521927843352873E-2</v>
      </c>
      <c r="I205" s="254">
        <v>347691.97</v>
      </c>
      <c r="J205" s="255">
        <v>400000</v>
      </c>
      <c r="K205" s="255">
        <f t="shared" ref="K205" si="147">I205-I204-J205+J204</f>
        <v>6757.7199999999721</v>
      </c>
      <c r="L205" s="175">
        <f t="shared" si="90"/>
        <v>1.9821182530062532E-2</v>
      </c>
      <c r="M205" s="256">
        <f t="shared" ref="M205" si="148">I205-J205</f>
        <v>-52308.030000000028</v>
      </c>
      <c r="N205" s="257">
        <f t="shared" ref="N205" si="149">M205/J205</f>
        <v>-0.13077007500000007</v>
      </c>
      <c r="O205" s="256" t="b">
        <f t="shared" ref="O205" si="150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51">I205-Q205</f>
        <v>126350.50999999998</v>
      </c>
      <c r="S205" s="255">
        <v>-62220.480000000003</v>
      </c>
      <c r="T205" s="255">
        <f t="shared" ref="T205" si="152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  <c r="W205" s="256">
        <f t="shared" si="86"/>
        <v>-0.34622436864586859</v>
      </c>
    </row>
    <row r="206" spans="2:23" ht="20.100000000000001" customHeight="1" x14ac:dyDescent="0.25">
      <c r="B206" s="249">
        <v>42529</v>
      </c>
      <c r="C206" s="250">
        <v>2119.12</v>
      </c>
      <c r="D206" s="175">
        <f t="shared" si="71"/>
        <v>3.3094553839014555E-3</v>
      </c>
      <c r="E206" s="251">
        <f t="shared" ref="E206" si="153">(C206-$C$2)/$C$2</f>
        <v>7.9336390099122144E-3</v>
      </c>
      <c r="F206" s="252">
        <v>4974.6400000000003</v>
      </c>
      <c r="G206" s="175">
        <f t="shared" si="64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90"/>
        <v>-6.5472032615535372E-3</v>
      </c>
      <c r="M206" s="256">
        <f t="shared" ref="M206" si="154">I206-J206</f>
        <v>-54584.44</v>
      </c>
      <c r="N206" s="257">
        <f t="shared" ref="N206" si="155">M206/J206</f>
        <v>-0.1364611</v>
      </c>
      <c r="O206" s="256" t="b">
        <f t="shared" ref="O206" si="156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7">I206-Q206</f>
        <v>120815.87</v>
      </c>
      <c r="S206" s="255">
        <v>-64591.5</v>
      </c>
      <c r="T206" s="255">
        <f t="shared" ref="T206" si="158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  <c r="W206" s="256">
        <f t="shared" si="86"/>
        <v>-0.36211646609079928</v>
      </c>
    </row>
    <row r="207" spans="2:23" ht="20.100000000000001" customHeight="1" x14ac:dyDescent="0.25">
      <c r="B207" s="249">
        <v>42530</v>
      </c>
      <c r="C207" s="250">
        <v>2115.48</v>
      </c>
      <c r="D207" s="175">
        <f t="shared" si="71"/>
        <v>-1.7176941371889619E-3</v>
      </c>
      <c r="E207" s="251">
        <f t="shared" ref="E207" si="159">(C207-$C$2)/$C$2</f>
        <v>6.2023173075093528E-3</v>
      </c>
      <c r="F207" s="252">
        <v>4958.6099999999997</v>
      </c>
      <c r="G207" s="175">
        <f t="shared" si="64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90"/>
        <v>-6.0146392941881031E-3</v>
      </c>
      <c r="M207" s="256">
        <f t="shared" ref="M207" si="160">I207-J207</f>
        <v>-56661.989999999991</v>
      </c>
      <c r="N207" s="257">
        <f t="shared" ref="N207" si="161">M207/J207</f>
        <v>-0.14165497499999999</v>
      </c>
      <c r="O207" s="256" t="b">
        <f t="shared" ref="O207" si="162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63">I207-Q207</f>
        <v>118737.32</v>
      </c>
      <c r="S207" s="255">
        <v>-66856.5</v>
      </c>
      <c r="T207" s="255">
        <f t="shared" ref="T207" si="164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  <c r="W207" s="256">
        <f t="shared" si="86"/>
        <v>-0.37676418468620049</v>
      </c>
    </row>
    <row r="208" spans="2:23" ht="20.100000000000001" customHeight="1" x14ac:dyDescent="0.25">
      <c r="B208" s="249">
        <v>42531</v>
      </c>
      <c r="C208" s="250">
        <v>2096.0700000000002</v>
      </c>
      <c r="D208" s="175">
        <f t="shared" si="71"/>
        <v>-9.1752226445061431E-3</v>
      </c>
      <c r="E208" s="251">
        <f t="shared" ref="E208:E209" si="165">(C208-$C$2)/$C$2</f>
        <v>-3.0298129792050619E-3</v>
      </c>
      <c r="F208" s="252">
        <v>4894.54</v>
      </c>
      <c r="G208" s="175">
        <f t="shared" si="64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90"/>
        <v>-3.0287791322609493E-2</v>
      </c>
      <c r="M208" s="256">
        <f t="shared" ref="M208:M209" si="166">I208-J208</f>
        <v>-67060.94</v>
      </c>
      <c r="N208" s="257">
        <f t="shared" ref="N208:N209" si="167">M208/J208</f>
        <v>-0.16765235000000001</v>
      </c>
      <c r="O208" s="256" t="b">
        <f t="shared" ref="O208:O209" si="168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9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  <c r="W208" s="256">
        <f t="shared" si="86"/>
        <v>-0.44523095731980167</v>
      </c>
    </row>
    <row r="209" spans="2:23" ht="20.100000000000001" customHeight="1" x14ac:dyDescent="0.25">
      <c r="B209" s="176">
        <v>42534</v>
      </c>
      <c r="C209" s="220">
        <v>2079.06</v>
      </c>
      <c r="D209" s="175">
        <f t="shared" si="71"/>
        <v>-8.1151869928009161E-3</v>
      </c>
      <c r="E209" s="214">
        <f t="shared" si="165"/>
        <v>-1.1120412473126515E-2</v>
      </c>
      <c r="F209" s="224">
        <v>4848.4399999999996</v>
      </c>
      <c r="G209" s="175">
        <f t="shared" si="64"/>
        <v>-9.4186583417441398E-3</v>
      </c>
      <c r="H209" s="208">
        <f t="shared" ref="H209" si="170">(F209-F$2)/F$2</f>
        <v>-4.7775791975175327E-2</v>
      </c>
      <c r="I209" s="226">
        <v>329797.69</v>
      </c>
      <c r="J209" s="177">
        <v>400000</v>
      </c>
      <c r="K209" s="177">
        <f t="shared" ref="K209" si="171">I209-I208-J209+J208</f>
        <v>-3141.3699999999953</v>
      </c>
      <c r="L209" s="175">
        <f t="shared" si="90"/>
        <v>-9.4352702263290934E-3</v>
      </c>
      <c r="M209" s="187">
        <f t="shared" si="166"/>
        <v>-70202.31</v>
      </c>
      <c r="N209" s="189">
        <f t="shared" si="167"/>
        <v>-0.175505775</v>
      </c>
      <c r="O209" s="187" t="b">
        <f t="shared" si="168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9"/>
        <v>74268.760000000009</v>
      </c>
      <c r="S209" s="177">
        <v>-78829.440000000002</v>
      </c>
      <c r="T209" s="177">
        <f t="shared" ref="T209" si="172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  <c r="W209" s="187">
        <f t="shared" si="86"/>
        <v>-0.4670492618609462</v>
      </c>
    </row>
    <row r="210" spans="2:23" ht="20.100000000000001" customHeight="1" x14ac:dyDescent="0.25">
      <c r="B210" s="176">
        <v>42535</v>
      </c>
      <c r="C210" s="220">
        <v>2075.3200000000002</v>
      </c>
      <c r="D210" s="175">
        <f t="shared" si="71"/>
        <v>-1.7988898829277566E-3</v>
      </c>
      <c r="E210" s="214">
        <f t="shared" ref="E210:E211" si="173">(C210-$C$2)/$C$2</f>
        <v>-1.2899297958562379E-2</v>
      </c>
      <c r="F210" s="224">
        <v>4843.55</v>
      </c>
      <c r="G210" s="175">
        <f t="shared" si="64"/>
        <v>-1.0085718292893008E-3</v>
      </c>
      <c r="H210" s="208">
        <f t="shared" ref="H210:H211" si="174">(F210-F$2)/F$2</f>
        <v>-4.8736178486556481E-2</v>
      </c>
      <c r="I210" s="226">
        <v>327192.19</v>
      </c>
      <c r="J210" s="177">
        <v>400000</v>
      </c>
      <c r="K210" s="177">
        <f t="shared" ref="K210" si="175">I210-I209-J210+J209</f>
        <v>-2605.5</v>
      </c>
      <c r="L210" s="175">
        <f t="shared" si="90"/>
        <v>-7.9002979068773949E-3</v>
      </c>
      <c r="M210" s="187">
        <f t="shared" ref="M210" si="176">I210-J210</f>
        <v>-72807.81</v>
      </c>
      <c r="N210" s="189">
        <f t="shared" ref="N210" si="177">M210/J210</f>
        <v>-0.18201952499999999</v>
      </c>
      <c r="O210" s="187" t="b">
        <f t="shared" ref="O210" si="178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9">I210-Q210</f>
        <v>54607</v>
      </c>
      <c r="S210" s="177">
        <v>-80356</v>
      </c>
      <c r="T210" s="177">
        <f t="shared" ref="T210" si="180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  <c r="W210" s="187">
        <f t="shared" si="86"/>
        <v>-0.48543376785639597</v>
      </c>
    </row>
    <row r="211" spans="2:23" ht="20.100000000000001" customHeight="1" x14ac:dyDescent="0.25">
      <c r="B211" s="176">
        <v>42536</v>
      </c>
      <c r="C211" s="220">
        <v>2071.5</v>
      </c>
      <c r="D211" s="175">
        <f t="shared" si="71"/>
        <v>-1.8406799915194588E-3</v>
      </c>
      <c r="E211" s="214">
        <f t="shared" si="173"/>
        <v>-1.4716234470424866E-2</v>
      </c>
      <c r="F211" s="224">
        <v>4834.93</v>
      </c>
      <c r="G211" s="175">
        <f t="shared" si="64"/>
        <v>-1.7796863870507976E-3</v>
      </c>
      <c r="H211" s="208">
        <f t="shared" si="174"/>
        <v>-5.042912976019788E-2</v>
      </c>
      <c r="I211" s="226">
        <v>325610.21000000002</v>
      </c>
      <c r="J211" s="177">
        <v>400000</v>
      </c>
      <c r="K211" s="177">
        <f t="shared" ref="K211" si="181">I211-I210-J211+J210</f>
        <v>-1581.9799999999814</v>
      </c>
      <c r="L211" s="175">
        <f t="shared" si="90"/>
        <v>-4.8350176084581403E-3</v>
      </c>
      <c r="M211" s="187">
        <f t="shared" ref="M211" si="182">I211-J211</f>
        <v>-74389.789999999979</v>
      </c>
      <c r="N211" s="189">
        <f t="shared" ref="N211" si="183">M211/J211</f>
        <v>-0.18597447499999994</v>
      </c>
      <c r="O211" s="187" t="b">
        <f t="shared" ref="O211" si="184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5">I211-Q211</f>
        <v>56487.48000000004</v>
      </c>
      <c r="S211" s="177">
        <v>-82018</v>
      </c>
      <c r="T211" s="177">
        <f t="shared" ref="T211" si="186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  <c r="W211" s="187">
        <f t="shared" si="86"/>
        <v>-0.49713274722725376</v>
      </c>
    </row>
    <row r="212" spans="2:23" ht="20.100000000000001" customHeight="1" x14ac:dyDescent="0.25">
      <c r="B212" s="176">
        <v>42537</v>
      </c>
      <c r="C212" s="220">
        <v>2077.9899999999998</v>
      </c>
      <c r="D212" s="175">
        <f t="shared" si="71"/>
        <v>3.1329954139511377E-3</v>
      </c>
      <c r="E212" s="214">
        <f t="shared" ref="E212" si="187">(C212-$C$2)/$C$2</f>
        <v>-1.1629344951580198E-2</v>
      </c>
      <c r="F212" s="224">
        <v>4844.91</v>
      </c>
      <c r="G212" s="175">
        <f t="shared" si="64"/>
        <v>2.0641457063493292E-3</v>
      </c>
      <c r="H212" s="208">
        <f t="shared" ref="H212" si="188">(F212-F$2)/F$2</f>
        <v>-4.8469077125517991E-2</v>
      </c>
      <c r="I212" s="226">
        <v>321688.28999999998</v>
      </c>
      <c r="J212" s="177">
        <v>400000</v>
      </c>
      <c r="K212" s="177">
        <f t="shared" ref="K212" si="189">I212-I211-J212+J211</f>
        <v>-3921.9200000000419</v>
      </c>
      <c r="L212" s="175">
        <f t="shared" si="90"/>
        <v>-1.2044831149490188E-2</v>
      </c>
      <c r="M212" s="187">
        <f t="shared" ref="M212" si="190">I212-J212</f>
        <v>-78311.710000000021</v>
      </c>
      <c r="N212" s="189">
        <f t="shared" ref="N212" si="191">M212/J212</f>
        <v>-0.19577927500000006</v>
      </c>
      <c r="O212" s="187" t="b">
        <f t="shared" ref="O212" si="192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93">I212-Q212</f>
        <v>51029.27999999997</v>
      </c>
      <c r="S212" s="177">
        <v>-85365</v>
      </c>
      <c r="T212" s="177">
        <f t="shared" ref="T212" si="194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  <c r="W212" s="187">
        <f t="shared" si="86"/>
        <v>-0.52428534124508441</v>
      </c>
    </row>
    <row r="213" spans="2:23" ht="20.100000000000001" customHeight="1" x14ac:dyDescent="0.25">
      <c r="B213" s="176">
        <v>42538</v>
      </c>
      <c r="C213" s="220">
        <v>2071.2199999999998</v>
      </c>
      <c r="D213" s="175">
        <f t="shared" si="71"/>
        <v>-3.2579560055630598E-3</v>
      </c>
      <c r="E213" s="214">
        <f t="shared" ref="E213:E214" si="195">(C213-$C$2)/$C$2</f>
        <v>-1.4849413062917493E-2</v>
      </c>
      <c r="F213" s="224">
        <v>4800.34</v>
      </c>
      <c r="G213" s="175">
        <f t="shared" si="64"/>
        <v>-9.1993452922757516E-3</v>
      </c>
      <c r="H213" s="208">
        <f t="shared" ref="H213:H214" si="196">(F213-F$2)/F$2</f>
        <v>-5.7222538641318162E-2</v>
      </c>
      <c r="I213" s="226">
        <v>328584.48</v>
      </c>
      <c r="J213" s="177">
        <v>400000</v>
      </c>
      <c r="K213" s="177">
        <f t="shared" ref="K213:K214" si="197">I213-I212-J213+J212</f>
        <v>6896.1900000000023</v>
      </c>
      <c r="L213" s="175">
        <f t="shared" si="90"/>
        <v>2.1437491554324228E-2</v>
      </c>
      <c r="M213" s="187">
        <f t="shared" ref="M213:M214" si="198">I213-J213</f>
        <v>-71415.520000000019</v>
      </c>
      <c r="N213" s="189">
        <f t="shared" ref="N213:N214" si="199">M213/J213</f>
        <v>-0.17853880000000005</v>
      </c>
      <c r="O213" s="187" t="b">
        <f t="shared" ref="O213:O214" si="200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201">I213-Q213</f>
        <v>59291.099999999977</v>
      </c>
      <c r="S213" s="177">
        <v>-78578</v>
      </c>
      <c r="T213" s="177">
        <f t="shared" ref="T213:T214" si="202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  <c r="W213" s="187">
        <f t="shared" si="86"/>
        <v>-0.47828555779899629</v>
      </c>
    </row>
    <row r="214" spans="2:23" ht="20.100000000000001" customHeight="1" x14ac:dyDescent="0.25">
      <c r="B214" s="249">
        <v>42541</v>
      </c>
      <c r="C214" s="250">
        <v>2083.25</v>
      </c>
      <c r="D214" s="175">
        <f t="shared" si="71"/>
        <v>5.808171029634805E-3</v>
      </c>
      <c r="E214" s="251">
        <f t="shared" si="195"/>
        <v>-9.1274899640418055E-3</v>
      </c>
      <c r="F214" s="252">
        <v>4837.21</v>
      </c>
      <c r="G214" s="175">
        <f t="shared" si="64"/>
        <v>7.6807059499951853E-3</v>
      </c>
      <c r="H214" s="253">
        <f t="shared" si="196"/>
        <v>-4.9981342184339181E-2</v>
      </c>
      <c r="I214" s="254">
        <v>341742.75</v>
      </c>
      <c r="J214" s="255">
        <v>400000</v>
      </c>
      <c r="K214" s="255">
        <f t="shared" si="197"/>
        <v>13158.270000000019</v>
      </c>
      <c r="L214" s="175">
        <f t="shared" si="90"/>
        <v>4.0045318025976211E-2</v>
      </c>
      <c r="M214" s="256">
        <f t="shared" si="198"/>
        <v>-58257.25</v>
      </c>
      <c r="N214" s="257">
        <f t="shared" si="199"/>
        <v>-0.14564312500000001</v>
      </c>
      <c r="O214" s="256" t="b">
        <f t="shared" si="200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201"/>
        <v>88091.109999999986</v>
      </c>
      <c r="S214" s="255">
        <v>-65989</v>
      </c>
      <c r="T214" s="255">
        <f t="shared" si="202"/>
        <v>7731.75</v>
      </c>
      <c r="U214" s="257">
        <f>STDEV(D$2:D214)*SQRT(252)</f>
        <v>0.1740406908760673</v>
      </c>
      <c r="V214" s="257">
        <f>STDEV(L$2:L214)*SQRT(252)</f>
        <v>0.37498171296802196</v>
      </c>
      <c r="W214" s="256">
        <f t="shared" si="86"/>
        <v>-0.38840060718486369</v>
      </c>
    </row>
    <row r="215" spans="2:23" ht="20.100000000000001" customHeight="1" x14ac:dyDescent="0.25">
      <c r="B215" s="249">
        <v>42542</v>
      </c>
      <c r="C215" s="250">
        <v>2088.9</v>
      </c>
      <c r="D215" s="175">
        <f t="shared" si="71"/>
        <v>2.7121084843394171E-3</v>
      </c>
      <c r="E215" s="251">
        <f t="shared" ref="E215" si="203">(C215-$C$2)/$C$2</f>
        <v>-6.4401362226745888E-3</v>
      </c>
      <c r="F215" s="252">
        <v>4843.76</v>
      </c>
      <c r="G215" s="175">
        <f t="shared" si="64"/>
        <v>1.3540863431606611E-3</v>
      </c>
      <c r="H215" s="253">
        <f t="shared" ref="H215" si="204">(F215-F$2)/F$2</f>
        <v>-4.8694934894043168E-2</v>
      </c>
      <c r="I215" s="254">
        <v>348811.35</v>
      </c>
      <c r="J215" s="255">
        <v>400000</v>
      </c>
      <c r="K215" s="255">
        <f t="shared" ref="K215" si="205">I215-I214-J215+J214</f>
        <v>7068.5999999999767</v>
      </c>
      <c r="L215" s="175">
        <f t="shared" si="90"/>
        <v>2.0683979396783039E-2</v>
      </c>
      <c r="M215" s="256">
        <f t="shared" ref="M215" si="206">I215-J215</f>
        <v>-51188.650000000023</v>
      </c>
      <c r="N215" s="257">
        <f t="shared" ref="N215" si="207">M215/J215</f>
        <v>-0.12797162500000006</v>
      </c>
      <c r="O215" s="256" t="b">
        <f t="shared" ref="O215" si="208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9">I215-Q215</f>
        <v>108984.14999999997</v>
      </c>
      <c r="S215" s="255">
        <v>-59378</v>
      </c>
      <c r="T215" s="255">
        <f t="shared" ref="T215" si="210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  <c r="W215" s="256">
        <f t="shared" si="86"/>
        <v>-0.34146350358891847</v>
      </c>
    </row>
    <row r="216" spans="2:23" ht="20.100000000000001" customHeight="1" x14ac:dyDescent="0.25">
      <c r="B216" s="249">
        <v>42543</v>
      </c>
      <c r="C216" s="250">
        <v>2085.4499999999998</v>
      </c>
      <c r="D216" s="175">
        <f t="shared" si="71"/>
        <v>-1.6515869596439622E-3</v>
      </c>
      <c r="E216" s="251">
        <f t="shared" ref="E216" si="211">(C216-$C$2)/$C$2</f>
        <v>-8.081086737314851E-3</v>
      </c>
      <c r="F216" s="252">
        <v>4833.3100000000004</v>
      </c>
      <c r="G216" s="175">
        <f t="shared" si="64"/>
        <v>-2.1574149008208123E-3</v>
      </c>
      <c r="H216" s="253">
        <f t="shared" ref="H216" si="212">(F216-F$2)/F$2</f>
        <v>-5.0747294616729076E-2</v>
      </c>
      <c r="I216" s="254">
        <v>345838.5</v>
      </c>
      <c r="J216" s="255">
        <v>400000</v>
      </c>
      <c r="K216" s="255">
        <f t="shared" ref="K216" si="213">I216-I215-J216+J215</f>
        <v>-2972.8499999999767</v>
      </c>
      <c r="L216" s="175">
        <f t="shared" si="90"/>
        <v>-8.5228017952970192E-3</v>
      </c>
      <c r="M216" s="256">
        <f t="shared" ref="M216" si="214">I216-J216</f>
        <v>-54161.5</v>
      </c>
      <c r="N216" s="257">
        <f t="shared" ref="N216" si="215">M216/J216</f>
        <v>-0.13540374999999999</v>
      </c>
      <c r="O216" s="256" t="b">
        <f t="shared" ref="O216" si="216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7">I216-Q216</f>
        <v>94926.85</v>
      </c>
      <c r="S216" s="255">
        <v>-62340</v>
      </c>
      <c r="T216" s="255">
        <f t="shared" ref="T216" si="218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  <c r="W216" s="256">
        <f t="shared" si="86"/>
        <v>-0.36203299328835242</v>
      </c>
    </row>
    <row r="217" spans="2:23" ht="20.100000000000001" customHeight="1" x14ac:dyDescent="0.25">
      <c r="B217" s="249">
        <v>42544</v>
      </c>
      <c r="C217" s="250">
        <v>2113.3200000000002</v>
      </c>
      <c r="D217" s="175">
        <f t="shared" si="71"/>
        <v>1.3364022153492219E-2</v>
      </c>
      <c r="E217" s="251">
        <f t="shared" ref="E217" si="219">(C217-$C$2)/$C$2</f>
        <v>5.1749395939956E-3</v>
      </c>
      <c r="F217" s="252">
        <v>4910.04</v>
      </c>
      <c r="G217" s="175">
        <f t="shared" si="64"/>
        <v>1.5875249052926369E-2</v>
      </c>
      <c r="H217" s="253">
        <f t="shared" ref="H217" si="220">(F217-F$2)/F$2</f>
        <v>-3.5677671504605504E-2</v>
      </c>
      <c r="I217" s="254">
        <v>355595.65</v>
      </c>
      <c r="J217" s="255">
        <v>400000</v>
      </c>
      <c r="K217" s="255">
        <f t="shared" ref="K217" si="221">I217-I216-J217+J216</f>
        <v>9757.1500000000233</v>
      </c>
      <c r="L217" s="175">
        <f t="shared" si="90"/>
        <v>2.8213024287348065E-2</v>
      </c>
      <c r="M217" s="256">
        <f t="shared" ref="M217" si="222">I217-J217</f>
        <v>-44404.349999999977</v>
      </c>
      <c r="N217" s="257">
        <f t="shared" ref="N217" si="223">M217/J217</f>
        <v>-0.11101087499999994</v>
      </c>
      <c r="O217" s="256" t="b">
        <f t="shared" ref="O217" si="224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5">I217-Q217</f>
        <v>133407.05000000002</v>
      </c>
      <c r="S217" s="255">
        <v>-52883</v>
      </c>
      <c r="T217" s="255">
        <f t="shared" ref="T217" si="226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  <c r="W217" s="256">
        <f t="shared" si="86"/>
        <v>-0.29651927106006287</v>
      </c>
    </row>
    <row r="218" spans="2:23" ht="20.100000000000001" customHeight="1" x14ac:dyDescent="0.25">
      <c r="B218" s="249">
        <v>42545</v>
      </c>
      <c r="C218" s="250">
        <v>2037.3</v>
      </c>
      <c r="D218" s="175">
        <f t="shared" si="71"/>
        <v>-3.5971835784452996E-2</v>
      </c>
      <c r="E218" s="251">
        <f t="shared" ref="E218" si="227">(C218-$C$2)/$C$2</f>
        <v>-3.0983048267727069E-2</v>
      </c>
      <c r="F218" s="252">
        <v>4707.9799999999996</v>
      </c>
      <c r="G218" s="175">
        <f t="shared" si="64"/>
        <v>-4.1152414236951311E-2</v>
      </c>
      <c r="H218" s="253">
        <f t="shared" ref="H218" si="228">(F218-F$2)/F$2</f>
        <v>-7.5361863424789413E-2</v>
      </c>
      <c r="I218" s="254">
        <v>344597.21</v>
      </c>
      <c r="J218" s="255">
        <v>400000</v>
      </c>
      <c r="K218" s="255">
        <f t="shared" ref="K218" si="229">I218-I217-J218+J217</f>
        <v>-10998.440000000002</v>
      </c>
      <c r="L218" s="175">
        <f t="shared" si="90"/>
        <v>-3.092962470153952E-2</v>
      </c>
      <c r="M218" s="256">
        <f t="shared" ref="M218" si="230">I218-J218</f>
        <v>-55402.789999999979</v>
      </c>
      <c r="N218" s="257">
        <f t="shared" ref="N218" si="231">M218/J218</f>
        <v>-0.13850697499999995</v>
      </c>
      <c r="O218" s="256" t="b">
        <f t="shared" ref="O218" si="232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33">I218-Q218</f>
        <v>52384.340000000026</v>
      </c>
      <c r="S218" s="255">
        <v>-60319</v>
      </c>
      <c r="T218" s="255">
        <f t="shared" ref="T218" si="234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  <c r="W218" s="256">
        <f t="shared" si="86"/>
        <v>-0.36933723914539318</v>
      </c>
    </row>
    <row r="219" spans="2:23" ht="20.100000000000001" customHeight="1" x14ac:dyDescent="0.25">
      <c r="B219" s="176">
        <v>42548</v>
      </c>
      <c r="C219" s="220">
        <v>2000.54</v>
      </c>
      <c r="D219" s="175">
        <f t="shared" si="71"/>
        <v>-1.8043488931428847E-2</v>
      </c>
      <c r="E219" s="214">
        <f t="shared" ref="E219" si="235">(C219-$C$2)/$C$2</f>
        <v>-4.8467494910675257E-2</v>
      </c>
      <c r="F219" s="224">
        <v>4594.4399999999996</v>
      </c>
      <c r="G219" s="175">
        <f t="shared" si="64"/>
        <v>-2.4116500070093749E-2</v>
      </c>
      <c r="H219" s="208">
        <f t="shared" ref="H219" si="236">(F219-F$2)/F$2</f>
        <v>-9.7660899110316834E-2</v>
      </c>
      <c r="I219" s="226">
        <v>328090.52</v>
      </c>
      <c r="J219" s="177">
        <v>400000</v>
      </c>
      <c r="K219" s="177">
        <f t="shared" ref="K219" si="237">I219-I218-J219+J218</f>
        <v>-16506.690000000002</v>
      </c>
      <c r="L219" s="175">
        <f t="shared" si="90"/>
        <v>-4.7901403496563424E-2</v>
      </c>
      <c r="M219" s="187">
        <f t="shared" ref="M219" si="238">I219-J219</f>
        <v>-71909.479999999981</v>
      </c>
      <c r="N219" s="189">
        <f t="shared" ref="N219" si="239">M219/J219</f>
        <v>-0.17977369999999995</v>
      </c>
      <c r="O219" s="187" t="b">
        <f t="shared" ref="O219" si="240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41">I219-Q219</f>
        <v>-2736.7099999999627</v>
      </c>
      <c r="S219" s="177">
        <v>-73004</v>
      </c>
      <c r="T219" s="177">
        <f t="shared" ref="T219" si="242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  <c r="W219" s="187">
        <f t="shared" si="86"/>
        <v>-0.47597898148325529</v>
      </c>
    </row>
    <row r="220" spans="2:23" ht="20.100000000000001" customHeight="1" x14ac:dyDescent="0.25">
      <c r="B220" s="176">
        <v>42549</v>
      </c>
      <c r="C220" s="220">
        <v>2036.09</v>
      </c>
      <c r="D220" s="175">
        <f t="shared" si="71"/>
        <v>1.7770202045447707E-2</v>
      </c>
      <c r="E220" s="214">
        <f t="shared" ref="E220" si="243">(C220-$C$2)/$C$2</f>
        <v>-3.1558570042426959E-2</v>
      </c>
      <c r="F220" s="224">
        <v>4691.8599999999997</v>
      </c>
      <c r="G220" s="175">
        <f t="shared" si="64"/>
        <v>2.1203889919119649E-2</v>
      </c>
      <c r="H220" s="208">
        <f t="shared" ref="H220" si="244">(F220-F$2)/F$2</f>
        <v>-7.85278001453346E-2</v>
      </c>
      <c r="I220" s="226">
        <v>347315.97</v>
      </c>
      <c r="J220" s="177">
        <v>400000</v>
      </c>
      <c r="K220" s="177">
        <f t="shared" ref="K220" si="245">I220-I219-J220+J219</f>
        <v>19225.449999999953</v>
      </c>
      <c r="L220" s="175">
        <f t="shared" ref="L220:L247" si="246">K220/I219</f>
        <v>5.8598005209050091E-2</v>
      </c>
      <c r="M220" s="187">
        <f t="shared" ref="M220" si="247">I220-J220</f>
        <v>-52684.030000000028</v>
      </c>
      <c r="N220" s="189">
        <f t="shared" ref="N220" si="248">M220/J220</f>
        <v>-0.13171007500000007</v>
      </c>
      <c r="O220" s="187" t="b">
        <f t="shared" ref="O220" si="249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50">I220-Q220</f>
        <v>23310.929999999993</v>
      </c>
      <c r="S220" s="177">
        <v>-57120</v>
      </c>
      <c r="T220" s="177">
        <f t="shared" ref="T220" si="251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  <c r="W220" s="187">
        <f t="shared" si="86"/>
        <v>-0.34471145902488842</v>
      </c>
    </row>
    <row r="221" spans="2:23" ht="20.100000000000001" customHeight="1" x14ac:dyDescent="0.25">
      <c r="B221" s="176">
        <v>42550</v>
      </c>
      <c r="C221" s="220">
        <v>2070.77</v>
      </c>
      <c r="D221" s="175">
        <f t="shared" si="71"/>
        <v>1.7032645904650614E-2</v>
      </c>
      <c r="E221" s="214">
        <f t="shared" ref="E221" si="252">(C221-$C$2)/$C$2</f>
        <v>-1.506345008656612E-2</v>
      </c>
      <c r="F221" s="224">
        <v>4779.24</v>
      </c>
      <c r="G221" s="175">
        <f t="shared" si="64"/>
        <v>1.8623744101486428E-2</v>
      </c>
      <c r="H221" s="208">
        <f t="shared" ref="H221" si="253">(F221-F$2)/F$2</f>
        <v>-6.1366537698607546E-2</v>
      </c>
      <c r="I221" s="226">
        <v>354799.59</v>
      </c>
      <c r="J221" s="177">
        <v>400000</v>
      </c>
      <c r="K221" s="177">
        <f t="shared" ref="K221" si="254">I221-I220-J221+J220</f>
        <v>7483.6200000000536</v>
      </c>
      <c r="L221" s="175">
        <f t="shared" si="246"/>
        <v>2.154700804572866E-2</v>
      </c>
      <c r="M221" s="187">
        <f t="shared" ref="M221" si="255">I221-J221</f>
        <v>-45200.409999999974</v>
      </c>
      <c r="N221" s="189">
        <f t="shared" ref="N221" si="256">M221/J221</f>
        <v>-0.11300102499999994</v>
      </c>
      <c r="O221" s="187" t="b">
        <f t="shared" ref="O221" si="257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8">I221-Q221</f>
        <v>33140.72000000003</v>
      </c>
      <c r="S221" s="177">
        <v>-52035</v>
      </c>
      <c r="T221" s="177">
        <f t="shared" ref="T221" si="259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  <c r="W221" s="187">
        <f t="shared" si="86"/>
        <v>-0.29588676584144369</v>
      </c>
    </row>
    <row r="222" spans="2:23" ht="20.100000000000001" customHeight="1" x14ac:dyDescent="0.25">
      <c r="B222" s="176">
        <v>42551</v>
      </c>
      <c r="C222" s="220">
        <v>2098.86</v>
      </c>
      <c r="D222" s="175">
        <f t="shared" si="71"/>
        <v>1.3565002390415229E-2</v>
      </c>
      <c r="E222" s="214">
        <f t="shared" ref="E222" si="260">(C222-$C$2)/$C$2</f>
        <v>-1.7027834325830592E-3</v>
      </c>
      <c r="F222" s="224">
        <v>4842.67</v>
      </c>
      <c r="G222" s="175">
        <f t="shared" si="64"/>
        <v>1.3271984667018248E-2</v>
      </c>
      <c r="H222" s="208">
        <f t="shared" ref="H222" si="261">(F222-F$2)/F$2</f>
        <v>-4.8909008778993214E-2</v>
      </c>
      <c r="I222" s="509">
        <v>358404.16</v>
      </c>
      <c r="J222" s="177">
        <v>400000</v>
      </c>
      <c r="K222" s="177">
        <f t="shared" ref="K222" si="262">I222-I221-J222+J221</f>
        <v>3604.5699999999488</v>
      </c>
      <c r="L222" s="175">
        <f t="shared" si="246"/>
        <v>1.0159453679188154E-2</v>
      </c>
      <c r="M222" s="187">
        <f t="shared" ref="M222" si="263">I222-J222</f>
        <v>-41595.840000000026</v>
      </c>
      <c r="N222" s="189">
        <f t="shared" ref="N222" si="264">M222/J222</f>
        <v>-0.10398960000000007</v>
      </c>
      <c r="O222" s="187" t="b">
        <f t="shared" ref="O222" si="265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6">I222-Q222</f>
        <v>37609.079999999958</v>
      </c>
      <c r="S222" s="177">
        <v>-50056</v>
      </c>
      <c r="T222" s="177">
        <f t="shared" ref="T222" si="267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  <c r="W222" s="187">
        <f t="shared" si="86"/>
        <v>-0.27280717324850662</v>
      </c>
    </row>
    <row r="223" spans="2:23" ht="20.100000000000001" customHeight="1" x14ac:dyDescent="0.25">
      <c r="B223" s="176">
        <v>42552</v>
      </c>
      <c r="C223" s="220">
        <v>2102.9499999999998</v>
      </c>
      <c r="D223" s="175">
        <f t="shared" si="71"/>
        <v>1.9486769007936169E-3</v>
      </c>
      <c r="E223" s="214">
        <f t="shared" ref="E223" si="268">(C223-$C$2)/$C$2</f>
        <v>2.4257529346842884E-4</v>
      </c>
      <c r="F223" s="224">
        <v>4862.59</v>
      </c>
      <c r="G223" s="175">
        <f t="shared" si="64"/>
        <v>4.1134332919649848E-3</v>
      </c>
      <c r="H223" s="208">
        <f t="shared" ref="H223" si="269">(F223-F$2)/F$2</f>
        <v>-4.4996759432016746E-2</v>
      </c>
      <c r="I223" s="226">
        <v>358860.97</v>
      </c>
      <c r="J223" s="177">
        <v>400000</v>
      </c>
      <c r="K223" s="177">
        <f t="shared" ref="K223" si="270">I223-I222-J223+J222</f>
        <v>456.80999999999767</v>
      </c>
      <c r="L223" s="175">
        <f t="shared" si="246"/>
        <v>1.2745666791367535E-3</v>
      </c>
      <c r="M223" s="187">
        <f t="shared" ref="M223" si="271">I223-J223</f>
        <v>-41139.030000000028</v>
      </c>
      <c r="N223" s="189">
        <f t="shared" ref="N223" si="272">M223/J223</f>
        <v>-0.10284757500000007</v>
      </c>
      <c r="O223" s="187" t="b">
        <f t="shared" ref="O223" si="273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4">I223-Q223</f>
        <v>86015.319999999949</v>
      </c>
      <c r="S223" s="177">
        <v>-51775</v>
      </c>
      <c r="T223" s="177">
        <f t="shared" ref="T223" si="275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  <c r="W223" s="187">
        <f t="shared" si="86"/>
        <v>-0.27042527213155731</v>
      </c>
    </row>
    <row r="224" spans="2:23" ht="20.100000000000001" customHeight="1" x14ac:dyDescent="0.25">
      <c r="B224" s="249">
        <v>42556</v>
      </c>
      <c r="C224" s="250">
        <v>2088.5500000000002</v>
      </c>
      <c r="D224" s="175">
        <f t="shared" si="71"/>
        <v>-6.847523716683534E-3</v>
      </c>
      <c r="E224" s="251">
        <f t="shared" ref="E224" si="276">(C224-$C$2)/$C$2</f>
        <v>-6.6066094632902111E-3</v>
      </c>
      <c r="F224" s="252">
        <v>4822.8999999999996</v>
      </c>
      <c r="G224" s="175">
        <f t="shared" si="64"/>
        <v>-8.1623167900235286E-3</v>
      </c>
      <c r="H224" s="253">
        <f t="shared" ref="H224" si="277">(F224-F$2)/F$2</f>
        <v>-5.2791798417031674E-2</v>
      </c>
      <c r="I224" s="254">
        <v>346939.19</v>
      </c>
      <c r="J224" s="255">
        <v>400000</v>
      </c>
      <c r="K224" s="255">
        <f t="shared" ref="K224" si="278">I224-I223-J224+J223</f>
        <v>-11921.77999999997</v>
      </c>
      <c r="L224" s="175">
        <f t="shared" si="246"/>
        <v>-3.3221166403245163E-2</v>
      </c>
      <c r="M224" s="256">
        <f t="shared" ref="M224" si="279">I224-J224</f>
        <v>-53060.81</v>
      </c>
      <c r="N224" s="257">
        <f t="shared" ref="N224" si="280">M224/J224</f>
        <v>-0.13265202500000001</v>
      </c>
      <c r="O224" s="256" t="b">
        <f t="shared" ref="O224" si="281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82">I224-Q224</f>
        <v>33140.880000000005</v>
      </c>
      <c r="S224" s="255">
        <v>-60102</v>
      </c>
      <c r="T224" s="255">
        <f t="shared" ref="T224" si="283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  <c r="W224" s="256">
        <f t="shared" si="86"/>
        <v>-0.34805388740925841</v>
      </c>
    </row>
    <row r="225" spans="2:23" ht="20.100000000000001" customHeight="1" x14ac:dyDescent="0.25">
      <c r="B225" s="249">
        <v>42557</v>
      </c>
      <c r="C225" s="250">
        <v>2088.5500000000002</v>
      </c>
      <c r="D225" s="175">
        <f t="shared" si="71"/>
        <v>0</v>
      </c>
      <c r="E225" s="251">
        <f t="shared" ref="E225" si="284">(C225-$C$2)/$C$2</f>
        <v>-6.6066094632902111E-3</v>
      </c>
      <c r="F225" s="252">
        <v>4859.16</v>
      </c>
      <c r="G225" s="175">
        <f t="shared" si="64"/>
        <v>7.5182981193887954E-3</v>
      </c>
      <c r="H225" s="253">
        <f t="shared" ref="H225" si="285">(F225-F$2)/F$2</f>
        <v>-4.5670404776400803E-2</v>
      </c>
      <c r="I225" s="254">
        <v>347494.51</v>
      </c>
      <c r="J225" s="255">
        <v>400000</v>
      </c>
      <c r="K225" s="255">
        <f t="shared" ref="K225" si="286">I225-I224-J225+J224</f>
        <v>555.32000000000698</v>
      </c>
      <c r="L225" s="175">
        <f t="shared" si="246"/>
        <v>1.6006263230164543E-3</v>
      </c>
      <c r="M225" s="256">
        <f t="shared" ref="M225" si="287">I225-J225</f>
        <v>-52505.489999999991</v>
      </c>
      <c r="N225" s="257">
        <f t="shared" ref="N225" si="288">M225/J225</f>
        <v>-0.13126372499999997</v>
      </c>
      <c r="O225" s="256" t="b">
        <f t="shared" ref="O225" si="289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90">I225-Q225</f>
        <v>31700.690000000002</v>
      </c>
      <c r="S225" s="255">
        <v>-60101</v>
      </c>
      <c r="T225" s="255">
        <f t="shared" ref="T225" si="291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  <c r="W225" s="256">
        <f t="shared" si="86"/>
        <v>-0.3451863960051802</v>
      </c>
    </row>
    <row r="226" spans="2:23" ht="20.100000000000001" customHeight="1" x14ac:dyDescent="0.25">
      <c r="B226" s="249">
        <v>42558</v>
      </c>
      <c r="C226" s="250">
        <v>2088.5500000000002</v>
      </c>
      <c r="D226" s="175">
        <f t="shared" si="71"/>
        <v>0</v>
      </c>
      <c r="E226" s="251">
        <f t="shared" ref="E226" si="292">(C226-$C$2)/$C$2</f>
        <v>-6.6066094632902111E-3</v>
      </c>
      <c r="F226" s="252">
        <v>4876.8</v>
      </c>
      <c r="G226" s="175">
        <f t="shared" si="64"/>
        <v>3.630257081470939E-3</v>
      </c>
      <c r="H226" s="253">
        <f t="shared" ref="H226" si="293">(F226-F$2)/F$2</f>
        <v>-4.2205943005283041E-2</v>
      </c>
      <c r="I226" s="254">
        <v>350011.84</v>
      </c>
      <c r="J226" s="255">
        <v>400000</v>
      </c>
      <c r="K226" s="255">
        <f t="shared" ref="K226" si="294">I226-I225-J226+J225</f>
        <v>2517.3300000000163</v>
      </c>
      <c r="L226" s="175">
        <f t="shared" si="246"/>
        <v>7.2442295563173538E-3</v>
      </c>
      <c r="M226" s="256">
        <f t="shared" ref="M226" si="295">I226-J226</f>
        <v>-49988.159999999974</v>
      </c>
      <c r="N226" s="257">
        <f t="shared" ref="N226" si="296">M226/J226</f>
        <v>-0.12497039999999994</v>
      </c>
      <c r="O226" s="256" t="b">
        <f t="shared" ref="O226" si="297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8">I226-Q226</f>
        <v>34217.020000000019</v>
      </c>
      <c r="S226" s="255">
        <v>-60100</v>
      </c>
      <c r="T226" s="255">
        <f t="shared" ref="T226" si="299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  <c r="W226" s="256">
        <f t="shared" si="86"/>
        <v>-0.32930986645066468</v>
      </c>
    </row>
    <row r="227" spans="2:23" ht="20.100000000000001" customHeight="1" x14ac:dyDescent="0.25">
      <c r="B227" s="249">
        <v>42559</v>
      </c>
      <c r="C227" s="250">
        <v>2088.5500000000002</v>
      </c>
      <c r="D227" s="175">
        <f t="shared" si="71"/>
        <v>0</v>
      </c>
      <c r="E227" s="251">
        <f t="shared" ref="E227" si="300">(C227-$C$2)/$C$2</f>
        <v>-6.6066094632902111E-3</v>
      </c>
      <c r="F227" s="252">
        <v>4956.75</v>
      </c>
      <c r="G227" s="175">
        <f t="shared" si="64"/>
        <v>1.6393946850393661E-2</v>
      </c>
      <c r="H227" s="253">
        <f t="shared" ref="H227" si="301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302">I227-I226-J227+J226</f>
        <v>6534.5599999999395</v>
      </c>
      <c r="L227" s="175">
        <f t="shared" si="246"/>
        <v>1.8669539864708401E-2</v>
      </c>
      <c r="M227" s="256">
        <f t="shared" ref="M227" si="303">I227-J227</f>
        <v>-43453.600000000035</v>
      </c>
      <c r="N227" s="257">
        <f t="shared" ref="N227" si="304">M227/J227</f>
        <v>-0.10863400000000009</v>
      </c>
      <c r="O227" s="256" t="b">
        <f t="shared" ref="O227" si="305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6">I227-Q227</f>
        <v>39253.619999999937</v>
      </c>
      <c r="S227" s="255">
        <v>-54317</v>
      </c>
      <c r="T227" s="255">
        <f t="shared" ref="T227" si="307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  <c r="W227" s="256">
        <f t="shared" si="86"/>
        <v>-0.28651736353102708</v>
      </c>
    </row>
    <row r="228" spans="2:23" ht="20.100000000000001" customHeight="1" x14ac:dyDescent="0.25">
      <c r="B228" s="176">
        <v>42562</v>
      </c>
      <c r="C228" s="220">
        <v>2137.16</v>
      </c>
      <c r="D228" s="175">
        <f t="shared" si="71"/>
        <v>2.3274520600416397E-2</v>
      </c>
      <c r="E228" s="214">
        <f t="shared" ref="E228" si="308">(C228-$C$2)/$C$2</f>
        <v>1.6514145469073933E-2</v>
      </c>
      <c r="F228" s="224">
        <v>4988.63</v>
      </c>
      <c r="G228" s="175">
        <f t="shared" si="64"/>
        <v>6.4316336309073706E-3</v>
      </c>
      <c r="H228" s="208">
        <f t="shared" ref="H228" si="309">(F228-F$2)/F$2</f>
        <v>-2.0242748001649689E-2</v>
      </c>
      <c r="I228" s="226">
        <v>356544.06</v>
      </c>
      <c r="J228" s="177">
        <v>400000</v>
      </c>
      <c r="K228" s="177">
        <f t="shared" ref="K228" si="310">I228-I227-J228+J227</f>
        <v>-2.3399999999674037</v>
      </c>
      <c r="L228" s="175">
        <f t="shared" si="246"/>
        <v>-6.5629606692632545E-6</v>
      </c>
      <c r="M228" s="187">
        <f t="shared" ref="M228" si="311">I228-J228</f>
        <v>-43455.94</v>
      </c>
      <c r="N228" s="189">
        <f t="shared" ref="N228" si="312">M228/J228</f>
        <v>-0.10863985000000001</v>
      </c>
      <c r="O228" s="187" t="b">
        <f t="shared" ref="O228" si="313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4">I228-Q228</f>
        <v>41429.340000000026</v>
      </c>
      <c r="S228" s="177">
        <v>-55783</v>
      </c>
      <c r="T228" s="177">
        <f t="shared" ref="T228" si="315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  <c r="W228" s="187">
        <f t="shared" si="86"/>
        <v>-0.28717162139132801</v>
      </c>
    </row>
    <row r="229" spans="2:23" ht="20.100000000000001" customHeight="1" x14ac:dyDescent="0.25">
      <c r="B229" s="176">
        <v>42563</v>
      </c>
      <c r="C229" s="220">
        <v>2152.14</v>
      </c>
      <c r="D229" s="175">
        <f t="shared" si="71"/>
        <v>7.0093020644219524E-3</v>
      </c>
      <c r="E229" s="214">
        <f t="shared" ref="E229" si="316">(C229-$C$2)/$C$2</f>
        <v>2.3639200167424428E-2</v>
      </c>
      <c r="F229" s="224">
        <v>5022.82</v>
      </c>
      <c r="G229" s="175">
        <f t="shared" si="64"/>
        <v>6.8535850524090985E-3</v>
      </c>
      <c r="H229" s="208">
        <f t="shared" ref="H229" si="317">(F229-F$2)/F$2</f>
        <v>-1.3527898344364379E-2</v>
      </c>
      <c r="I229" s="226">
        <v>371135.11</v>
      </c>
      <c r="J229" s="177">
        <v>400000</v>
      </c>
      <c r="K229" s="177">
        <f t="shared" ref="K229" si="318">I229-I228-J229+J228</f>
        <v>14591.049999999988</v>
      </c>
      <c r="L229" s="175">
        <f t="shared" si="246"/>
        <v>4.092355373975376E-2</v>
      </c>
      <c r="M229" s="187">
        <f t="shared" ref="M229" si="319">I229-J229</f>
        <v>-28864.890000000014</v>
      </c>
      <c r="N229" s="189">
        <f t="shared" ref="N229" si="320">M229/J229</f>
        <v>-7.2162225000000038E-2</v>
      </c>
      <c r="O229" s="187" t="b">
        <f t="shared" ref="O229" si="321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22">I229-Q229</f>
        <v>49410.760000000009</v>
      </c>
      <c r="S229" s="177">
        <v>-44731</v>
      </c>
      <c r="T229" s="177">
        <f t="shared" ref="T229" si="323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  <c r="W229" s="187">
        <f t="shared" si="86"/>
        <v>-0.18994826157434069</v>
      </c>
    </row>
    <row r="230" spans="2:23" ht="20.100000000000001" customHeight="1" x14ac:dyDescent="0.25">
      <c r="B230" s="176">
        <v>42564</v>
      </c>
      <c r="C230" s="220">
        <v>2152.4299999999998</v>
      </c>
      <c r="D230" s="175">
        <f t="shared" si="71"/>
        <v>1.347495980744578E-4</v>
      </c>
      <c r="E230" s="214">
        <f t="shared" ref="E230" si="324">(C230-$C$2)/$C$2</f>
        <v>2.3777135138220249E-2</v>
      </c>
      <c r="F230" s="224">
        <v>5005.72</v>
      </c>
      <c r="G230" s="175">
        <f t="shared" si="64"/>
        <v>-3.4044620352709147E-3</v>
      </c>
      <c r="H230" s="208">
        <f t="shared" ref="H230" si="325">(F230-F$2)/F$2</f>
        <v>-1.6886305163304902E-2</v>
      </c>
      <c r="I230" s="226">
        <v>368490.23999999999</v>
      </c>
      <c r="J230" s="177">
        <v>400000</v>
      </c>
      <c r="K230" s="177">
        <f t="shared" ref="K230" si="326">I230-I229-J230+J229</f>
        <v>-2644.8699999999953</v>
      </c>
      <c r="L230" s="175">
        <f t="shared" si="246"/>
        <v>-7.1264343597133547E-3</v>
      </c>
      <c r="M230" s="187">
        <f t="shared" ref="M230" si="327">I230-J230</f>
        <v>-31509.760000000009</v>
      </c>
      <c r="N230" s="189">
        <f t="shared" ref="N230" si="328">M230/J230</f>
        <v>-7.8774400000000022E-2</v>
      </c>
      <c r="O230" s="187" t="b">
        <f t="shared" ref="O230" si="329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30">I230-Q230</f>
        <v>48566.919999999984</v>
      </c>
      <c r="S230" s="177">
        <v>-47124</v>
      </c>
      <c r="T230" s="177">
        <f t="shared" ref="T230" si="331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  <c r="W230" s="187">
        <f t="shared" si="86"/>
        <v>-0.20776650350817749</v>
      </c>
    </row>
    <row r="231" spans="2:23" ht="20.100000000000001" customHeight="1" x14ac:dyDescent="0.25">
      <c r="B231" s="176">
        <v>42565</v>
      </c>
      <c r="C231" s="220">
        <v>2163.75</v>
      </c>
      <c r="D231" s="175">
        <f t="shared" si="71"/>
        <v>5.2591721914302279E-3</v>
      </c>
      <c r="E231" s="214">
        <f t="shared" ref="E231" si="332">(C231-$C$2)/$C$2</f>
        <v>2.9161355377561284E-2</v>
      </c>
      <c r="F231" s="224">
        <v>5034.05</v>
      </c>
      <c r="G231" s="175">
        <f t="shared" si="64"/>
        <v>5.6595255028247535E-3</v>
      </c>
      <c r="H231" s="208">
        <f t="shared" ref="H231" si="333">(F231-F$2)/F$2</f>
        <v>-1.1322348135200354E-2</v>
      </c>
      <c r="I231" s="226">
        <v>370497.23</v>
      </c>
      <c r="J231" s="177">
        <v>400000</v>
      </c>
      <c r="K231" s="177">
        <f t="shared" ref="K231" si="334">I231-I230-J231+J230</f>
        <v>2006.9899999999907</v>
      </c>
      <c r="L231" s="175">
        <f t="shared" si="246"/>
        <v>5.4465214601070325E-3</v>
      </c>
      <c r="M231" s="187">
        <f t="shared" ref="M231" si="335">I231-J231</f>
        <v>-29502.770000000019</v>
      </c>
      <c r="N231" s="189">
        <f t="shared" ref="N231" si="336">M231/J231</f>
        <v>-7.3756925000000043E-2</v>
      </c>
      <c r="O231" s="187" t="b">
        <f t="shared" ref="O231" si="337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8">I231-Q231</f>
        <v>48565.820000000007</v>
      </c>
      <c r="S231" s="177">
        <v>-47213</v>
      </c>
      <c r="T231" s="177">
        <f t="shared" ref="T231" si="339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  <c r="W231" s="187">
        <f t="shared" si="86"/>
        <v>-0.1949413808348196</v>
      </c>
    </row>
    <row r="232" spans="2:23" ht="20.100000000000001" customHeight="1" x14ac:dyDescent="0.25">
      <c r="B232" s="176">
        <v>42566</v>
      </c>
      <c r="C232" s="220">
        <v>2161.7399999999998</v>
      </c>
      <c r="D232" s="175">
        <f t="shared" si="71"/>
        <v>-9.2894280762575077E-4</v>
      </c>
      <c r="E232" s="214">
        <f t="shared" ref="E232" si="340">(C232-$C$2)/$C$2</f>
        <v>2.8205323338596929E-2</v>
      </c>
      <c r="F232" s="224">
        <v>5029.58</v>
      </c>
      <c r="G232" s="175">
        <f t="shared" si="64"/>
        <v>-8.8795303979901958E-4</v>
      </c>
      <c r="H232" s="208">
        <f t="shared" ref="H232" si="341">(F232-F$2)/F$2</f>
        <v>-1.2200247461555059E-2</v>
      </c>
      <c r="I232" s="226">
        <v>368347.44</v>
      </c>
      <c r="J232" s="177">
        <v>400000</v>
      </c>
      <c r="K232" s="177">
        <f t="shared" ref="K232" si="342">I232-I231-J232+J231</f>
        <v>-2149.789999999979</v>
      </c>
      <c r="L232" s="175">
        <f t="shared" si="246"/>
        <v>-5.8024455405509484E-3</v>
      </c>
      <c r="M232" s="187">
        <f t="shared" ref="M232" si="343">I232-J232</f>
        <v>-31652.559999999998</v>
      </c>
      <c r="N232" s="189">
        <f t="shared" ref="N232" si="344">M232/J232</f>
        <v>-7.9131399999999991E-2</v>
      </c>
      <c r="O232" s="187" t="b">
        <f t="shared" ref="O232" si="345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6">I232-Q232</f>
        <v>53120.359999999986</v>
      </c>
      <c r="S232" s="177">
        <v>-48618</v>
      </c>
      <c r="T232" s="177">
        <f t="shared" ref="T232" si="347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  <c r="W232" s="187">
        <f t="shared" si="86"/>
        <v>-0.20957388135800326</v>
      </c>
    </row>
    <row r="233" spans="2:23" ht="20.100000000000001" customHeight="1" x14ac:dyDescent="0.25">
      <c r="B233" s="249">
        <v>42569</v>
      </c>
      <c r="C233" s="250">
        <v>2166.89</v>
      </c>
      <c r="D233" s="175">
        <f t="shared" si="71"/>
        <v>2.3823401519147036E-3</v>
      </c>
      <c r="E233" s="251">
        <f t="shared" ref="E233" si="348">(C233-$C$2)/$C$2</f>
        <v>3.0654858164798907E-2</v>
      </c>
      <c r="F233" s="252">
        <v>5055.78</v>
      </c>
      <c r="G233" s="175">
        <f t="shared" si="64"/>
        <v>5.209182476469172E-3</v>
      </c>
      <c r="H233" s="253">
        <f t="shared" ref="H233" si="349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50">I233-I232-J233+J232</f>
        <v>1338.8500000000349</v>
      </c>
      <c r="L233" s="175">
        <f t="shared" si="246"/>
        <v>3.6347476719263611E-3</v>
      </c>
      <c r="M233" s="256">
        <f t="shared" ref="M233" si="351">I233-J233</f>
        <v>-30313.709999999963</v>
      </c>
      <c r="N233" s="257">
        <f t="shared" ref="N233" si="352">M233/J233</f>
        <v>-7.5784274999999901E-2</v>
      </c>
      <c r="O233" s="256" t="b">
        <f t="shared" ref="O233" si="353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4">I233-Q233</f>
        <v>53583.250000000058</v>
      </c>
      <c r="S233" s="255">
        <v>-47875</v>
      </c>
      <c r="T233" s="255">
        <f t="shared" ref="T233" si="355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  <c r="W233" s="256">
        <f t="shared" si="86"/>
        <v>-0.201138553007633</v>
      </c>
    </row>
    <row r="234" spans="2:23" ht="20.100000000000001" customHeight="1" x14ac:dyDescent="0.25">
      <c r="B234" s="249">
        <v>42570</v>
      </c>
      <c r="C234" s="250">
        <v>2163.7800000000002</v>
      </c>
      <c r="D234" s="175">
        <f t="shared" si="71"/>
        <v>-1.4352366756040559E-3</v>
      </c>
      <c r="E234" s="251">
        <f t="shared" ref="E234" si="356">(C234-$C$2)/$C$2</f>
        <v>2.9175624512471292E-2</v>
      </c>
      <c r="F234" s="252">
        <v>5036.37</v>
      </c>
      <c r="G234" s="175">
        <f t="shared" si="64"/>
        <v>-3.8391702170584669E-3</v>
      </c>
      <c r="H234" s="253">
        <f t="shared" ref="H234" si="357">(F234-F$2)/F$2</f>
        <v>-1.0866704636958173E-2</v>
      </c>
      <c r="I234" s="254">
        <v>364028.85</v>
      </c>
      <c r="J234" s="255">
        <v>400000</v>
      </c>
      <c r="K234" s="255">
        <f t="shared" ref="K234" si="358">I234-I233-J234+J233</f>
        <v>-5657.4400000000605</v>
      </c>
      <c r="L234" s="175">
        <f t="shared" si="246"/>
        <v>-1.5303353554171728E-2</v>
      </c>
      <c r="M234" s="256">
        <f t="shared" ref="M234" si="359">I234-J234</f>
        <v>-35971.150000000023</v>
      </c>
      <c r="N234" s="257">
        <f t="shared" ref="N234" si="360">M234/J234</f>
        <v>-8.992787500000006E-2</v>
      </c>
      <c r="O234" s="256" t="b">
        <f t="shared" ref="O234" si="361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62">I234-Q234</f>
        <v>47608.449999999953</v>
      </c>
      <c r="S234" s="255">
        <v>-53164</v>
      </c>
      <c r="T234" s="255">
        <f t="shared" ref="T234" si="363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  <c r="W234" s="256">
        <f t="shared" si="86"/>
        <v>-0.23897066998854954</v>
      </c>
    </row>
    <row r="235" spans="2:23" ht="20.100000000000001" customHeight="1" x14ac:dyDescent="0.25">
      <c r="B235" s="249">
        <v>42571</v>
      </c>
      <c r="C235" s="250">
        <v>2173.02</v>
      </c>
      <c r="D235" s="175">
        <f t="shared" si="71"/>
        <v>4.2703047444748454E-3</v>
      </c>
      <c r="E235" s="251">
        <f t="shared" ref="E235" si="364">(C235-$C$2)/$C$2</f>
        <v>3.3570518064724761E-2</v>
      </c>
      <c r="F235" s="252">
        <v>5089.93</v>
      </c>
      <c r="G235" s="175">
        <f t="shared" si="64"/>
        <v>1.0634643602435961E-2</v>
      </c>
      <c r="H235" s="253">
        <f t="shared" ref="H235" si="365">(F235-F$2)/F$2</f>
        <v>-3.4762456546920032E-4</v>
      </c>
      <c r="I235" s="254">
        <v>366983.12</v>
      </c>
      <c r="J235" s="255">
        <v>400000</v>
      </c>
      <c r="K235" s="255">
        <f t="shared" ref="K235" si="366">I235-I234-J235+J234</f>
        <v>2954.2700000000186</v>
      </c>
      <c r="L235" s="175">
        <f t="shared" si="246"/>
        <v>8.1154831547005646E-3</v>
      </c>
      <c r="M235" s="256">
        <f t="shared" ref="M235" si="367">I235-J235</f>
        <v>-33016.880000000005</v>
      </c>
      <c r="N235" s="257">
        <f t="shared" ref="N235" si="368">M235/J235</f>
        <v>-8.254220000000001E-2</v>
      </c>
      <c r="O235" s="256" t="b">
        <f t="shared" ref="O235" si="369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70">I235-Q235</f>
        <v>51814.950000000012</v>
      </c>
      <c r="S235" s="255">
        <v>-50698</v>
      </c>
      <c r="T235" s="255">
        <f t="shared" ref="T235" si="371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  <c r="W235" s="256">
        <f t="shared" si="86"/>
        <v>-0.21976670949867452</v>
      </c>
    </row>
    <row r="236" spans="2:23" ht="20.100000000000001" customHeight="1" x14ac:dyDescent="0.25">
      <c r="B236" s="249">
        <v>42572</v>
      </c>
      <c r="C236" s="250">
        <v>2165.17</v>
      </c>
      <c r="D236" s="175">
        <f t="shared" si="71"/>
        <v>-3.6124840084306217E-3</v>
      </c>
      <c r="E236" s="251">
        <f t="shared" ref="E236" si="372">(C236-$C$2)/$C$2</f>
        <v>2.9836761096630589E-2</v>
      </c>
      <c r="F236" s="252">
        <v>5073.8999999999996</v>
      </c>
      <c r="G236" s="175">
        <f t="shared" si="64"/>
        <v>-3.1493556885852365E-3</v>
      </c>
      <c r="H236" s="253">
        <f t="shared" ref="H236" si="373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4">I236-I235-J236+J235</f>
        <v>-6661.9199999999837</v>
      </c>
      <c r="L236" s="175">
        <f t="shared" si="246"/>
        <v>-1.8153205520733445E-2</v>
      </c>
      <c r="M236" s="256">
        <f t="shared" ref="M236" si="375">I236-J236</f>
        <v>-39678.799999999988</v>
      </c>
      <c r="N236" s="257">
        <f t="shared" ref="N236" si="376">M236/J236</f>
        <v>-9.9196999999999966E-2</v>
      </c>
      <c r="O236" s="256" t="b">
        <f t="shared" ref="O236" si="377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8">I236-Q236</f>
        <v>44572.140000000014</v>
      </c>
      <c r="S236" s="255">
        <v>-55981</v>
      </c>
      <c r="T236" s="255">
        <f t="shared" ref="T236" si="379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  <c r="W236" s="256">
        <f t="shared" si="86"/>
        <v>-0.26433322431693346</v>
      </c>
    </row>
    <row r="237" spans="2:23" ht="20.100000000000001" customHeight="1" x14ac:dyDescent="0.25">
      <c r="B237" s="249">
        <v>42573</v>
      </c>
      <c r="C237" s="250">
        <v>2175.0300000000002</v>
      </c>
      <c r="D237" s="175">
        <f t="shared" si="71"/>
        <v>4.553914935085987E-3</v>
      </c>
      <c r="E237" s="251">
        <f t="shared" ref="E237" si="380">(C237-$C$2)/$C$2</f>
        <v>3.4526550103689116E-2</v>
      </c>
      <c r="F237" s="252">
        <v>5100.16</v>
      </c>
      <c r="G237" s="175">
        <f t="shared" si="64"/>
        <v>5.175506021009523E-3</v>
      </c>
      <c r="H237" s="253">
        <f t="shared" ref="H237" si="381">(F237-F$2)/F$2</f>
        <v>1.6615275841074762E-3</v>
      </c>
      <c r="I237" s="254">
        <v>357414.17</v>
      </c>
      <c r="J237" s="255">
        <v>400000</v>
      </c>
      <c r="K237" s="255">
        <f t="shared" ref="K237" si="382">I237-I236-J237+J236</f>
        <v>-2907.0300000000279</v>
      </c>
      <c r="L237" s="175">
        <f t="shared" si="246"/>
        <v>-8.0678849870616208E-3</v>
      </c>
      <c r="M237" s="256">
        <f>I237-J237</f>
        <v>-42585.830000000016</v>
      </c>
      <c r="N237" s="257">
        <f t="shared" ref="N237" si="383">M237/J237</f>
        <v>-0.10646457500000005</v>
      </c>
      <c r="O237" s="256" t="b">
        <f t="shared" ref="O237" si="384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5">I237-Q237</f>
        <v>41282.339999999967</v>
      </c>
      <c r="S237" s="255">
        <v>-58740</v>
      </c>
      <c r="T237" s="255">
        <f t="shared" ref="T237:T242" si="386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  <c r="W237" s="256">
        <f t="shared" si="86"/>
        <v>-0.28423270609368756</v>
      </c>
    </row>
    <row r="238" spans="2:23" ht="20.100000000000001" customHeight="1" x14ac:dyDescent="0.25">
      <c r="B238" s="176">
        <v>42576</v>
      </c>
      <c r="C238" s="220">
        <v>2168.48</v>
      </c>
      <c r="D238" s="175">
        <f t="shared" si="71"/>
        <v>-3.0114527155948108E-3</v>
      </c>
      <c r="E238" s="214">
        <f t="shared" ref="E238" si="387">(C238-$C$2)/$C$2</f>
        <v>3.141112231502443E-2</v>
      </c>
      <c r="F238" s="224">
        <v>5097.62</v>
      </c>
      <c r="G238" s="175">
        <f t="shared" si="64"/>
        <v>-4.9802359141673275E-4</v>
      </c>
      <c r="H238" s="208">
        <f t="shared" ref="H238" si="388">(F238-F$2)/F$2</f>
        <v>1.1626765127560684E-3</v>
      </c>
      <c r="I238" s="226">
        <v>355693.78</v>
      </c>
      <c r="J238" s="177">
        <v>400000</v>
      </c>
      <c r="K238" s="177">
        <f t="shared" ref="K238" si="389">I238-I237-J238+J237</f>
        <v>-1720.3899999999558</v>
      </c>
      <c r="L238" s="175">
        <f t="shared" si="246"/>
        <v>-4.8134353486879262E-3</v>
      </c>
      <c r="M238" s="187">
        <f t="shared" ref="M238" si="390">I238-J238</f>
        <v>-44306.219999999972</v>
      </c>
      <c r="N238" s="189">
        <f t="shared" ref="N238" si="391">M238/J238</f>
        <v>-0.11076554999999993</v>
      </c>
      <c r="O238" s="187" t="b">
        <f t="shared" ref="O238" si="392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5"/>
        <v>44347.69</v>
      </c>
      <c r="S238" s="177">
        <v>-60287</v>
      </c>
      <c r="T238" s="177">
        <f t="shared" si="386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  <c r="W238" s="187">
        <f t="shared" si="86"/>
        <v>-0.29631800520923551</v>
      </c>
    </row>
    <row r="239" spans="2:23" ht="20.100000000000001" customHeight="1" x14ac:dyDescent="0.25">
      <c r="B239" s="176">
        <v>42577</v>
      </c>
      <c r="C239" s="220">
        <v>2169.1799999999998</v>
      </c>
      <c r="D239" s="175">
        <f t="shared" si="71"/>
        <v>3.2280675865113727E-4</v>
      </c>
      <c r="E239" s="214">
        <f t="shared" ref="E239" si="393">(C239-$C$2)/$C$2</f>
        <v>3.1744068796255673E-2</v>
      </c>
      <c r="F239" s="224">
        <v>5110.04</v>
      </c>
      <c r="G239" s="175">
        <f t="shared" si="64"/>
        <v>2.4364311188358632E-3</v>
      </c>
      <c r="H239" s="208">
        <f t="shared" ref="H239" si="394">(F239-F$2)/F$2</f>
        <v>3.60194041282875E-3</v>
      </c>
      <c r="I239" s="226">
        <v>360934.05</v>
      </c>
      <c r="J239" s="177">
        <v>400000</v>
      </c>
      <c r="K239" s="177">
        <f t="shared" ref="K239" si="395">I239-I238-J239+J238</f>
        <v>5240.2699999999604</v>
      </c>
      <c r="L239" s="175">
        <f t="shared" si="246"/>
        <v>1.4732532011102247E-2</v>
      </c>
      <c r="M239" s="187">
        <f t="shared" ref="M239" si="396">I239-J239</f>
        <v>-39065.950000000012</v>
      </c>
      <c r="N239" s="189">
        <f t="shared" ref="N239" si="397">M239/J239</f>
        <v>-9.7664875000000026E-2</v>
      </c>
      <c r="O239" s="187" t="b">
        <f t="shared" ref="O239" si="398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5"/>
        <v>65324.06</v>
      </c>
      <c r="S239" s="177">
        <v>-55468</v>
      </c>
      <c r="T239" s="177">
        <f t="shared" si="386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  <c r="W239" s="187">
        <f t="shared" si="86"/>
        <v>-0.26161477034386266</v>
      </c>
    </row>
    <row r="240" spans="2:23" ht="20.100000000000001" customHeight="1" x14ac:dyDescent="0.25">
      <c r="B240" s="176">
        <v>42578</v>
      </c>
      <c r="C240" s="220">
        <v>2166.58</v>
      </c>
      <c r="D240" s="175">
        <f t="shared" si="71"/>
        <v>-1.1986096128490532E-3</v>
      </c>
      <c r="E240" s="214">
        <f t="shared" ref="E240" si="399">(C240-$C$2)/$C$2</f>
        <v>3.0507410437396486E-2</v>
      </c>
      <c r="F240" s="224">
        <v>5139.8100000000004</v>
      </c>
      <c r="G240" s="175">
        <f t="shared" si="64"/>
        <v>5.8257860995218113E-3</v>
      </c>
      <c r="H240" s="208">
        <f t="shared" ref="H240" si="400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401">I240-I239-J240+J239</f>
        <v>-9717.9000000000233</v>
      </c>
      <c r="L240" s="175">
        <f t="shared" si="246"/>
        <v>-2.6924309302488982E-2</v>
      </c>
      <c r="M240" s="187">
        <f t="shared" ref="M240" si="402">I240-J240</f>
        <v>-48783.850000000035</v>
      </c>
      <c r="N240" s="189">
        <f t="shared" ref="N240" si="403">M240/J240</f>
        <v>-0.12195962500000009</v>
      </c>
      <c r="O240" s="187" t="b">
        <f t="shared" ref="O240" si="404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5"/>
        <v>56112.359999999986</v>
      </c>
      <c r="S240" s="177">
        <v>-64415</v>
      </c>
      <c r="T240" s="177">
        <f t="shared" si="386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  <c r="W240" s="187">
        <f t="shared" si="86"/>
        <v>-0.32646725323698839</v>
      </c>
    </row>
    <row r="241" spans="1:23" ht="20.100000000000001" customHeight="1" x14ac:dyDescent="0.25">
      <c r="B241" s="176">
        <v>42579</v>
      </c>
      <c r="C241" s="220">
        <v>2170.06</v>
      </c>
      <c r="D241" s="175">
        <f t="shared" si="71"/>
        <v>1.6062180948776498E-3</v>
      </c>
      <c r="E241" s="214">
        <f t="shared" ref="E241" si="405">(C241-$C$2)/$C$2</f>
        <v>3.2162630086946545E-2</v>
      </c>
      <c r="F241" s="224">
        <v>5154.9799999999996</v>
      </c>
      <c r="G241" s="175">
        <f t="shared" si="64"/>
        <v>2.9514709687710563E-3</v>
      </c>
      <c r="H241" s="208">
        <f t="shared" ref="H241" si="406">(F241-F$2)/F$2</f>
        <v>1.2428069210676148E-2</v>
      </c>
      <c r="I241" s="226">
        <v>351887.73</v>
      </c>
      <c r="J241" s="177">
        <v>400000</v>
      </c>
      <c r="K241" s="177">
        <f t="shared" ref="K241" si="407">I241-I240-J241+J240</f>
        <v>671.5800000000163</v>
      </c>
      <c r="L241" s="175">
        <f t="shared" si="246"/>
        <v>1.9121558049082206E-3</v>
      </c>
      <c r="M241" s="187">
        <f t="shared" ref="M241" si="408">I241-J241</f>
        <v>-48112.270000000019</v>
      </c>
      <c r="N241" s="189">
        <f t="shared" ref="N241" si="409">M241/J241</f>
        <v>-0.12028067500000005</v>
      </c>
      <c r="O241" s="187" t="b">
        <f t="shared" ref="O241" si="410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5"/>
        <v>45396.380000000005</v>
      </c>
      <c r="S241" s="177">
        <v>-63248</v>
      </c>
      <c r="T241" s="177">
        <f t="shared" si="386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  <c r="W241" s="187">
        <f t="shared" si="86"/>
        <v>-0.32264757844205921</v>
      </c>
    </row>
    <row r="242" spans="1:23" ht="20.100000000000001" customHeight="1" x14ac:dyDescent="0.25">
      <c r="B242" s="176">
        <v>42580</v>
      </c>
      <c r="C242" s="220">
        <v>2173.6</v>
      </c>
      <c r="D242" s="175">
        <f t="shared" si="71"/>
        <v>1.6312913007013464E-3</v>
      </c>
      <c r="E242" s="214">
        <f t="shared" ref="E242" si="411">(C242-$C$2)/$C$2</f>
        <v>3.3846388006316397E-2</v>
      </c>
      <c r="F242" s="224">
        <v>5162.13</v>
      </c>
      <c r="G242" s="175">
        <f t="shared" si="64"/>
        <v>1.3870082910119044E-3</v>
      </c>
      <c r="H242" s="208">
        <f t="shared" ref="H242" si="412">(F242-F$2)/F$2</f>
        <v>1.3832315336724531E-2</v>
      </c>
      <c r="I242" s="428">
        <v>352850.19</v>
      </c>
      <c r="J242" s="177">
        <v>400000</v>
      </c>
      <c r="K242" s="177">
        <f t="shared" ref="K242" si="413">I242-I241-J242+J241</f>
        <v>962.46000000002095</v>
      </c>
      <c r="L242" s="175">
        <f t="shared" si="246"/>
        <v>2.7351337314319569E-3</v>
      </c>
      <c r="M242" s="187">
        <f t="shared" ref="M242" si="414">I242-J242</f>
        <v>-47149.81</v>
      </c>
      <c r="N242" s="189">
        <f t="shared" ref="N242" si="415">M242/J242</f>
        <v>-0.11787452499999999</v>
      </c>
      <c r="O242" s="187" t="b">
        <f t="shared" ref="O242" si="416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5"/>
        <v>54478.419999999984</v>
      </c>
      <c r="S242" s="177">
        <v>-61571</v>
      </c>
      <c r="T242" s="177">
        <f t="shared" si="386"/>
        <v>14421.190000000002</v>
      </c>
      <c r="U242" s="189">
        <f>STDEV(D$2:D242)*SQRT(252)</f>
        <v>0.173946186031568</v>
      </c>
      <c r="V242" s="189">
        <f>STDEV(L$2:L242)*SQRT(252)</f>
        <v>0.37202162492103208</v>
      </c>
      <c r="W242" s="187">
        <f t="shared" si="86"/>
        <v>-0.3168485838021402</v>
      </c>
    </row>
    <row r="243" spans="1:23" ht="20.100000000000001" customHeight="1" x14ac:dyDescent="0.25">
      <c r="B243" s="249">
        <v>42583</v>
      </c>
      <c r="C243" s="250">
        <v>2170.84</v>
      </c>
      <c r="D243" s="175">
        <f t="shared" si="71"/>
        <v>-1.2697828487301084E-3</v>
      </c>
      <c r="E243" s="251">
        <f t="shared" ref="E243" si="417">(C243-$C$2)/$C$2</f>
        <v>3.253362759460441E-2</v>
      </c>
      <c r="F243" s="252">
        <v>5184.1899999999996</v>
      </c>
      <c r="G243" s="175">
        <f t="shared" si="64"/>
        <v>4.2734297663947806E-3</v>
      </c>
      <c r="H243" s="253">
        <f t="shared" ref="H243" si="418">(F243-F$2)/F$2</f>
        <v>1.8164856531217428E-2</v>
      </c>
      <c r="I243" s="254">
        <v>345131.68</v>
      </c>
      <c r="J243" s="255">
        <v>400000</v>
      </c>
      <c r="K243" s="255">
        <f t="shared" ref="K243" si="419">I243-I242-J243+J242</f>
        <v>-7718.5100000000093</v>
      </c>
      <c r="L243" s="175">
        <f t="shared" si="246"/>
        <v>-2.1874750868066725E-2</v>
      </c>
      <c r="M243" s="256">
        <f t="shared" ref="M243" si="420">I243-J243</f>
        <v>-54868.320000000007</v>
      </c>
      <c r="N243" s="257">
        <f t="shared" ref="N243" si="421">M243/J243</f>
        <v>-0.13717080000000001</v>
      </c>
      <c r="O243" s="256" t="b">
        <f t="shared" ref="O243" si="422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23">I243-Q243</f>
        <v>51853.020000000019</v>
      </c>
      <c r="S243" s="255">
        <v>-69701</v>
      </c>
      <c r="T243" s="255">
        <f t="shared" ref="T243" si="424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  <c r="W243" s="256">
        <f t="shared" si="86"/>
        <v>-0.36881057696322023</v>
      </c>
    </row>
    <row r="244" spans="1:23" ht="20.100000000000001" customHeight="1" x14ac:dyDescent="0.25">
      <c r="B244" s="249">
        <v>42584</v>
      </c>
      <c r="C244" s="250">
        <v>2157.0300000000002</v>
      </c>
      <c r="D244" s="175">
        <f t="shared" si="71"/>
        <v>-6.3615927475078517E-3</v>
      </c>
      <c r="E244" s="251">
        <f t="shared" ref="E244" si="425">(C244-$C$2)/$C$2</f>
        <v>2.5965069157740599E-2</v>
      </c>
      <c r="F244" s="252">
        <v>5137.7299999999996</v>
      </c>
      <c r="G244" s="175">
        <f t="shared" si="64"/>
        <v>-8.9618628946855801E-3</v>
      </c>
      <c r="H244" s="253">
        <f t="shared" ref="H244" si="426">(F244-F$2)/F$2</f>
        <v>9.0402026827974442E-3</v>
      </c>
      <c r="I244" s="254">
        <v>341216.81</v>
      </c>
      <c r="J244" s="255">
        <v>400000</v>
      </c>
      <c r="K244" s="255">
        <f t="shared" ref="K244" si="427">I244-I243-J244+J243</f>
        <v>-3914.8699999999953</v>
      </c>
      <c r="L244" s="175">
        <f t="shared" si="246"/>
        <v>-1.1343119820237875E-2</v>
      </c>
      <c r="M244" s="256">
        <f t="shared" ref="M244" si="428">I244-J244</f>
        <v>-58783.19</v>
      </c>
      <c r="N244" s="257">
        <f t="shared" ref="N244" si="429">M244/J244</f>
        <v>-0.14695797500000002</v>
      </c>
      <c r="O244" s="256" t="b">
        <f t="shared" ref="O244" si="430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31">I244-Q244</f>
        <v>46282.960000000021</v>
      </c>
      <c r="S244" s="255">
        <v>-70463</v>
      </c>
      <c r="T244" s="255">
        <f t="shared" ref="T244" si="432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  <c r="W244" s="256">
        <f t="shared" si="86"/>
        <v>-0.39575366040362731</v>
      </c>
    </row>
    <row r="245" spans="1:23" ht="20.100000000000001" customHeight="1" x14ac:dyDescent="0.25">
      <c r="B245" s="249">
        <v>42585</v>
      </c>
      <c r="C245" s="250">
        <v>2163.79</v>
      </c>
      <c r="D245" s="175">
        <f t="shared" si="71"/>
        <v>3.1339387954732955E-3</v>
      </c>
      <c r="E245" s="251">
        <f t="shared" ref="E245" si="433">(C245-$C$2)/$C$2</f>
        <v>2.9180380890774484E-2</v>
      </c>
      <c r="F245" s="252">
        <v>5159.7299999999996</v>
      </c>
      <c r="G245" s="175">
        <f t="shared" si="64"/>
        <v>4.2820467404865578E-3</v>
      </c>
      <c r="H245" s="253">
        <f t="shared" ref="H245" si="434">(F245-F$2)/F$2</f>
        <v>1.3360959993715213E-2</v>
      </c>
      <c r="I245" s="254">
        <v>347416.57</v>
      </c>
      <c r="J245" s="255">
        <v>400000</v>
      </c>
      <c r="K245" s="255">
        <f t="shared" ref="K245" si="435">I245-I244-J245+J244</f>
        <v>6199.7600000000093</v>
      </c>
      <c r="L245" s="175">
        <f t="shared" si="246"/>
        <v>1.8169562044730473E-2</v>
      </c>
      <c r="M245" s="256">
        <f t="shared" ref="M245" si="436">I245-J245</f>
        <v>-52583.429999999993</v>
      </c>
      <c r="N245" s="257">
        <f t="shared" ref="N245" si="437">M245/J245</f>
        <v>-0.13145857499999999</v>
      </c>
      <c r="O245" s="256" t="b">
        <f t="shared" ref="O245" si="438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9">I245-Q245</f>
        <v>40930.960000000021</v>
      </c>
      <c r="S245" s="255">
        <v>-64757</v>
      </c>
      <c r="T245" s="255">
        <f t="shared" ref="T245" si="440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  <c r="W245" s="256">
        <f t="shared" si="86"/>
        <v>-0.35430648559671674</v>
      </c>
    </row>
    <row r="246" spans="1:23" ht="20.100000000000001" customHeight="1" x14ac:dyDescent="0.25">
      <c r="B246" s="249">
        <v>42586</v>
      </c>
      <c r="C246" s="250">
        <v>2164.25</v>
      </c>
      <c r="D246" s="175">
        <f t="shared" si="71"/>
        <v>2.1258994634416298E-4</v>
      </c>
      <c r="E246" s="251">
        <f t="shared" ref="E246" si="441">(C246-$C$2)/$C$2</f>
        <v>2.939917429272652E-2</v>
      </c>
      <c r="F246" s="252">
        <v>5166.24</v>
      </c>
      <c r="G246" s="175">
        <f t="shared" si="64"/>
        <v>1.2616939258449993E-3</v>
      </c>
      <c r="H246" s="253">
        <f t="shared" ref="H246" si="442">(F246-F$2)/F$2</f>
        <v>1.4639511361627741E-2</v>
      </c>
      <c r="I246" s="254">
        <v>348668.66</v>
      </c>
      <c r="J246" s="255">
        <v>400000</v>
      </c>
      <c r="K246" s="255">
        <f t="shared" ref="K246" si="443">I246-I245-J246+J245</f>
        <v>1252.0899999999674</v>
      </c>
      <c r="L246" s="175">
        <f t="shared" si="246"/>
        <v>3.6040019622551895E-3</v>
      </c>
      <c r="M246" s="256">
        <f t="shared" ref="M246" si="444">I246-J246</f>
        <v>-51331.340000000026</v>
      </c>
      <c r="N246" s="257">
        <f t="shared" ref="N246" si="445">M246/J246</f>
        <v>-0.12832835000000006</v>
      </c>
      <c r="O246" s="256" t="b">
        <f t="shared" ref="O246" si="446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7">I246-Q246</f>
        <v>42182.049999999988</v>
      </c>
      <c r="S246" s="255">
        <v>-64756</v>
      </c>
      <c r="T246" s="255">
        <f t="shared" ref="T246" si="448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  <c r="W246" s="256">
        <f t="shared" si="86"/>
        <v>-0.34656752172420313</v>
      </c>
    </row>
    <row r="247" spans="1:23" ht="20.100000000000001" customHeight="1" x14ac:dyDescent="0.25">
      <c r="B247" s="249">
        <v>42587</v>
      </c>
      <c r="C247" s="250">
        <v>2182.87</v>
      </c>
      <c r="D247" s="175">
        <f t="shared" si="71"/>
        <v>8.6034423010280196E-3</v>
      </c>
      <c r="E247" s="251">
        <f t="shared" ref="E247" si="449">(C247-$C$2)/$C$2</f>
        <v>3.8255550693479877E-2</v>
      </c>
      <c r="F247" s="252">
        <v>5221.12</v>
      </c>
      <c r="G247" s="175">
        <f t="shared" si="64"/>
        <v>1.0622812722599049E-2</v>
      </c>
      <c r="H247" s="253">
        <f t="shared" ref="H247" si="450">(F247-F$2)/F$2</f>
        <v>2.5417836871771723E-2</v>
      </c>
      <c r="I247" s="254">
        <v>357514.04</v>
      </c>
      <c r="J247" s="255">
        <v>400000</v>
      </c>
      <c r="K247" s="255">
        <f t="shared" ref="K247" si="451">I247-I246-J247+J246</f>
        <v>8845.3800000000047</v>
      </c>
      <c r="L247" s="175">
        <f t="shared" si="246"/>
        <v>2.5369013664721128E-2</v>
      </c>
      <c r="M247" s="256">
        <f t="shared" ref="M247" si="452">I247-J247</f>
        <v>-42485.960000000021</v>
      </c>
      <c r="N247" s="257">
        <f t="shared" ref="N247" si="453">M247/J247</f>
        <v>-0.10621490000000006</v>
      </c>
      <c r="O247" s="256" t="b">
        <f t="shared" ref="O247" si="454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5">I247-Q247</f>
        <v>61189.479999999981</v>
      </c>
      <c r="S247" s="255">
        <v>-56695</v>
      </c>
      <c r="T247" s="255">
        <f t="shared" ref="T247" si="456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  <c r="W247" s="256">
        <f t="shared" si="86"/>
        <v>-0.28674745953718778</v>
      </c>
    </row>
    <row r="248" spans="1:23" ht="20.100000000000001" customHeight="1" x14ac:dyDescent="0.25">
      <c r="B248" s="176">
        <v>42590</v>
      </c>
      <c r="C248" s="220">
        <v>2180.89</v>
      </c>
      <c r="D248" s="175">
        <f t="shared" si="71"/>
        <v>-9.0706272018032145E-4</v>
      </c>
      <c r="E248" s="214">
        <f t="shared" ref="E248" si="457">(C248-$C$2)/$C$2</f>
        <v>3.7313787789425533E-2</v>
      </c>
      <c r="F248" s="224">
        <v>5213.1400000000003</v>
      </c>
      <c r="G248" s="175">
        <f t="shared" si="64"/>
        <v>-1.528407697965104E-3</v>
      </c>
      <c r="H248" s="208">
        <f t="shared" ref="H248" si="458">(F248-F$2)/F$2</f>
        <v>2.3850580356266179E-2</v>
      </c>
      <c r="I248" s="226">
        <v>360717.48</v>
      </c>
      <c r="J248" s="177">
        <v>400000</v>
      </c>
      <c r="K248" s="177">
        <f t="shared" ref="K248" si="459">I248-I247-J248+J247</f>
        <v>3203.4400000000023</v>
      </c>
      <c r="L248" s="175">
        <f>K248/I247</f>
        <v>8.9603194324899878E-3</v>
      </c>
      <c r="M248" s="187">
        <f t="shared" ref="M248" si="460">I248-J248</f>
        <v>-39282.520000000019</v>
      </c>
      <c r="N248" s="189">
        <f t="shared" ref="N248" si="461">M248/J248</f>
        <v>-9.8206300000000052E-2</v>
      </c>
      <c r="O248" s="187" t="b">
        <f t="shared" ref="O248" si="462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63">I248-Q248</f>
        <v>54664.27999999997</v>
      </c>
      <c r="S248" s="177">
        <v>-53403</v>
      </c>
      <c r="T248" s="177">
        <f t="shared" ref="T248" si="464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  <c r="W248" s="187">
        <f t="shared" si="86"/>
        <v>-0.26559290860964568</v>
      </c>
    </row>
    <row r="249" spans="1:23" ht="20.100000000000001" customHeight="1" x14ac:dyDescent="0.25">
      <c r="B249" s="176">
        <v>42591</v>
      </c>
      <c r="C249" s="220">
        <v>2181.89</v>
      </c>
      <c r="D249" s="175">
        <f t="shared" si="71"/>
        <v>4.5852839895638939E-4</v>
      </c>
      <c r="E249" s="214">
        <f t="shared" ref="E249" si="465">(C249-$C$2)/$C$2</f>
        <v>3.7789425619756005E-2</v>
      </c>
      <c r="F249" s="224">
        <v>5214.1400000000003</v>
      </c>
      <c r="G249" s="175">
        <f t="shared" si="64"/>
        <v>1.9182297041706148E-4</v>
      </c>
      <c r="H249" s="208">
        <f t="shared" ref="H249" si="466">(F249-F$2)/F$2</f>
        <v>2.4046978415853352E-2</v>
      </c>
      <c r="I249" s="226">
        <v>360792.14</v>
      </c>
      <c r="J249" s="177">
        <v>400000</v>
      </c>
      <c r="K249" s="177">
        <f t="shared" ref="K249" si="467">I249-I248-J249+J248</f>
        <v>74.660000000032596</v>
      </c>
      <c r="L249" s="175">
        <f t="shared" ref="L249:L260" si="468">K249/I248</f>
        <v>2.0697638495376658E-4</v>
      </c>
      <c r="M249" s="187">
        <f t="shared" ref="M249" si="469">I249-J249</f>
        <v>-39207.859999999986</v>
      </c>
      <c r="N249" s="189">
        <f t="shared" ref="N249" si="470">M249/J249</f>
        <v>-9.8019649999999958E-2</v>
      </c>
      <c r="O249" s="187" t="b">
        <f t="shared" ref="O249" si="471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72">I249-Q249</f>
        <v>48306.48000000004</v>
      </c>
      <c r="S249" s="177">
        <v>-52872</v>
      </c>
      <c r="T249" s="177">
        <f t="shared" ref="T249" si="473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  <c r="W249" s="187">
        <f t="shared" si="86"/>
        <v>-0.26562857000260015</v>
      </c>
    </row>
    <row r="250" spans="1:23" ht="20.100000000000001" customHeight="1" x14ac:dyDescent="0.25">
      <c r="B250" s="176">
        <v>42592</v>
      </c>
      <c r="C250" s="220">
        <v>2175.4899999999998</v>
      </c>
      <c r="D250" s="175">
        <f t="shared" si="71"/>
        <v>-2.9332367809560022E-3</v>
      </c>
      <c r="E250" s="214">
        <f t="shared" ref="E250:E251" si="474">(C250-$C$2)/$C$2</f>
        <v>3.4745343505640937E-2</v>
      </c>
      <c r="F250" s="224">
        <v>5204.58</v>
      </c>
      <c r="G250" s="175">
        <f t="shared" si="64"/>
        <v>-1.8334758943949338E-3</v>
      </c>
      <c r="H250" s="208">
        <f t="shared" ref="H250:H251" si="475">(F250-F$2)/F$2</f>
        <v>2.2169412966199915E-2</v>
      </c>
      <c r="I250" s="226">
        <v>354430.79</v>
      </c>
      <c r="J250" s="177">
        <v>400000</v>
      </c>
      <c r="K250" s="177">
        <f t="shared" ref="K250" si="476">I250-I249-J250+J249</f>
        <v>-6361.3500000000349</v>
      </c>
      <c r="L250" s="175">
        <f t="shared" si="468"/>
        <v>-1.7631620245385709E-2</v>
      </c>
      <c r="M250" s="187">
        <f t="shared" ref="M250" si="477">I250-J250</f>
        <v>-45569.210000000021</v>
      </c>
      <c r="N250" s="189">
        <f t="shared" ref="N250" si="478">M250/J250</f>
        <v>-0.11392302500000005</v>
      </c>
      <c r="O250" s="187" t="b">
        <f t="shared" ref="O250" si="479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80">I250-Q250</f>
        <v>49786.25</v>
      </c>
      <c r="S250" s="177">
        <v>-58573</v>
      </c>
      <c r="T250" s="177">
        <f t="shared" ref="T250" si="481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  <c r="W250" s="187">
        <f t="shared" si="86"/>
        <v>-0.30898385407743301</v>
      </c>
    </row>
    <row r="251" spans="1:23" ht="20.100000000000001" customHeight="1" x14ac:dyDescent="0.25">
      <c r="A251" s="170" t="s">
        <v>298</v>
      </c>
      <c r="B251" s="249">
        <v>42597</v>
      </c>
      <c r="C251" s="250">
        <v>2190.15</v>
      </c>
      <c r="D251" s="175">
        <f t="shared" si="71"/>
        <v>6.7387117385050311E-3</v>
      </c>
      <c r="E251" s="251">
        <f t="shared" si="474"/>
        <v>4.1718194098285817E-2</v>
      </c>
      <c r="F251" s="252">
        <v>5262.01</v>
      </c>
      <c r="G251" s="175">
        <f t="shared" si="64"/>
        <v>1.1034511910663356E-2</v>
      </c>
      <c r="H251" s="253">
        <f t="shared" si="475"/>
        <v>3.3448553528291222E-2</v>
      </c>
      <c r="I251" s="254">
        <v>368660.8</v>
      </c>
      <c r="J251" s="255">
        <v>400000</v>
      </c>
      <c r="K251" s="255">
        <f t="shared" ref="K251" si="482">I251-I250-J251+J250</f>
        <v>14230.010000000009</v>
      </c>
      <c r="L251" s="175">
        <f t="shared" si="468"/>
        <v>4.0148910313350626E-2</v>
      </c>
      <c r="M251" s="256">
        <f t="shared" ref="M251" si="483">I251-J251</f>
        <v>-31339.200000000012</v>
      </c>
      <c r="N251" s="257">
        <f t="shared" ref="N251" si="484">M251/J251</f>
        <v>-7.8348000000000029E-2</v>
      </c>
      <c r="O251" s="256" t="b">
        <f t="shared" ref="O251" si="485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6">I251-Q251</f>
        <v>99156</v>
      </c>
      <c r="S251" s="255">
        <v>-45515</v>
      </c>
      <c r="T251" s="255">
        <f t="shared" ref="T251" si="487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  <c r="W251" s="256">
        <f t="shared" si="86"/>
        <v>-0.2116648310114819</v>
      </c>
    </row>
    <row r="252" spans="1:23" ht="20.100000000000001" customHeight="1" x14ac:dyDescent="0.25">
      <c r="B252" s="249">
        <v>42598</v>
      </c>
      <c r="C252" s="250">
        <v>2178.15</v>
      </c>
      <c r="D252" s="175">
        <f t="shared" si="71"/>
        <v>-5.479076775563317E-3</v>
      </c>
      <c r="E252" s="251">
        <f t="shared" ref="E252" si="488">(C252-$C$2)/$C$2</f>
        <v>3.6010540134320139E-2</v>
      </c>
      <c r="F252" s="252">
        <v>5227.1099999999997</v>
      </c>
      <c r="G252" s="175">
        <f t="shared" si="64"/>
        <v>-6.6324465365897338E-3</v>
      </c>
      <c r="H252" s="253">
        <f t="shared" ref="H252" si="489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90">I252-I251-J252+J251</f>
        <v>2262.390000000014</v>
      </c>
      <c r="L252" s="175">
        <f t="shared" si="468"/>
        <v>6.1367793917878281E-3</v>
      </c>
      <c r="M252" s="256">
        <f t="shared" ref="M252" si="491">I252-J252</f>
        <v>-29076.809999999998</v>
      </c>
      <c r="N252" s="257">
        <f t="shared" ref="N252" si="492">M252/J252</f>
        <v>-7.2692024999999993E-2</v>
      </c>
      <c r="O252" s="256" t="b">
        <f t="shared" ref="O252" si="493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  <c r="W252" s="256">
        <f t="shared" si="86"/>
        <v>-0.19675557364140292</v>
      </c>
    </row>
    <row r="253" spans="1:23" ht="20.100000000000001" customHeight="1" x14ac:dyDescent="0.25">
      <c r="B253" s="249">
        <v>42599</v>
      </c>
      <c r="C253" s="250">
        <v>2182.2199999999998</v>
      </c>
      <c r="D253" s="175">
        <f t="shared" si="71"/>
        <v>1.8685581801068378E-3</v>
      </c>
      <c r="E253" s="251">
        <f t="shared" ref="E253" si="494">(C253-$C$2)/$C$2</f>
        <v>3.794638610376503E-2</v>
      </c>
      <c r="F253" s="252">
        <v>5228.6499999999996</v>
      </c>
      <c r="G253" s="175">
        <f t="shared" si="64"/>
        <v>2.946178672344687E-4</v>
      </c>
      <c r="H253" s="253">
        <f t="shared" ref="H253" si="495">(F253-F$2)/F$2</f>
        <v>2.6896714260463073E-2</v>
      </c>
      <c r="I253" s="254">
        <v>375295.13</v>
      </c>
      <c r="J253" s="255">
        <v>400000</v>
      </c>
      <c r="K253" s="255">
        <f t="shared" ref="K253" si="496">I253-I252-J253+J252</f>
        <v>4371.9400000000023</v>
      </c>
      <c r="L253" s="175">
        <f t="shared" si="468"/>
        <v>1.1786645100296917E-2</v>
      </c>
      <c r="M253" s="256">
        <f t="shared" ref="M253" si="497">I253-J253</f>
        <v>-24704.869999999995</v>
      </c>
      <c r="N253" s="257">
        <f t="shared" ref="N253" si="498">M253/J253</f>
        <v>-6.1762174999999989E-2</v>
      </c>
      <c r="O253" s="256" t="b">
        <f t="shared" ref="O253" si="499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500">I253-Q253</f>
        <v>120001.53</v>
      </c>
      <c r="S253" s="255">
        <v>-39008</v>
      </c>
      <c r="T253" s="255">
        <f t="shared" ref="T253" si="501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  <c r="W253" s="256">
        <f t="shared" si="86"/>
        <v>-0.1674260897781206</v>
      </c>
    </row>
    <row r="254" spans="1:23" ht="20.100000000000001" customHeight="1" x14ac:dyDescent="0.25">
      <c r="B254" s="249">
        <v>42600</v>
      </c>
      <c r="C254" s="250">
        <v>2187.02</v>
      </c>
      <c r="D254" s="175">
        <f t="shared" si="71"/>
        <v>2.1995949079378716E-3</v>
      </c>
      <c r="E254" s="251">
        <f t="shared" ref="E254" si="502">(C254-$C$2)/$C$2</f>
        <v>4.0229447689351383E-2</v>
      </c>
      <c r="F254" s="252">
        <v>5240.1400000000003</v>
      </c>
      <c r="G254" s="175">
        <f t="shared" si="64"/>
        <v>2.1975079609460745E-3</v>
      </c>
      <c r="H254" s="253">
        <f t="shared" ref="H254" si="503">(F254-F$2)/F$2</f>
        <v>2.9153327965119807E-2</v>
      </c>
      <c r="I254" s="254">
        <v>382262.83</v>
      </c>
      <c r="J254" s="255">
        <v>400000</v>
      </c>
      <c r="K254" s="255">
        <f t="shared" ref="K254" si="504">I254-I253-J254+J253</f>
        <v>6967.7000000000116</v>
      </c>
      <c r="L254" s="175">
        <f t="shared" si="468"/>
        <v>1.8565921705405587E-2</v>
      </c>
      <c r="M254" s="256">
        <f t="shared" ref="M254:M259" si="505">I254-J254</f>
        <v>-17737.169999999984</v>
      </c>
      <c r="N254" s="257">
        <f t="shared" ref="N254" si="506">M254/J254</f>
        <v>-4.4342924999999957E-2</v>
      </c>
      <c r="O254" s="256" t="b">
        <f t="shared" ref="O254" si="507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8">I254-Q254</f>
        <v>147577.93000000002</v>
      </c>
      <c r="S254" s="255">
        <v>-32026</v>
      </c>
      <c r="T254" s="255">
        <f t="shared" ref="T254" si="509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  <c r="W254" s="256">
        <f t="shared" si="86"/>
        <v>-0.12029921565243348</v>
      </c>
    </row>
    <row r="255" spans="1:23" ht="20.100000000000001" customHeight="1" x14ac:dyDescent="0.25">
      <c r="B255" s="249">
        <v>42601</v>
      </c>
      <c r="C255" s="250">
        <v>2183.87</v>
      </c>
      <c r="D255" s="175">
        <f t="shared" si="71"/>
        <v>-1.4403160464925291E-3</v>
      </c>
      <c r="E255" s="251">
        <f t="shared" ref="E255" si="510">(C255-$C$2)/$C$2</f>
        <v>3.8731188523810349E-2</v>
      </c>
      <c r="F255" s="252">
        <v>5238.37</v>
      </c>
      <c r="G255" s="175">
        <f t="shared" si="64"/>
        <v>-3.377772349594546E-4</v>
      </c>
      <c r="H255" s="253">
        <f t="shared" ref="H255" si="511">(F255-F$2)/F$2</f>
        <v>2.8805703399650426E-2</v>
      </c>
      <c r="I255" s="254">
        <v>382810.75</v>
      </c>
      <c r="J255" s="255">
        <v>400000</v>
      </c>
      <c r="K255" s="255">
        <f t="shared" ref="K255" si="512">I255-I254-J255+J254</f>
        <v>547.9199999999837</v>
      </c>
      <c r="L255" s="175">
        <f t="shared" si="468"/>
        <v>1.4333593459766509E-3</v>
      </c>
      <c r="M255" s="256">
        <f t="shared" si="505"/>
        <v>-17189.25</v>
      </c>
      <c r="N255" s="257">
        <f t="shared" ref="N255" si="513">M255/J255</f>
        <v>-4.2973125000000001E-2</v>
      </c>
      <c r="O255" s="256" t="b">
        <f t="shared" ref="O255" si="514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5">I255-Q255</f>
        <v>149847.75</v>
      </c>
      <c r="S255" s="255">
        <v>-31491</v>
      </c>
      <c r="T255" s="255">
        <f t="shared" ref="T255" si="516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  <c r="W255" s="256">
        <f t="shared" si="86"/>
        <v>-0.11681464145353668</v>
      </c>
    </row>
    <row r="256" spans="1:23" ht="20.100000000000001" customHeight="1" x14ac:dyDescent="0.25">
      <c r="B256" s="176">
        <v>42604</v>
      </c>
      <c r="C256" s="220">
        <v>2182.64</v>
      </c>
      <c r="D256" s="175">
        <f t="shared" si="71"/>
        <v>-5.6322033820695291E-4</v>
      </c>
      <c r="E256" s="214">
        <f t="shared" ref="E256" si="517">(C256-$C$2)/$C$2</f>
        <v>3.8146153992503859E-2</v>
      </c>
      <c r="F256" s="224">
        <v>5244.6</v>
      </c>
      <c r="G256" s="175">
        <f t="shared" ref="G256:G261" si="518">(F256-F255)/F255</f>
        <v>1.1893012521071388E-3</v>
      </c>
      <c r="H256" s="208">
        <f t="shared" ref="H256" si="519">(F256-F$2)/F$2</f>
        <v>3.0029263310878598E-2</v>
      </c>
      <c r="I256" s="226">
        <v>377083.42</v>
      </c>
      <c r="J256" s="177">
        <v>400000</v>
      </c>
      <c r="K256" s="177">
        <f t="shared" ref="K256" si="520">I256-I255-J256+J255</f>
        <v>-5727.3300000000163</v>
      </c>
      <c r="L256" s="175">
        <f t="shared" si="468"/>
        <v>-1.4961256965746171E-2</v>
      </c>
      <c r="M256" s="187">
        <f t="shared" si="505"/>
        <v>-22916.580000000016</v>
      </c>
      <c r="N256" s="189">
        <f t="shared" ref="N256" si="521">M256/J256</f>
        <v>-5.7291450000000042E-2</v>
      </c>
      <c r="O256" s="187" t="b">
        <f t="shared" ref="O256" si="522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23">I256-Q256</f>
        <v>121841.31999999998</v>
      </c>
      <c r="S256" s="177">
        <v>-37372</v>
      </c>
      <c r="T256" s="177">
        <f t="shared" ref="T256" si="524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  <c r="W256" s="187">
        <f t="shared" si="86"/>
        <v>-0.15590870667841411</v>
      </c>
    </row>
    <row r="257" spans="2:23" ht="20.100000000000001" customHeight="1" x14ac:dyDescent="0.25">
      <c r="B257" s="176">
        <v>42605</v>
      </c>
      <c r="C257" s="220">
        <v>2186.9</v>
      </c>
      <c r="D257" s="175">
        <f t="shared" ref="D257:D261" si="525">(C257-C256)/C256</f>
        <v>1.951764835245491E-3</v>
      </c>
      <c r="E257" s="214">
        <f t="shared" ref="E257" si="526">(C257-$C$2)/$C$2</f>
        <v>4.0172371149711783E-2</v>
      </c>
      <c r="F257" s="224">
        <v>5260.07</v>
      </c>
      <c r="G257" s="175">
        <f t="shared" si="518"/>
        <v>2.9497006444722845E-3</v>
      </c>
      <c r="H257" s="208">
        <f t="shared" ref="H257" si="527">(F257-F$2)/F$2</f>
        <v>3.3067541292692008E-2</v>
      </c>
      <c r="I257" s="226">
        <v>383610.05</v>
      </c>
      <c r="J257" s="177">
        <v>400000</v>
      </c>
      <c r="K257" s="177">
        <f t="shared" ref="K257" si="528">I257-I256-J257+J256</f>
        <v>6526.6300000000047</v>
      </c>
      <c r="L257" s="175">
        <f t="shared" si="468"/>
        <v>1.7308186077234593E-2</v>
      </c>
      <c r="M257" s="187">
        <f t="shared" si="505"/>
        <v>-16389.950000000012</v>
      </c>
      <c r="N257" s="189">
        <f t="shared" ref="N257" si="529">M257/J257</f>
        <v>-4.0974875000000029E-2</v>
      </c>
      <c r="O257" s="187" t="b">
        <f t="shared" ref="O257" si="530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31">I257-Q257</f>
        <v>146280.65</v>
      </c>
      <c r="S257" s="177">
        <v>-30977</v>
      </c>
      <c r="T257" s="177">
        <f t="shared" ref="T257" si="532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  <c r="W257" s="187">
        <f t="shared" si="86"/>
        <v>-0.1116089786338815</v>
      </c>
    </row>
    <row r="258" spans="2:23" ht="20.100000000000001" customHeight="1" x14ac:dyDescent="0.25">
      <c r="B258" s="176">
        <v>42606</v>
      </c>
      <c r="C258" s="220">
        <v>2175.44</v>
      </c>
      <c r="D258" s="175">
        <f t="shared" si="525"/>
        <v>-5.2402944807718854E-3</v>
      </c>
      <c r="E258" s="214">
        <f t="shared" ref="E258" si="533">(C258-$C$2)/$C$2</f>
        <v>3.4721561614124541E-2</v>
      </c>
      <c r="F258" s="224">
        <v>5217.6899999999996</v>
      </c>
      <c r="G258" s="175">
        <f t="shared" si="518"/>
        <v>-8.0569269990703758E-3</v>
      </c>
      <c r="H258" s="208">
        <f t="shared" ref="H258" si="534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5">I258-I257-J258+J257</f>
        <v>-3601.7999999999884</v>
      </c>
      <c r="L258" s="175">
        <f t="shared" si="468"/>
        <v>-9.3892222062482156E-3</v>
      </c>
      <c r="M258" s="187">
        <f t="shared" si="505"/>
        <v>-19991.75</v>
      </c>
      <c r="N258" s="189">
        <f t="shared" ref="N258" si="536">M258/J258</f>
        <v>-4.9979374999999999E-2</v>
      </c>
      <c r="O258" s="187" t="b">
        <f t="shared" ref="O258" si="537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8">I258-Q258</f>
        <v>146290.45000000001</v>
      </c>
      <c r="S258" s="177">
        <v>-34657</v>
      </c>
      <c r="T258" s="177">
        <f t="shared" ref="T258" si="539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  <c r="W258" s="187">
        <f t="shared" si="86"/>
        <v>-0.13635496693319452</v>
      </c>
    </row>
    <row r="259" spans="2:23" ht="20.100000000000001" customHeight="1" x14ac:dyDescent="0.25">
      <c r="B259" s="176">
        <v>42607</v>
      </c>
      <c r="C259" s="220">
        <v>2172.4699999999998</v>
      </c>
      <c r="D259" s="175">
        <f t="shared" si="525"/>
        <v>-1.3652410546833075E-3</v>
      </c>
      <c r="E259" s="214">
        <f t="shared" ref="E259" si="540">(C259-$C$2)/$C$2</f>
        <v>3.3308917258042914E-2</v>
      </c>
      <c r="F259" s="224">
        <v>5212.2</v>
      </c>
      <c r="G259" s="175">
        <f t="shared" si="518"/>
        <v>-1.0521897621360759E-3</v>
      </c>
      <c r="H259" s="208">
        <f t="shared" ref="H259" si="541">(F259-F$2)/F$2</f>
        <v>2.3665966180254142E-2</v>
      </c>
      <c r="I259" s="226">
        <v>380752.59</v>
      </c>
      <c r="J259" s="177">
        <v>400000</v>
      </c>
      <c r="K259" s="177">
        <f t="shared" ref="K259" si="542">I259-I258-J259+J258</f>
        <v>744.34000000002561</v>
      </c>
      <c r="L259" s="175">
        <f t="shared" si="468"/>
        <v>1.9587469482571116E-3</v>
      </c>
      <c r="M259" s="187">
        <f t="shared" si="505"/>
        <v>-19247.409999999974</v>
      </c>
      <c r="N259" s="189">
        <f t="shared" ref="N259" si="543">M259/J259</f>
        <v>-4.8118524999999933E-2</v>
      </c>
      <c r="O259" s="187" t="b">
        <f t="shared" ref="O259" si="544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5">I259-Q259</f>
        <v>143453.21000000002</v>
      </c>
      <c r="S259" s="177">
        <v>-33721</v>
      </c>
      <c r="T259" s="177">
        <f t="shared" ref="T259" si="546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  <c r="W259" s="187">
        <f t="shared" ref="W259:W279" si="547">N259/V259</f>
        <v>-0.13153417652213611</v>
      </c>
    </row>
    <row r="260" spans="2:23" ht="20.100000000000001" customHeight="1" x14ac:dyDescent="0.25">
      <c r="B260" s="176">
        <v>42608</v>
      </c>
      <c r="C260" s="220">
        <v>2169.04</v>
      </c>
      <c r="D260" s="175">
        <f t="shared" si="525"/>
        <v>-1.578848039328431E-3</v>
      </c>
      <c r="E260" s="214">
        <f t="shared" ref="E260" si="548">(C260-$C$2)/$C$2</f>
        <v>3.1677479500009466E-2</v>
      </c>
      <c r="F260" s="224">
        <v>5218.91</v>
      </c>
      <c r="G260" s="175">
        <f t="shared" si="518"/>
        <v>1.2873642607728092E-3</v>
      </c>
      <c r="H260" s="208">
        <f t="shared" ref="H260" si="549">(F260-F$2)/F$2</f>
        <v>2.4983797160084066E-2</v>
      </c>
      <c r="I260" s="226">
        <v>381100.52</v>
      </c>
      <c r="J260" s="177">
        <v>400000</v>
      </c>
      <c r="K260" s="177">
        <f t="shared" ref="K260" si="550">I260-I259-J260+J259</f>
        <v>347.92999999999302</v>
      </c>
      <c r="L260" s="175">
        <f t="shared" si="468"/>
        <v>9.1379549118757934E-4</v>
      </c>
      <c r="M260" s="187">
        <f t="shared" ref="M260" si="551">I260-J260</f>
        <v>-18899.479999999981</v>
      </c>
      <c r="N260" s="189">
        <f t="shared" ref="N260" si="552">M260/J260</f>
        <v>-4.7248699999999956E-2</v>
      </c>
      <c r="O260" s="187" t="b">
        <f t="shared" ref="O260" si="553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54">I260-Q260</f>
        <v>122146.22000000003</v>
      </c>
      <c r="S260" s="177">
        <v>-33067</v>
      </c>
      <c r="T260" s="177">
        <f t="shared" ref="T260" si="555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  <c r="W260" s="187">
        <f t="shared" si="547"/>
        <v>-0.1294083738586233</v>
      </c>
    </row>
    <row r="261" spans="2:23" ht="20.100000000000001" customHeight="1" x14ac:dyDescent="0.25">
      <c r="B261" s="249">
        <v>42611</v>
      </c>
      <c r="C261" s="250">
        <v>2180.38</v>
      </c>
      <c r="D261" s="175">
        <f t="shared" si="525"/>
        <v>5.2281193523402731E-3</v>
      </c>
      <c r="E261" s="251">
        <f t="shared" ref="E261" si="556">(C261-$C$2)/$C$2</f>
        <v>3.7071212495957101E-2</v>
      </c>
      <c r="F261" s="252">
        <v>5232.32</v>
      </c>
      <c r="G261" s="175">
        <f t="shared" si="518"/>
        <v>2.569502060775115E-3</v>
      </c>
      <c r="H261" s="253">
        <f t="shared" ref="H261" si="557">(F261-F$2)/F$2</f>
        <v>2.7617495139148004E-2</v>
      </c>
      <c r="I261" s="254">
        <v>382828.93</v>
      </c>
      <c r="J261" s="255">
        <v>400000</v>
      </c>
      <c r="K261" s="255">
        <f t="shared" ref="K261" si="558">I261-I260-J261+J260</f>
        <v>1728.4099999999744</v>
      </c>
      <c r="L261" s="175">
        <f>K261/I260</f>
        <v>4.5353126256557569E-3</v>
      </c>
      <c r="M261" s="256">
        <f t="shared" ref="M261" si="559">I261-J261</f>
        <v>-17171.070000000007</v>
      </c>
      <c r="N261" s="257">
        <f t="shared" ref="N261" si="560">M261/J261</f>
        <v>-4.2927675000000019E-2</v>
      </c>
      <c r="O261" s="256" t="b">
        <f t="shared" ref="O261" si="561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62">I261-Q261</f>
        <v>122528.60999999999</v>
      </c>
      <c r="S261" s="255">
        <v>-31777</v>
      </c>
      <c r="T261" s="255">
        <f t="shared" ref="T261" si="563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  <c r="W261" s="256">
        <f t="shared" si="547"/>
        <v>-0.11779488492760141</v>
      </c>
    </row>
    <row r="262" spans="2:23" ht="20.100000000000001" customHeight="1" x14ac:dyDescent="0.25">
      <c r="B262" s="249">
        <v>42612</v>
      </c>
      <c r="C262" s="250">
        <v>2176.12</v>
      </c>
      <c r="D262" s="175">
        <f t="shared" ref="D262" si="564">(C262-C261)/C261</f>
        <v>-1.9537878718389537E-3</v>
      </c>
      <c r="E262" s="251">
        <f t="shared" ref="E262" si="565">(C262-$C$2)/$C$2</f>
        <v>3.5044995338749184E-2</v>
      </c>
      <c r="F262" s="252">
        <v>5222.9799999999996</v>
      </c>
      <c r="G262" s="175">
        <f t="shared" ref="G262" si="566">(F262-F261)/F261</f>
        <v>-1.7850590177971046E-3</v>
      </c>
      <c r="H262" s="253">
        <f t="shared" ref="H262" si="567">(F262-F$2)/F$2</f>
        <v>2.5783137262603797E-2</v>
      </c>
      <c r="I262" s="254">
        <v>379406.56</v>
      </c>
      <c r="J262" s="255">
        <v>400000</v>
      </c>
      <c r="K262" s="255">
        <f t="shared" ref="K262" si="568">I262-I261-J262+J261</f>
        <v>-3422.3699999999953</v>
      </c>
      <c r="L262" s="175">
        <f>K262/I261</f>
        <v>-8.9396848874508921E-3</v>
      </c>
      <c r="M262" s="256">
        <f t="shared" ref="M262" si="569">I262-J262</f>
        <v>-20593.440000000002</v>
      </c>
      <c r="N262" s="257">
        <f t="shared" ref="N262" si="570">M262/J262</f>
        <v>-5.1483600000000004E-2</v>
      </c>
      <c r="O262" s="256" t="b">
        <f t="shared" ref="O262" si="571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72">I262-Q262</f>
        <v>104437.60999999999</v>
      </c>
      <c r="S262" s="255">
        <v>-35414</v>
      </c>
      <c r="T262" s="255">
        <f t="shared" ref="T262" si="573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  <c r="W262" s="256">
        <f t="shared" si="547"/>
        <v>-0.14150042567609866</v>
      </c>
    </row>
    <row r="263" spans="2:23" ht="20.100000000000001" customHeight="1" x14ac:dyDescent="0.25">
      <c r="B263" s="249">
        <v>42613</v>
      </c>
      <c r="C263" s="250">
        <v>2170.94</v>
      </c>
      <c r="D263" s="175">
        <f t="shared" ref="D263" si="574">(C263-C262)/C262</f>
        <v>-2.3803834347369797E-3</v>
      </c>
      <c r="E263" s="251">
        <f t="shared" ref="E263" si="575">(C263-$C$2)/$C$2</f>
        <v>3.258119137763741E-2</v>
      </c>
      <c r="F263" s="252">
        <v>5213.22</v>
      </c>
      <c r="G263" s="175">
        <f t="shared" ref="G263:G270" si="576">(F263-F262)/F262</f>
        <v>-1.8686650149913094E-3</v>
      </c>
      <c r="H263" s="253">
        <f t="shared" ref="H263" si="577">(F263-F$2)/F$2</f>
        <v>2.3866292201033139E-2</v>
      </c>
      <c r="I263" s="508">
        <v>375078.22</v>
      </c>
      <c r="J263" s="255">
        <v>400000</v>
      </c>
      <c r="K263" s="255">
        <f t="shared" ref="K263" si="578">I263-I262-J263+J262</f>
        <v>-4328.3400000000256</v>
      </c>
      <c r="L263" s="175">
        <f>K263/I262</f>
        <v>-1.1408184402504863E-2</v>
      </c>
      <c r="M263" s="256">
        <f t="shared" ref="M263" si="579">I263-J263</f>
        <v>-24921.780000000028</v>
      </c>
      <c r="N263" s="257">
        <f t="shared" ref="N263" si="580">M263/J263</f>
        <v>-6.2304450000000067E-2</v>
      </c>
      <c r="O263" s="256" t="b">
        <f t="shared" ref="O263" si="581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82">I263-Q263</f>
        <v>89275.109999999986</v>
      </c>
      <c r="S263" s="255">
        <v>-39480</v>
      </c>
      <c r="T263" s="255">
        <f t="shared" ref="T263" si="583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  <c r="W263" s="256">
        <f t="shared" si="547"/>
        <v>-0.17148358703917072</v>
      </c>
    </row>
    <row r="264" spans="2:23" ht="20.100000000000001" customHeight="1" x14ac:dyDescent="0.25">
      <c r="B264" s="249">
        <v>42614</v>
      </c>
      <c r="C264" s="250">
        <v>2170.86</v>
      </c>
      <c r="D264" s="175">
        <f t="shared" ref="D264:D270" si="584">(C264-C263)/C263</f>
        <v>-3.6850396602359916E-5</v>
      </c>
      <c r="E264" s="251">
        <f t="shared" ref="E264" si="585">(C264-$C$2)/$C$2</f>
        <v>3.254314035121101E-2</v>
      </c>
      <c r="F264" s="252">
        <v>5227.2</v>
      </c>
      <c r="G264" s="175">
        <f t="shared" si="576"/>
        <v>2.6816439743574151E-3</v>
      </c>
      <c r="H264" s="253">
        <f t="shared" ref="H264" si="586">(F264-F$2)/F$2</f>
        <v>2.661193707406171E-2</v>
      </c>
      <c r="I264" s="254">
        <v>374158.47</v>
      </c>
      <c r="J264" s="255">
        <v>400000</v>
      </c>
      <c r="K264" s="255">
        <f t="shared" ref="K264" si="587">I264-I263-J264+J263</f>
        <v>-919.75</v>
      </c>
      <c r="L264" s="175">
        <f t="shared" ref="L264:L269" si="588">K264/I263</f>
        <v>-2.4521551797915646E-3</v>
      </c>
      <c r="M264" s="256">
        <f t="shared" ref="M264" si="589">I264-J264</f>
        <v>-25841.530000000028</v>
      </c>
      <c r="N264" s="257">
        <f t="shared" ref="N264" si="590">M264/J264</f>
        <v>-6.4603825000000073E-2</v>
      </c>
      <c r="O264" s="256" t="b">
        <f t="shared" ref="O264" si="591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92">I264-Q264</f>
        <v>89365.339999999967</v>
      </c>
      <c r="S264" s="255">
        <v>-40089</v>
      </c>
      <c r="T264" s="255">
        <f t="shared" ref="T264" si="593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  <c r="W264" s="256">
        <f t="shared" si="547"/>
        <v>-0.17814869949059492</v>
      </c>
    </row>
    <row r="265" spans="2:23" ht="20.100000000000001" customHeight="1" x14ac:dyDescent="0.25">
      <c r="B265" s="249">
        <v>42615</v>
      </c>
      <c r="C265" s="250">
        <v>2179.98</v>
      </c>
      <c r="D265" s="175">
        <f t="shared" si="584"/>
        <v>4.2011000248748835E-3</v>
      </c>
      <c r="E265" s="251">
        <f t="shared" ref="E265" si="594">(C265-$C$2)/$C$2</f>
        <v>3.6880957363824872E-2</v>
      </c>
      <c r="F265" s="252">
        <v>5249.89</v>
      </c>
      <c r="G265" s="175">
        <f t="shared" si="576"/>
        <v>4.3407560453015978E-3</v>
      </c>
      <c r="H265" s="253">
        <f t="shared" ref="H265" si="595">(F265-F$2)/F$2</f>
        <v>3.1068209046094725E-2</v>
      </c>
      <c r="I265" s="254">
        <v>379833.49</v>
      </c>
      <c r="J265" s="255">
        <v>400000</v>
      </c>
      <c r="K265" s="255">
        <f t="shared" ref="K265" si="596">I265-I264-J265+J264</f>
        <v>5675.0200000000186</v>
      </c>
      <c r="L265" s="175">
        <f t="shared" si="588"/>
        <v>1.5167423578570916E-2</v>
      </c>
      <c r="M265" s="256">
        <f t="shared" ref="M265" si="597">I265-J265</f>
        <v>-20166.510000000009</v>
      </c>
      <c r="N265" s="257">
        <f t="shared" ref="N265" si="598">M265/J265</f>
        <v>-5.0416275000000024E-2</v>
      </c>
      <c r="O265" s="256" t="b">
        <f t="shared" ref="O265" si="599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600">I265-Q265</f>
        <v>99917.919999999984</v>
      </c>
      <c r="S265" s="255">
        <v>-35299</v>
      </c>
      <c r="T265" s="255">
        <f t="shared" ref="T265" si="601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  <c r="W265" s="256">
        <f t="shared" si="547"/>
        <v>-0.13918023811748198</v>
      </c>
    </row>
    <row r="266" spans="2:23" ht="20.100000000000001" customHeight="1" x14ac:dyDescent="0.25">
      <c r="B266" s="176">
        <v>42619</v>
      </c>
      <c r="C266" s="220">
        <v>2186.48</v>
      </c>
      <c r="D266" s="175">
        <f t="shared" si="584"/>
        <v>2.9816787309975322E-3</v>
      </c>
      <c r="E266" s="214">
        <f t="shared" ref="E266" si="602">(C266-$C$2)/$C$2</f>
        <v>3.9972603260972947E-2</v>
      </c>
      <c r="F266" s="224">
        <v>5275.9</v>
      </c>
      <c r="G266" s="175">
        <f t="shared" si="576"/>
        <v>4.9543895205422031E-3</v>
      </c>
      <c r="H266" s="208">
        <f t="shared" ref="H266" si="603">(F266-F$2)/F$2</f>
        <v>3.6176522575956917E-2</v>
      </c>
      <c r="I266" s="226">
        <v>382927.8</v>
      </c>
      <c r="J266" s="177">
        <v>400000</v>
      </c>
      <c r="K266" s="177">
        <f t="shared" ref="K266" si="604">I266-I265-J266+J265</f>
        <v>3094.3099999999977</v>
      </c>
      <c r="L266" s="175">
        <f t="shared" si="588"/>
        <v>8.1464907162346265E-3</v>
      </c>
      <c r="M266" s="187">
        <f t="shared" ref="M266" si="605">I266-J266</f>
        <v>-17072.200000000012</v>
      </c>
      <c r="N266" s="189">
        <f t="shared" ref="N266" si="606">M266/J266</f>
        <v>-4.2680500000000031E-2</v>
      </c>
      <c r="O266" s="187" t="b">
        <f t="shared" ref="O266" si="607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8">I266-Q266</f>
        <v>94604.13</v>
      </c>
      <c r="S266" s="177">
        <v>-32869</v>
      </c>
      <c r="T266" s="177">
        <f t="shared" ref="T266" si="609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  <c r="W266" s="187">
        <f t="shared" si="547"/>
        <v>-0.11802358199088389</v>
      </c>
    </row>
    <row r="267" spans="2:23" ht="20.100000000000001" customHeight="1" x14ac:dyDescent="0.25">
      <c r="B267" s="176">
        <v>42620</v>
      </c>
      <c r="C267" s="220">
        <v>2186.16</v>
      </c>
      <c r="D267" s="175">
        <f t="shared" si="584"/>
        <v>-1.4635395704518849E-4</v>
      </c>
      <c r="E267" s="214">
        <f t="shared" ref="E267" si="610">(C267-$C$2)/$C$2</f>
        <v>3.9820399155267118E-2</v>
      </c>
      <c r="F267" s="224">
        <v>5283.92</v>
      </c>
      <c r="G267" s="175">
        <f t="shared" si="576"/>
        <v>1.5201197899885209E-3</v>
      </c>
      <c r="H267" s="208">
        <f t="shared" ref="H267" si="611">(F267-F$2)/F$2</f>
        <v>3.7751635013846117E-2</v>
      </c>
      <c r="I267" s="226">
        <v>386953.84</v>
      </c>
      <c r="J267" s="177">
        <v>400000</v>
      </c>
      <c r="K267" s="177">
        <f t="shared" ref="K267" si="612">I267-I266-J267+J266</f>
        <v>4026.0400000000373</v>
      </c>
      <c r="L267" s="175">
        <f t="shared" si="588"/>
        <v>1.0513835767473757E-2</v>
      </c>
      <c r="M267" s="187">
        <f t="shared" ref="M267" si="613">I267-J267</f>
        <v>-13046.159999999974</v>
      </c>
      <c r="N267" s="189">
        <f t="shared" ref="N267" si="614">M267/J267</f>
        <v>-3.2615399999999933E-2</v>
      </c>
      <c r="O267" s="187" t="b">
        <f t="shared" ref="O267" si="615">L267&gt;D267</f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ref="R267" si="616">I267-Q267</f>
        <v>116356.47000000003</v>
      </c>
      <c r="S267" s="177">
        <v>-29682</v>
      </c>
      <c r="T267" s="177">
        <f t="shared" ref="T267" si="617">M267-S267</f>
        <v>16635.840000000026</v>
      </c>
      <c r="U267" s="189">
        <f>STDEV(D$2:D267)*SQRT(252)</f>
        <v>0.16642379270655777</v>
      </c>
      <c r="V267" s="189">
        <f>STDEV(L$2:L267)*SQRT(252)</f>
        <v>0.3610748681776339</v>
      </c>
      <c r="W267" s="187">
        <f t="shared" si="547"/>
        <v>-9.0328635068432694E-2</v>
      </c>
    </row>
    <row r="268" spans="2:23" ht="20.100000000000001" customHeight="1" x14ac:dyDescent="0.25">
      <c r="B268" s="176">
        <v>42621</v>
      </c>
      <c r="C268" s="220">
        <v>2181.3000000000002</v>
      </c>
      <c r="D268" s="175">
        <f t="shared" si="584"/>
        <v>-2.2230760786034294E-3</v>
      </c>
      <c r="E268" s="214">
        <f t="shared" ref="E268" si="618">(C268-$C$2)/$C$2</f>
        <v>3.7508799299861173E-2</v>
      </c>
      <c r="F268" s="224">
        <v>5259.48</v>
      </c>
      <c r="G268" s="175">
        <f t="shared" si="576"/>
        <v>-4.6253539039199133E-3</v>
      </c>
      <c r="H268" s="208">
        <f t="shared" ref="H268" si="619">(F268-F$2)/F$2</f>
        <v>3.2951666437535547E-2</v>
      </c>
      <c r="I268" s="226">
        <v>397118.13</v>
      </c>
      <c r="J268" s="177">
        <v>400000</v>
      </c>
      <c r="K268" s="177">
        <f t="shared" ref="K268" si="620">I268-I267-J268+J267</f>
        <v>10164.289999999979</v>
      </c>
      <c r="L268" s="175">
        <f t="shared" si="588"/>
        <v>2.6267448334405929E-2</v>
      </c>
      <c r="M268" s="187">
        <f t="shared" ref="M268" si="621">I268-J268</f>
        <v>-2881.8699999999953</v>
      </c>
      <c r="N268" s="189">
        <f t="shared" ref="N268" si="622">M268/J268</f>
        <v>-7.2046749999999885E-3</v>
      </c>
      <c r="O268" s="187" t="b">
        <f t="shared" ref="O268" si="623">L268&gt;D268</f>
        <v>1</v>
      </c>
      <c r="P268" s="189">
        <f>COUNTIF(O$2:O268, TRUE)/(COUNTIF(O$2:O268,FALSE) + COUNTIF(O$2:O268, TRUE))</f>
        <v>0.50187265917602997</v>
      </c>
      <c r="Q268" s="177">
        <v>251179.7</v>
      </c>
      <c r="R268" s="177">
        <f t="shared" ref="R268" si="624">I268-Q268</f>
        <v>145938.43</v>
      </c>
      <c r="S268" s="177">
        <v>-22549</v>
      </c>
      <c r="T268" s="177">
        <f t="shared" ref="T268" si="625">M268-S268</f>
        <v>19667.130000000005</v>
      </c>
      <c r="U268" s="189">
        <f>STDEV(D$2:D268)*SQRT(252)</f>
        <v>0.16612626124990684</v>
      </c>
      <c r="V268" s="189">
        <f>STDEV(L$2:L268)*SQRT(252)</f>
        <v>0.36126574974857484</v>
      </c>
      <c r="W268" s="187">
        <f t="shared" si="547"/>
        <v>-1.9942867556678505E-2</v>
      </c>
    </row>
    <row r="269" spans="2:23" ht="20.100000000000001" customHeight="1" x14ac:dyDescent="0.25">
      <c r="B269" s="176">
        <v>42622</v>
      </c>
      <c r="C269" s="220">
        <v>2127.81</v>
      </c>
      <c r="D269" s="175">
        <f t="shared" si="584"/>
        <v>-2.4522073992573341E-2</v>
      </c>
      <c r="E269" s="214">
        <f t="shared" ref="E269" si="626">(C269-$C$2)/$C$2</f>
        <v>1.2066931755484052E-2</v>
      </c>
      <c r="F269" s="224">
        <v>5125.8999999999996</v>
      </c>
      <c r="G269" s="175">
        <f t="shared" si="576"/>
        <v>-2.5397948086122571E-2</v>
      </c>
      <c r="H269" s="208">
        <f t="shared" ref="H269" si="627">(F269-F$2)/F$2</f>
        <v>6.7168136378812221E-3</v>
      </c>
      <c r="I269" s="226">
        <v>386211.32</v>
      </c>
      <c r="J269" s="177">
        <v>400000</v>
      </c>
      <c r="K269" s="177">
        <f t="shared" ref="K269" si="628">I269-I268-J269+J268</f>
        <v>-10906.809999999998</v>
      </c>
      <c r="L269" s="175">
        <f t="shared" si="588"/>
        <v>-2.746490068333067E-2</v>
      </c>
      <c r="M269" s="187">
        <f t="shared" ref="M269" si="629">I269-J269</f>
        <v>-13788.679999999993</v>
      </c>
      <c r="N269" s="189">
        <f t="shared" ref="N269" si="630">M269/J269</f>
        <v>-3.447169999999998E-2</v>
      </c>
      <c r="O269" s="187" t="b">
        <f t="shared" ref="O269" si="631">L269&gt;D269</f>
        <v>0</v>
      </c>
      <c r="P269" s="189">
        <f>COUNTIF(O$2:O269, TRUE)/(COUNTIF(O$2:O269,FALSE) + COUNTIF(O$2:O269, TRUE))</f>
        <v>0.5</v>
      </c>
      <c r="Q269" s="177">
        <v>276342.96000000002</v>
      </c>
      <c r="R269" s="177">
        <f t="shared" ref="R269" si="632">I269-Q269</f>
        <v>109868.35999999999</v>
      </c>
      <c r="S269" s="177">
        <v>-29111</v>
      </c>
      <c r="T269" s="177">
        <f t="shared" ref="T269" si="633">M269-S269</f>
        <v>15322.320000000007</v>
      </c>
      <c r="U269" s="189">
        <f>STDEV(D$2:D269)*SQRT(252)</f>
        <v>0.1675431453543596</v>
      </c>
      <c r="V269" s="189">
        <f>STDEV(L$2:L269)*SQRT(252)</f>
        <v>0.36161388324136196</v>
      </c>
      <c r="W269" s="187">
        <f t="shared" si="547"/>
        <v>-9.5327368769720547E-2</v>
      </c>
    </row>
    <row r="270" spans="2:23" ht="20.100000000000001" customHeight="1" x14ac:dyDescent="0.25">
      <c r="B270" s="249">
        <v>42625</v>
      </c>
      <c r="C270" s="250">
        <v>2159.04</v>
      </c>
      <c r="D270" s="175">
        <f t="shared" si="584"/>
        <v>1.4677062331693158E-2</v>
      </c>
      <c r="E270" s="251">
        <f t="shared" ref="E270" si="634">(C270-$C$2)/$C$2</f>
        <v>2.6921101196704739E-2</v>
      </c>
      <c r="F270" s="252">
        <v>5211.88</v>
      </c>
      <c r="G270" s="175">
        <f t="shared" si="576"/>
        <v>1.6773639751068197E-2</v>
      </c>
      <c r="H270" s="253">
        <f t="shared" ref="H270" si="635">(F270-F$2)/F$2</f>
        <v>2.3603118801186301E-2</v>
      </c>
      <c r="I270" s="254">
        <v>387052.15</v>
      </c>
      <c r="J270" s="255">
        <v>400000</v>
      </c>
      <c r="K270" s="255">
        <f t="shared" ref="K270" si="636">I270-I269-J270+J269</f>
        <v>840.8300000000163</v>
      </c>
      <c r="L270" s="175">
        <f t="shared" ref="L270:L285" si="637">K270/I269</f>
        <v>2.1771241712956945E-3</v>
      </c>
      <c r="M270" s="256">
        <f t="shared" ref="M270" si="638">I270-J270</f>
        <v>-12947.849999999977</v>
      </c>
      <c r="N270" s="257">
        <f t="shared" ref="N270" si="639">M270/J270</f>
        <v>-3.2369624999999944E-2</v>
      </c>
      <c r="O270" s="256" t="b">
        <f t="shared" ref="O270" si="640">L270&gt;D270</f>
        <v>0</v>
      </c>
      <c r="P270" s="257">
        <f>COUNTIF(O$2:O270, TRUE)/(COUNTIF(O$2:O270,FALSE) + COUNTIF(O$2:O270, TRUE))</f>
        <v>0.49814126394052044</v>
      </c>
      <c r="Q270" s="255">
        <v>279690.06</v>
      </c>
      <c r="R270" s="255">
        <f t="shared" ref="R270" si="641">I270-Q270</f>
        <v>107362.09000000003</v>
      </c>
      <c r="S270" s="255">
        <v>-29688</v>
      </c>
      <c r="T270" s="255">
        <f t="shared" ref="T270" si="642">M270-S270</f>
        <v>16740.150000000023</v>
      </c>
      <c r="U270" s="257">
        <f>STDEV(D$2:D270)*SQRT(252)</f>
        <v>0.16782539199806834</v>
      </c>
      <c r="V270" s="257">
        <f>STDEV(L$2:L270)*SQRT(252)</f>
        <v>0.36093984423813291</v>
      </c>
      <c r="W270" s="256">
        <f t="shared" si="547"/>
        <v>-8.9681495453419177E-2</v>
      </c>
    </row>
    <row r="271" spans="2:23" ht="20.100000000000001" customHeight="1" x14ac:dyDescent="0.25">
      <c r="B271" s="249">
        <v>42626</v>
      </c>
      <c r="C271" s="250">
        <v>2127.02</v>
      </c>
      <c r="D271" s="175">
        <f t="shared" ref="D271" si="643">(C271-C270)/C270</f>
        <v>-1.483066548095449E-2</v>
      </c>
      <c r="E271" s="251">
        <f t="shared" ref="E271" si="644">(C271-$C$2)/$C$2</f>
        <v>1.1691177869522996E-2</v>
      </c>
      <c r="F271" s="252">
        <v>5155.25</v>
      </c>
      <c r="G271" s="175">
        <f t="shared" ref="G271" si="645">(F271-F270)/F270</f>
        <v>-1.0865560987589911E-2</v>
      </c>
      <c r="H271" s="253">
        <f t="shared" ref="H271" si="646">(F271-F$2)/F$2</f>
        <v>1.2481096686764771E-2</v>
      </c>
      <c r="I271" s="254">
        <v>374259.41</v>
      </c>
      <c r="J271" s="255">
        <v>400000</v>
      </c>
      <c r="K271" s="255">
        <f t="shared" ref="K271" si="647">I271-I270-J271+J270</f>
        <v>-12792.740000000049</v>
      </c>
      <c r="L271" s="175">
        <f t="shared" si="637"/>
        <v>-3.3051721841617594E-2</v>
      </c>
      <c r="M271" s="256">
        <f t="shared" ref="M271" si="648">I271-J271</f>
        <v>-25740.590000000026</v>
      </c>
      <c r="N271" s="257">
        <f t="shared" ref="N271" si="649">M271/J271</f>
        <v>-6.4351475000000061E-2</v>
      </c>
      <c r="O271" s="256" t="b">
        <f t="shared" ref="O271" si="650">L271&gt;D271</f>
        <v>0</v>
      </c>
      <c r="P271" s="257">
        <f>COUNTIF(O$2:O271, TRUE)/(COUNTIF(O$2:O271,FALSE) + COUNTIF(O$2:O271, TRUE))</f>
        <v>0.49629629629629629</v>
      </c>
      <c r="Q271" s="255">
        <v>294807.52</v>
      </c>
      <c r="R271" s="255">
        <f t="shared" ref="R271" si="651">I271-Q271</f>
        <v>79451.889999999956</v>
      </c>
      <c r="S271" s="255">
        <v>-40449</v>
      </c>
      <c r="T271" s="255">
        <f t="shared" ref="T271" si="652">M271-S271</f>
        <v>14708.409999999974</v>
      </c>
      <c r="U271" s="257">
        <f>STDEV(D$2:D271)*SQRT(252)</f>
        <v>0.16813876158922561</v>
      </c>
      <c r="V271" s="257">
        <f>STDEV(L$2:L271)*SQRT(252)</f>
        <v>0.36172480886226521</v>
      </c>
      <c r="W271" s="256">
        <f t="shared" si="547"/>
        <v>-0.17790174581169885</v>
      </c>
    </row>
    <row r="272" spans="2:23" ht="20.100000000000001" customHeight="1" x14ac:dyDescent="0.25">
      <c r="B272" s="249">
        <v>42627</v>
      </c>
      <c r="C272" s="250">
        <v>2125.77</v>
      </c>
      <c r="D272" s="175">
        <f t="shared" ref="D272" si="653">(C272-C271)/C271</f>
        <v>-5.8767665560267412E-4</v>
      </c>
      <c r="E272" s="251">
        <f t="shared" ref="E272" si="654">(C272-$C$2)/$C$2</f>
        <v>1.1096630581609904E-2</v>
      </c>
      <c r="F272" s="252">
        <v>5173.7700000000004</v>
      </c>
      <c r="G272" s="175">
        <f t="shared" ref="G272" si="655">(F272-F271)/F271</f>
        <v>3.5924542941662258E-3</v>
      </c>
      <c r="H272" s="253">
        <f t="shared" ref="H272" si="656">(F272-F$2)/F$2</f>
        <v>1.6118388750319269E-2</v>
      </c>
      <c r="I272" s="254">
        <v>370693.02</v>
      </c>
      <c r="J272" s="255">
        <v>400000</v>
      </c>
      <c r="K272" s="255">
        <f t="shared" ref="K272" si="657">I272-I271-J272+J271</f>
        <v>-3566.3899999999558</v>
      </c>
      <c r="L272" s="175">
        <f t="shared" si="637"/>
        <v>-9.5291925993255741E-3</v>
      </c>
      <c r="M272" s="256">
        <f t="shared" ref="M272" si="658">I272-J272</f>
        <v>-29306.979999999981</v>
      </c>
      <c r="N272" s="257">
        <f t="shared" ref="N272" si="659">M272/J272</f>
        <v>-7.3267449999999956E-2</v>
      </c>
      <c r="O272" s="256" t="b">
        <f t="shared" ref="O272" si="660">L272&gt;D272</f>
        <v>0</v>
      </c>
      <c r="P272" s="257">
        <f>COUNTIF(O$2:O272, TRUE)/(COUNTIF(O$2:O272,FALSE) + COUNTIF(O$2:O272, TRUE))</f>
        <v>0.49446494464944651</v>
      </c>
      <c r="Q272" s="255">
        <v>304166.43</v>
      </c>
      <c r="R272" s="255">
        <f t="shared" ref="R272" si="661">I272-Q272</f>
        <v>66526.590000000026</v>
      </c>
      <c r="S272" s="255">
        <v>-43966</v>
      </c>
      <c r="T272" s="255">
        <f t="shared" ref="T272" si="662">M272-S272</f>
        <v>14659.020000000019</v>
      </c>
      <c r="U272" s="257">
        <f>STDEV(D$2:D272)*SQRT(252)</f>
        <v>0.16782725694658282</v>
      </c>
      <c r="V272" s="257">
        <f>STDEV(L$2:L272)*SQRT(252)</f>
        <v>0.36117811757925894</v>
      </c>
      <c r="W272" s="256">
        <f t="shared" si="547"/>
        <v>-0.20285683554436748</v>
      </c>
    </row>
    <row r="273" spans="2:23" ht="20.100000000000001" customHeight="1" x14ac:dyDescent="0.25">
      <c r="B273" s="249">
        <v>42628</v>
      </c>
      <c r="C273" s="250">
        <v>2147.2600000000002</v>
      </c>
      <c r="D273" s="175">
        <f t="shared" ref="D273" si="663">(C273-C272)/C272</f>
        <v>1.0109278049836171E-2</v>
      </c>
      <c r="E273" s="251">
        <f t="shared" ref="E273" si="664">(C273-$C$2)/$C$2</f>
        <v>2.1318087555411886E-2</v>
      </c>
      <c r="F273" s="252">
        <v>5249.68</v>
      </c>
      <c r="G273" s="175">
        <f t="shared" ref="G273" si="665">(F273-F272)/F272</f>
        <v>1.4672086312302218E-2</v>
      </c>
      <c r="H273" s="253">
        <f t="shared" ref="H273" si="666">(F273-F$2)/F$2</f>
        <v>3.1026965453581412E-2</v>
      </c>
      <c r="I273" s="254">
        <v>375852.08</v>
      </c>
      <c r="J273" s="255">
        <v>400000</v>
      </c>
      <c r="K273" s="255">
        <f t="shared" ref="K273" si="667">I273-I272-J273+J272</f>
        <v>5159.0599999999977</v>
      </c>
      <c r="L273" s="175">
        <f t="shared" si="637"/>
        <v>1.3917337855457859E-2</v>
      </c>
      <c r="M273" s="256">
        <f t="shared" ref="M273" si="668">I273-J273</f>
        <v>-24147.919999999984</v>
      </c>
      <c r="N273" s="257">
        <f t="shared" ref="N273" si="669">M273/J273</f>
        <v>-6.036979999999996E-2</v>
      </c>
      <c r="O273" s="256" t="b">
        <f t="shared" ref="O273" si="670">L273&gt;D273</f>
        <v>1</v>
      </c>
      <c r="P273" s="257">
        <f>COUNTIF(O$2:O273, TRUE)/(COUNTIF(O$2:O273,FALSE) + COUNTIF(O$2:O273, TRUE))</f>
        <v>0.49632352941176472</v>
      </c>
      <c r="Q273" s="255">
        <v>309277.58</v>
      </c>
      <c r="R273" s="255">
        <f t="shared" ref="R273" si="671">I273-Q273</f>
        <v>66574.5</v>
      </c>
      <c r="S273" s="255">
        <v>-40569</v>
      </c>
      <c r="T273" s="255">
        <f t="shared" ref="T273" si="672">M273-S273</f>
        <v>16421.080000000016</v>
      </c>
      <c r="U273" s="257">
        <f>STDEV(D$2:D273)*SQRT(252)</f>
        <v>0.16779419960031708</v>
      </c>
      <c r="V273" s="257">
        <f>STDEV(L$2:L273)*SQRT(252)</f>
        <v>0.36074703023734866</v>
      </c>
      <c r="W273" s="256">
        <f t="shared" si="547"/>
        <v>-0.16734663057456206</v>
      </c>
    </row>
    <row r="274" spans="2:23" ht="20.100000000000001" customHeight="1" x14ac:dyDescent="0.25">
      <c r="B274" s="249">
        <v>42629</v>
      </c>
      <c r="C274" s="250">
        <v>2139.16</v>
      </c>
      <c r="D274" s="175">
        <f t="shared" ref="D274:D275" si="673">(C274-C273)/C273</f>
        <v>-3.7722492851356439E-3</v>
      </c>
      <c r="E274" s="251">
        <f t="shared" ref="E274" si="674">(C274-$C$2)/$C$2</f>
        <v>1.7465421129734877E-2</v>
      </c>
      <c r="F274" s="252">
        <v>5244.56</v>
      </c>
      <c r="G274" s="175">
        <f t="shared" ref="G274:G275" si="675">(F274-F273)/F273</f>
        <v>-9.7529754194539294E-4</v>
      </c>
      <c r="H274" s="253">
        <f t="shared" ref="H274" si="676">(F274-F$2)/F$2</f>
        <v>3.0021407388495118E-2</v>
      </c>
      <c r="I274" s="254">
        <v>375872.83</v>
      </c>
      <c r="J274" s="255">
        <v>400000</v>
      </c>
      <c r="K274" s="255">
        <f t="shared" ref="K274" si="677">I274-I273-J274+J273</f>
        <v>20.75</v>
      </c>
      <c r="L274" s="175">
        <f t="shared" si="637"/>
        <v>5.5207889231316743E-5</v>
      </c>
      <c r="M274" s="256">
        <f t="shared" ref="M274:M279" si="678">I274-J274</f>
        <v>-24127.169999999984</v>
      </c>
      <c r="N274" s="257">
        <f t="shared" ref="N274" si="679">M274/J274</f>
        <v>-6.031792499999996E-2</v>
      </c>
      <c r="O274" s="256" t="b">
        <f t="shared" ref="O274" si="680">L274&gt;D274</f>
        <v>1</v>
      </c>
      <c r="P274" s="257">
        <f>COUNTIF(O$2:O274, TRUE)/(COUNTIF(O$2:O274,FALSE) + COUNTIF(O$2:O274, TRUE))</f>
        <v>0.49816849816849818</v>
      </c>
      <c r="Q274" s="255">
        <v>307021.42</v>
      </c>
      <c r="R274" s="255">
        <f t="shared" ref="R274" si="681">I274-Q274</f>
        <v>68851.410000000033</v>
      </c>
      <c r="S274" s="255">
        <v>-40175</v>
      </c>
      <c r="T274" s="255">
        <f t="shared" ref="T274" si="682">M274-S274</f>
        <v>16047.830000000016</v>
      </c>
      <c r="U274" s="257">
        <f>STDEV(D$2:D274)*SQRT(252)</f>
        <v>0.16752651970065091</v>
      </c>
      <c r="V274" s="257">
        <f>STDEV(L$2:L274)*SQRT(252)</f>
        <v>0.36008095750354496</v>
      </c>
      <c r="W274" s="256">
        <f t="shared" si="547"/>
        <v>-0.16751212121348055</v>
      </c>
    </row>
    <row r="275" spans="2:23" ht="20.100000000000001" customHeight="1" x14ac:dyDescent="0.25">
      <c r="B275" s="176">
        <v>42632</v>
      </c>
      <c r="C275" s="220">
        <v>2139.12</v>
      </c>
      <c r="D275" s="175">
        <f t="shared" si="673"/>
        <v>-1.8698928551377E-5</v>
      </c>
      <c r="E275" s="214">
        <f t="shared" ref="E275" si="683">(C275-$C$2)/$C$2</f>
        <v>1.7446395616521677E-2</v>
      </c>
      <c r="F275" s="224">
        <v>5235.0200000000004</v>
      </c>
      <c r="G275" s="175">
        <f t="shared" si="675"/>
        <v>-1.8190277163384464E-3</v>
      </c>
      <c r="H275" s="208">
        <f t="shared" ref="H275" si="684">(F275-F$2)/F$2</f>
        <v>2.8147769900033509E-2</v>
      </c>
      <c r="I275" s="226">
        <v>373123.48</v>
      </c>
      <c r="J275" s="177">
        <v>400000</v>
      </c>
      <c r="K275" s="177">
        <f t="shared" ref="K275" si="685">I275-I274-J275+J274</f>
        <v>-2749.3500000000349</v>
      </c>
      <c r="L275" s="175">
        <f t="shared" si="637"/>
        <v>-7.3145749853747999E-3</v>
      </c>
      <c r="M275" s="187">
        <f t="shared" si="678"/>
        <v>-26876.520000000019</v>
      </c>
      <c r="N275" s="189">
        <f t="shared" ref="N275" si="686">M275/J275</f>
        <v>-6.7191300000000051E-2</v>
      </c>
      <c r="O275" s="187" t="b">
        <f t="shared" ref="O275" si="687">L275&gt;D275</f>
        <v>0</v>
      </c>
      <c r="P275" s="189">
        <f>COUNTIF(O$2:O275, TRUE)/(COUNTIF(O$2:O275,FALSE) + COUNTIF(O$2:O275, TRUE))</f>
        <v>0.49635036496350365</v>
      </c>
      <c r="Q275" s="177">
        <v>307089.07</v>
      </c>
      <c r="R275" s="177">
        <f t="shared" ref="R275" si="688">I275-Q275</f>
        <v>66034.409999999974</v>
      </c>
      <c r="S275" s="177">
        <v>-41834</v>
      </c>
      <c r="T275" s="177">
        <f t="shared" ref="T275" si="689">M275-S275</f>
        <v>14957.479999999981</v>
      </c>
      <c r="U275" s="189">
        <f>STDEV(D$2:D275)*SQRT(252)</f>
        <v>0.16721833549598966</v>
      </c>
      <c r="V275" s="189">
        <f>STDEV(L$2:L275)*SQRT(252)</f>
        <v>0.35949423119806312</v>
      </c>
      <c r="W275" s="187">
        <f t="shared" si="547"/>
        <v>-0.18690508544761888</v>
      </c>
    </row>
    <row r="276" spans="2:23" ht="20.100000000000001" customHeight="1" x14ac:dyDescent="0.25">
      <c r="B276" s="176">
        <v>42633</v>
      </c>
      <c r="C276" s="220">
        <v>2139.7600000000002</v>
      </c>
      <c r="D276" s="175">
        <f t="shared" ref="D276" si="690">(C276-C275)/C275</f>
        <v>2.991884513259319E-4</v>
      </c>
      <c r="E276" s="214">
        <f t="shared" ref="E276" si="691">(C276-$C$2)/$C$2</f>
        <v>1.7750803827933335E-2</v>
      </c>
      <c r="F276" s="224">
        <v>5241.3500000000004</v>
      </c>
      <c r="G276" s="175">
        <f t="shared" ref="G276:G280" si="692">(F276-F275)/F275</f>
        <v>1.2091644349018584E-3</v>
      </c>
      <c r="H276" s="208">
        <f t="shared" ref="H276" si="693">(F276-F$2)/F$2</f>
        <v>2.9390969617220292E-2</v>
      </c>
      <c r="I276" s="226">
        <v>372718.71</v>
      </c>
      <c r="J276" s="177">
        <v>400000</v>
      </c>
      <c r="K276" s="177">
        <f t="shared" ref="K276" si="694">I276-I275-J276+J275</f>
        <v>-404.76999999996042</v>
      </c>
      <c r="L276" s="175">
        <f t="shared" si="637"/>
        <v>-1.0848151394813332E-3</v>
      </c>
      <c r="M276" s="187">
        <f t="shared" si="678"/>
        <v>-27281.289999999979</v>
      </c>
      <c r="N276" s="189">
        <f t="shared" ref="N276" si="695">M276/J276</f>
        <v>-6.8203224999999951E-2</v>
      </c>
      <c r="O276" s="187" t="b">
        <f t="shared" ref="O276" si="696">L276&gt;D276</f>
        <v>0</v>
      </c>
      <c r="P276" s="189">
        <f>COUNTIF(O$2:O276, TRUE)/(COUNTIF(O$2:O276,FALSE) + COUNTIF(O$2:O276, TRUE))</f>
        <v>0.49454545454545457</v>
      </c>
      <c r="Q276" s="177">
        <v>311226.5</v>
      </c>
      <c r="R276" s="177">
        <f t="shared" ref="R276" si="697">I276-Q276</f>
        <v>61492.210000000021</v>
      </c>
      <c r="S276" s="177">
        <v>-42647</v>
      </c>
      <c r="T276" s="177">
        <f t="shared" ref="T276" si="698">M276-S276</f>
        <v>15365.710000000021</v>
      </c>
      <c r="U276" s="189">
        <f>STDEV(D$2:D276)*SQRT(252)</f>
        <v>0.16691188354135808</v>
      </c>
      <c r="V276" s="189">
        <f>STDEV(L$2:L276)*SQRT(252)</f>
        <v>0.35883781630276246</v>
      </c>
      <c r="W276" s="187">
        <f t="shared" si="547"/>
        <v>-0.19006699378210126</v>
      </c>
    </row>
    <row r="277" spans="2:23" ht="20.100000000000001" customHeight="1" x14ac:dyDescent="0.25">
      <c r="B277" s="176">
        <v>42634</v>
      </c>
      <c r="C277" s="220">
        <v>2163.12</v>
      </c>
      <c r="D277" s="175">
        <f t="shared" ref="D277:D280" si="699">(C277-C276)/C276</f>
        <v>1.0917112199498855E-2</v>
      </c>
      <c r="E277" s="214">
        <f t="shared" ref="E277:E278" si="700">(C277-$C$2)/$C$2</f>
        <v>2.8861703544453034E-2</v>
      </c>
      <c r="F277" s="224">
        <v>5295.18</v>
      </c>
      <c r="G277" s="175">
        <f t="shared" si="692"/>
        <v>1.0270254800766963E-2</v>
      </c>
      <c r="H277" s="208">
        <f t="shared" ref="H277:H278" si="701">(F277-F$2)/F$2</f>
        <v>3.9963077164797703E-2</v>
      </c>
      <c r="I277" s="226">
        <v>382463.62</v>
      </c>
      <c r="J277" s="177">
        <v>400000</v>
      </c>
      <c r="K277" s="177">
        <f t="shared" ref="K277" si="702">I277-I276-J277+J276</f>
        <v>9744.9099999999744</v>
      </c>
      <c r="L277" s="175">
        <f t="shared" si="637"/>
        <v>2.6145481132406726E-2</v>
      </c>
      <c r="M277" s="187">
        <f t="shared" si="678"/>
        <v>-17536.380000000005</v>
      </c>
      <c r="N277" s="189">
        <f t="shared" ref="N277" si="703">M277/J277</f>
        <v>-4.384095000000001E-2</v>
      </c>
      <c r="O277" s="187" t="b">
        <f t="shared" ref="O277" si="704">L277&gt;D277</f>
        <v>1</v>
      </c>
      <c r="P277" s="189">
        <f>COUNTIF(O$2:O277, TRUE)/(COUNTIF(O$2:O277,FALSE) + COUNTIF(O$2:O277, TRUE))</f>
        <v>0.49637681159420288</v>
      </c>
      <c r="Q277" s="177">
        <v>306380.55</v>
      </c>
      <c r="R277" s="177">
        <f t="shared" ref="R277" si="705">I277-Q277</f>
        <v>76083.070000000007</v>
      </c>
      <c r="S277" s="177">
        <v>-34503</v>
      </c>
      <c r="T277" s="177">
        <f t="shared" ref="T277" si="706">M277-S277</f>
        <v>16966.619999999995</v>
      </c>
      <c r="U277" s="189">
        <f>STDEV(D$2:D277)*SQRT(252)</f>
        <v>0.16692734623146724</v>
      </c>
      <c r="V277" s="189">
        <f>STDEV(L$2:L277)*SQRT(252)</f>
        <v>0.35903354110809649</v>
      </c>
      <c r="W277" s="187">
        <f t="shared" si="547"/>
        <v>-0.1221082294002179</v>
      </c>
    </row>
    <row r="278" spans="2:23" ht="20.100000000000001" customHeight="1" x14ac:dyDescent="0.25">
      <c r="B278" s="176">
        <v>42635</v>
      </c>
      <c r="C278" s="220">
        <v>2177.1799999999998</v>
      </c>
      <c r="D278" s="175">
        <f t="shared" si="699"/>
        <v>6.4998705573430723E-3</v>
      </c>
      <c r="E278" s="214">
        <f t="shared" si="700"/>
        <v>3.5549171438899463E-2</v>
      </c>
      <c r="F278" s="224">
        <v>5339.52</v>
      </c>
      <c r="G278" s="175">
        <f t="shared" si="692"/>
        <v>8.373653020293954E-3</v>
      </c>
      <c r="H278" s="208">
        <f t="shared" si="701"/>
        <v>4.8671367126892913E-2</v>
      </c>
      <c r="I278" s="226">
        <v>385198.84</v>
      </c>
      <c r="J278" s="177">
        <v>400000</v>
      </c>
      <c r="K278" s="177">
        <f t="shared" ref="K278" si="707">I278-I277-J278+J277</f>
        <v>2735.2200000000303</v>
      </c>
      <c r="L278" s="175">
        <f t="shared" si="637"/>
        <v>7.1515821557094246E-3</v>
      </c>
      <c r="M278" s="187">
        <f t="shared" si="678"/>
        <v>-14801.159999999974</v>
      </c>
      <c r="N278" s="189">
        <f t="shared" ref="N278" si="708">M278/J278</f>
        <v>-3.7002899999999936E-2</v>
      </c>
      <c r="O278" s="187" t="b">
        <f t="shared" ref="O278" si="709">L278&gt;D278</f>
        <v>1</v>
      </c>
      <c r="P278" s="189">
        <f>COUNTIF(O$2:O278, TRUE)/(COUNTIF(O$2:O278,FALSE) + COUNTIF(O$2:O278, TRUE))</f>
        <v>0.49819494584837543</v>
      </c>
      <c r="Q278" s="177">
        <v>301575.81</v>
      </c>
      <c r="R278" s="177">
        <f t="shared" ref="R278" si="710">I278-Q278</f>
        <v>83623.030000000028</v>
      </c>
      <c r="S278" s="177">
        <v>-32239</v>
      </c>
      <c r="T278" s="177">
        <f t="shared" ref="T278" si="711">M278-S278</f>
        <v>17437.840000000026</v>
      </c>
      <c r="U278" s="189">
        <f>STDEV(D$2:D278)*SQRT(252)</f>
        <v>0.16673370046778063</v>
      </c>
      <c r="V278" s="189">
        <f>STDEV(L$2:L278)*SQRT(252)</f>
        <v>0.35843771988043882</v>
      </c>
      <c r="W278" s="187">
        <f t="shared" si="547"/>
        <v>-0.10323383379501101</v>
      </c>
    </row>
    <row r="279" spans="2:23" ht="20.100000000000001" customHeight="1" x14ac:dyDescent="0.25">
      <c r="B279" s="176">
        <v>42636</v>
      </c>
      <c r="C279" s="220">
        <v>2164.69</v>
      </c>
      <c r="D279" s="175">
        <f t="shared" si="699"/>
        <v>-5.7367787688660478E-3</v>
      </c>
      <c r="E279" s="214">
        <f t="shared" ref="E279" si="712">(C279-$C$2)/$C$2</f>
        <v>2.9608454938071953E-2</v>
      </c>
      <c r="F279" s="224">
        <v>5305.74</v>
      </c>
      <c r="G279" s="175">
        <f t="shared" si="692"/>
        <v>-6.3264113628192517E-3</v>
      </c>
      <c r="H279" s="208">
        <f t="shared" ref="H279" si="713">(F279-F$2)/F$2</f>
        <v>4.2037040674038136E-2</v>
      </c>
      <c r="I279" s="226">
        <v>381118.05</v>
      </c>
      <c r="J279" s="177">
        <v>400000</v>
      </c>
      <c r="K279" s="177">
        <f t="shared" ref="K279" si="714">I279-I278-J279+J278</f>
        <v>-4080.7900000000373</v>
      </c>
      <c r="L279" s="175">
        <f t="shared" si="637"/>
        <v>-1.0593983097145456E-2</v>
      </c>
      <c r="M279" s="187">
        <f t="shared" si="678"/>
        <v>-18881.950000000012</v>
      </c>
      <c r="N279" s="189">
        <f t="shared" ref="N279" si="715">M279/J279</f>
        <v>-4.7204875000000028E-2</v>
      </c>
      <c r="O279" s="187" t="b">
        <f t="shared" ref="O279" si="716">L279&gt;D279</f>
        <v>0</v>
      </c>
      <c r="P279" s="189">
        <f>COUNTIF(O$2:O279, TRUE)/(COUNTIF(O$2:O279,FALSE) + COUNTIF(O$2:O279, TRUE))</f>
        <v>0.49640287769784175</v>
      </c>
      <c r="Q279" s="177">
        <v>300371.02</v>
      </c>
      <c r="R279" s="177">
        <f t="shared" ref="R279" si="717">I279-Q279</f>
        <v>80747.02999999997</v>
      </c>
      <c r="S279" s="177">
        <v>-36012</v>
      </c>
      <c r="T279" s="177">
        <f t="shared" ref="T279" si="718">M279-S279</f>
        <v>17130.049999999988</v>
      </c>
      <c r="U279" s="189">
        <f>STDEV(D$2:D279)*SQRT(252)</f>
        <v>0.16652707926624533</v>
      </c>
      <c r="V279" s="189">
        <f>STDEV(L$2:L279)*SQRT(252)</f>
        <v>0.35794291849606197</v>
      </c>
      <c r="W279" s="187">
        <f t="shared" si="547"/>
        <v>-0.13187822013168105</v>
      </c>
    </row>
    <row r="280" spans="2:23" ht="20.100000000000001" customHeight="1" x14ac:dyDescent="0.25">
      <c r="B280" s="249">
        <v>42639</v>
      </c>
      <c r="C280" s="341">
        <v>2146.1</v>
      </c>
      <c r="D280" s="175">
        <f t="shared" si="699"/>
        <v>-8.5878347477006609E-3</v>
      </c>
      <c r="E280" s="251">
        <f t="shared" ref="E280" si="719">(C280-$C$2)/$C$2</f>
        <v>2.0766347672228389E-2</v>
      </c>
      <c r="F280" s="252">
        <v>5257.49</v>
      </c>
      <c r="G280" s="175">
        <f t="shared" si="692"/>
        <v>-9.093924692879788E-3</v>
      </c>
      <c r="H280" s="253">
        <f t="shared" ref="H280" si="720">(F280-F$2)/F$2</f>
        <v>3.256083429895712E-2</v>
      </c>
      <c r="I280" s="254">
        <v>378419.42</v>
      </c>
      <c r="J280" s="255">
        <v>400000</v>
      </c>
      <c r="K280" s="255">
        <f t="shared" ref="K280" si="721">I280-I279-J280+J279</f>
        <v>-2698.6300000000047</v>
      </c>
      <c r="L280" s="175">
        <f t="shared" si="637"/>
        <v>-7.0808244322198982E-3</v>
      </c>
      <c r="M280" s="256">
        <f t="shared" ref="M280" si="722">I280-J280</f>
        <v>-21580.580000000016</v>
      </c>
      <c r="N280" s="257">
        <f t="shared" ref="N280" si="723">M280/J280</f>
        <v>-5.395145000000004E-2</v>
      </c>
      <c r="O280" s="256" t="b">
        <f t="shared" ref="O280" si="724">L280&gt;D280</f>
        <v>1</v>
      </c>
      <c r="P280" s="257">
        <f>COUNTIF(O$2:O280, TRUE)/(COUNTIF(O$2:O280,FALSE) + COUNTIF(O$2:O280, TRUE))</f>
        <v>0.49820788530465948</v>
      </c>
      <c r="Q280" s="255">
        <v>310812.53000000003</v>
      </c>
      <c r="R280" s="255">
        <f t="shared" ref="R280" si="725">I280-Q280</f>
        <v>67606.889999999956</v>
      </c>
      <c r="S280" s="255">
        <v>-37706</v>
      </c>
      <c r="T280" s="255">
        <f t="shared" ref="T280" si="726">M280-S280</f>
        <v>16125.419999999984</v>
      </c>
      <c r="U280" s="257">
        <f>STDEV(D$2:D280)*SQRT(252)</f>
        <v>0.1664347537339865</v>
      </c>
      <c r="V280" s="257">
        <f>STDEV(L$2:L280)*SQRT(252)</f>
        <v>0.35736746994840918</v>
      </c>
      <c r="W280" s="256">
        <f t="shared" ref="W280" si="727">N280/V280</f>
        <v>-0.15096911313105432</v>
      </c>
    </row>
    <row r="281" spans="2:23" ht="20.100000000000001" customHeight="1" x14ac:dyDescent="0.25">
      <c r="B281" s="249">
        <v>42640</v>
      </c>
      <c r="C281" s="341">
        <v>2159.9299999999998</v>
      </c>
      <c r="D281" s="175">
        <f t="shared" ref="D281:D282" si="728">(C281-C280)/C280</f>
        <v>6.4442477051395216E-3</v>
      </c>
      <c r="E281" s="251">
        <f t="shared" ref="E281:E282" si="729">(C281-$C$2)/$C$2</f>
        <v>2.7344418865698796E-2</v>
      </c>
      <c r="F281" s="252">
        <v>5305.71</v>
      </c>
      <c r="G281" s="175">
        <f t="shared" ref="G281:G285" si="730">(F281-F280)/F280</f>
        <v>9.1716769789386681E-3</v>
      </c>
      <c r="H281" s="253">
        <f t="shared" ref="H281:H282" si="731">(F281-F$2)/F$2</f>
        <v>4.203114873225057E-2</v>
      </c>
      <c r="I281" s="254">
        <v>375834.82</v>
      </c>
      <c r="J281" s="255">
        <v>400000</v>
      </c>
      <c r="K281" s="255">
        <f t="shared" ref="K281" si="732">I281-I280-J281+J280</f>
        <v>-2584.5999999999767</v>
      </c>
      <c r="L281" s="175">
        <f t="shared" si="637"/>
        <v>-6.8299877421723679E-3</v>
      </c>
      <c r="M281" s="256">
        <f t="shared" ref="M281" si="733">I281-J281</f>
        <v>-24165.179999999993</v>
      </c>
      <c r="N281" s="257">
        <f t="shared" ref="N281" si="734">M281/J281</f>
        <v>-6.0412949999999979E-2</v>
      </c>
      <c r="O281" s="256" t="b">
        <f t="shared" ref="O281" si="735">L281&gt;D281</f>
        <v>0</v>
      </c>
      <c r="P281" s="257">
        <f>COUNTIF(O$2:O281, TRUE)/(COUNTIF(O$2:O281,FALSE) + COUNTIF(O$2:O281, TRUE))</f>
        <v>0.49642857142857144</v>
      </c>
      <c r="Q281" s="255">
        <v>313206.95</v>
      </c>
      <c r="R281" s="255">
        <f t="shared" ref="R281" si="736">I281-Q281</f>
        <v>62627.869999999995</v>
      </c>
      <c r="S281" s="255">
        <v>-41827</v>
      </c>
      <c r="T281" s="255">
        <f t="shared" ref="T281" si="737">M281-S281</f>
        <v>17661.820000000007</v>
      </c>
      <c r="U281" s="257">
        <f>STDEV(D$2:D281)*SQRT(252)</f>
        <v>0.16624352629269787</v>
      </c>
      <c r="V281" s="257">
        <f>STDEV(L$2:L281)*SQRT(252)</f>
        <v>0.35679007137958157</v>
      </c>
      <c r="W281" s="256">
        <f t="shared" ref="W281" si="738">N281/V281</f>
        <v>-0.16932351779410335</v>
      </c>
    </row>
    <row r="282" spans="2:23" ht="20.100000000000001" customHeight="1" x14ac:dyDescent="0.25">
      <c r="B282" s="249">
        <v>42641</v>
      </c>
      <c r="C282" s="250">
        <v>2171.37</v>
      </c>
      <c r="D282" s="175">
        <f t="shared" si="728"/>
        <v>5.2964679410907088E-3</v>
      </c>
      <c r="E282" s="251">
        <f t="shared" si="729"/>
        <v>3.2785715644679435E-2</v>
      </c>
      <c r="F282" s="252">
        <v>5318.54</v>
      </c>
      <c r="G282" s="175">
        <f t="shared" si="730"/>
        <v>2.4181495030825145E-3</v>
      </c>
      <c r="H282" s="253">
        <f t="shared" si="731"/>
        <v>4.4550935836753965E-2</v>
      </c>
      <c r="I282" s="254">
        <v>385764.92</v>
      </c>
      <c r="J282" s="255">
        <v>400000</v>
      </c>
      <c r="K282" s="255">
        <f t="shared" ref="K282" si="739">I282-I281-J282+J281</f>
        <v>9930.0999999999767</v>
      </c>
      <c r="L282" s="175">
        <f t="shared" si="637"/>
        <v>2.6421447592322542E-2</v>
      </c>
      <c r="M282" s="256">
        <f t="shared" ref="M282" si="740">I282-J282</f>
        <v>-14235.080000000016</v>
      </c>
      <c r="N282" s="257">
        <f t="shared" ref="N282" si="741">M282/J282</f>
        <v>-3.5587700000000042E-2</v>
      </c>
      <c r="O282" s="256" t="b">
        <f t="shared" ref="O282" si="742">L282&gt;D282</f>
        <v>1</v>
      </c>
      <c r="P282" s="257">
        <f>COUNTIF(O$2:O282, TRUE)/(COUNTIF(O$2:O282,FALSE) + COUNTIF(O$2:O282, TRUE))</f>
        <v>0.49822064056939502</v>
      </c>
      <c r="Q282" s="255">
        <v>304000.24</v>
      </c>
      <c r="R282" s="255">
        <f t="shared" ref="R282" si="743">I282-Q282</f>
        <v>81764.679999999993</v>
      </c>
      <c r="S282" s="255">
        <v>-31374</v>
      </c>
      <c r="T282" s="255">
        <f t="shared" ref="T282" si="744">M282-S282</f>
        <v>17138.919999999984</v>
      </c>
      <c r="U282" s="257">
        <f>STDEV(D$2:D282)*SQRT(252)</f>
        <v>0.16601709899528619</v>
      </c>
      <c r="V282" s="257">
        <f>STDEV(L$2:L282)*SQRT(252)</f>
        <v>0.35700717953973932</v>
      </c>
      <c r="W282" s="256">
        <f t="shared" ref="W282" si="745">N282/V282</f>
        <v>-9.9683429464585013E-2</v>
      </c>
    </row>
    <row r="283" spans="2:23" ht="20.100000000000001" customHeight="1" x14ac:dyDescent="0.25">
      <c r="B283" s="249">
        <v>42642</v>
      </c>
      <c r="C283" s="250">
        <v>2151.13</v>
      </c>
      <c r="D283" s="175">
        <f t="shared" ref="D283:D285" si="746">(C283-C282)/C282</f>
        <v>-9.3213040614910318E-3</v>
      </c>
      <c r="E283" s="251">
        <f t="shared" ref="E283" si="747">(C283-$C$2)/$C$2</f>
        <v>2.3158805958790763E-2</v>
      </c>
      <c r="F283" s="252">
        <v>5269.15</v>
      </c>
      <c r="G283" s="175">
        <f t="shared" si="730"/>
        <v>-9.286383105137937E-3</v>
      </c>
      <c r="H283" s="253">
        <f t="shared" ref="H283" si="748">(F283-F$2)/F$2</f>
        <v>3.4850835673743509E-2</v>
      </c>
      <c r="I283" s="254">
        <v>389483.35</v>
      </c>
      <c r="J283" s="255">
        <v>400000</v>
      </c>
      <c r="K283" s="255">
        <f t="shared" ref="K283" si="749">I283-I282-J283+J282</f>
        <v>3718.429999999993</v>
      </c>
      <c r="L283" s="175">
        <f t="shared" si="637"/>
        <v>9.6391087090033824E-3</v>
      </c>
      <c r="M283" s="256">
        <f t="shared" ref="M283" si="750">I283-J283</f>
        <v>-10516.650000000023</v>
      </c>
      <c r="N283" s="257">
        <f>M283/J283</f>
        <v>-2.6291625000000058E-2</v>
      </c>
      <c r="O283" s="256" t="b">
        <f t="shared" ref="O283" si="751">L283&gt;D283</f>
        <v>1</v>
      </c>
      <c r="P283" s="257">
        <f>COUNTIF(O$2:O283, TRUE)/(COUNTIF(O$2:O283,FALSE) + COUNTIF(O$2:O283, TRUE))</f>
        <v>0.5</v>
      </c>
      <c r="Q283" s="255">
        <v>298931.3</v>
      </c>
      <c r="R283" s="255">
        <f t="shared" ref="R283" si="752">I283-Q283</f>
        <v>90552.049999999988</v>
      </c>
      <c r="S283" s="255">
        <v>-27372</v>
      </c>
      <c r="T283" s="255">
        <f t="shared" ref="T283" si="753">M283-S283</f>
        <v>16855.349999999977</v>
      </c>
      <c r="U283" s="257">
        <f>STDEV(D$2:D283)*SQRT(252)</f>
        <v>0.16596393387436578</v>
      </c>
      <c r="V283" s="257">
        <f>STDEV(L$2:L283)*SQRT(252)</f>
        <v>0.35647523622237404</v>
      </c>
      <c r="W283" s="256">
        <f t="shared" ref="W283" si="754">N283/V283</f>
        <v>-7.3754421986269442E-2</v>
      </c>
    </row>
    <row r="284" spans="2:23" ht="20.100000000000001" customHeight="1" x14ac:dyDescent="0.25">
      <c r="B284" s="249">
        <v>42643</v>
      </c>
      <c r="C284" s="250">
        <v>2168.27</v>
      </c>
      <c r="D284" s="175">
        <f t="shared" si="746"/>
        <v>7.9679052405014442E-3</v>
      </c>
      <c r="E284" s="251">
        <f t="shared" ref="E284" si="755">(C284-$C$2)/$C$2</f>
        <v>3.1311238370655012E-2</v>
      </c>
      <c r="F284" s="252">
        <v>5312</v>
      </c>
      <c r="G284" s="175">
        <f t="shared" si="730"/>
        <v>8.1322414431170813E-3</v>
      </c>
      <c r="H284" s="253">
        <f t="shared" ref="H284" si="756">(F284-F$2)/F$2</f>
        <v>4.3266492527053869E-2</v>
      </c>
      <c r="I284" s="508">
        <v>389657.79</v>
      </c>
      <c r="J284" s="255">
        <v>400000</v>
      </c>
      <c r="K284" s="255">
        <f t="shared" ref="K284" si="757">I284-I283-J284+J283</f>
        <v>174.44000000000233</v>
      </c>
      <c r="L284" s="175">
        <f t="shared" si="637"/>
        <v>4.478753713092032E-4</v>
      </c>
      <c r="M284" s="256">
        <f t="shared" ref="M284" si="758">I284-J284</f>
        <v>-10342.210000000021</v>
      </c>
      <c r="N284" s="257">
        <f t="shared" ref="N284" si="759">M284/J284</f>
        <v>-2.5855525000000053E-2</v>
      </c>
      <c r="O284" s="256" t="b">
        <f t="shared" ref="O284" si="760">L284&gt;D284</f>
        <v>0</v>
      </c>
      <c r="P284" s="257">
        <f>COUNTIF(O$2:O284, TRUE)/(COUNTIF(O$2:O284,FALSE) + COUNTIF(O$2:O284, TRUE))</f>
        <v>0.49823321554770317</v>
      </c>
      <c r="Q284" s="255">
        <v>303944.73</v>
      </c>
      <c r="R284" s="255">
        <f t="shared" ref="R284" si="761">I284-Q284</f>
        <v>85713.06</v>
      </c>
      <c r="S284" s="255">
        <v>-28150</v>
      </c>
      <c r="T284" s="255">
        <f t="shared" ref="T284" si="762">M284-S284</f>
        <v>17807.789999999979</v>
      </c>
      <c r="U284" s="257">
        <f>STDEV(D$2:D284)*SQRT(252)</f>
        <v>0.16583370781569123</v>
      </c>
      <c r="V284" s="257">
        <f>STDEV(L$2:L284)*SQRT(252)</f>
        <v>0.35584037520231043</v>
      </c>
      <c r="W284" s="256">
        <f t="shared" ref="W284" si="763">N284/V284</f>
        <v>-7.2660459019862719E-2</v>
      </c>
    </row>
    <row r="285" spans="2:23" ht="20.100000000000001" customHeight="1" x14ac:dyDescent="0.25">
      <c r="B285" s="176">
        <v>42646</v>
      </c>
      <c r="C285" s="220">
        <v>2161.1999999999998</v>
      </c>
      <c r="D285" s="175">
        <f t="shared" si="746"/>
        <v>-3.2606640316935453E-3</v>
      </c>
      <c r="E285" s="214">
        <f t="shared" ref="E285" si="764">(C285-$C$2)/$C$2</f>
        <v>2.794847891021849E-2</v>
      </c>
      <c r="F285" s="224">
        <v>5300.87</v>
      </c>
      <c r="G285" s="175">
        <f t="shared" si="730"/>
        <v>-2.0952560240964061E-3</v>
      </c>
      <c r="H285" s="208">
        <f t="shared" ref="H285" si="765">(F285-F$2)/F$2</f>
        <v>4.108058212384863E-2</v>
      </c>
      <c r="I285" s="226">
        <v>389787.58</v>
      </c>
      <c r="J285" s="177">
        <v>400000</v>
      </c>
      <c r="K285" s="177">
        <f t="shared" ref="K285" si="766">I285-I284-J285+J284</f>
        <v>129.79000000003725</v>
      </c>
      <c r="L285" s="175">
        <f t="shared" si="637"/>
        <v>3.3308714295186365E-4</v>
      </c>
      <c r="M285" s="187">
        <f t="shared" ref="M285" si="767">I285-J285</f>
        <v>-10212.419999999984</v>
      </c>
      <c r="N285" s="189">
        <f t="shared" ref="N285" si="768">M285/J285</f>
        <v>-2.5531049999999958E-2</v>
      </c>
      <c r="O285" s="187" t="b">
        <f t="shared" ref="O285" si="769">L285&gt;D285</f>
        <v>1</v>
      </c>
      <c r="P285" s="189">
        <f>COUNTIF(O$2:O285, TRUE)/(COUNTIF(O$2:O285,FALSE) + COUNTIF(O$2:O285, TRUE))</f>
        <v>0.5</v>
      </c>
      <c r="Q285" s="177">
        <v>316431.14</v>
      </c>
      <c r="R285" s="177">
        <f t="shared" ref="R285" si="770">I285-Q285</f>
        <v>73356.44</v>
      </c>
      <c r="S285" s="177">
        <v>-28447</v>
      </c>
      <c r="T285" s="177">
        <f t="shared" ref="T285" si="771">M285-S285</f>
        <v>18234.580000000016</v>
      </c>
      <c r="U285" s="189">
        <f>STDEV(D$2:D285)*SQRT(252)</f>
        <v>0.16557095301003413</v>
      </c>
      <c r="V285" s="189">
        <f>STDEV(L$2:L285)*SQRT(252)</f>
        <v>0.35520892170812252</v>
      </c>
      <c r="W285" s="187">
        <f t="shared" ref="W285" si="772">N285/V285</f>
        <v>-7.1876150737505931E-2</v>
      </c>
    </row>
    <row r="286" spans="2:23" ht="20.100000000000001" customHeight="1" x14ac:dyDescent="0.25">
      <c r="B286" s="176">
        <v>42647</v>
      </c>
      <c r="C286" s="220">
        <v>2150.4899999999998</v>
      </c>
      <c r="D286" s="175">
        <f t="shared" ref="D286:D295" si="773">(C286-C285)/C285</f>
        <v>-4.9555802332037933E-3</v>
      </c>
      <c r="E286" s="214">
        <f t="shared" ref="E286" si="774">(C286-$C$2)/$C$2</f>
        <v>2.2854397747379105E-2</v>
      </c>
      <c r="F286" s="224">
        <v>5289.65</v>
      </c>
      <c r="G286" s="175">
        <f t="shared" ref="G286:G292" si="775">(F286-F285)/F285</f>
        <v>-2.1166336846593589E-3</v>
      </c>
      <c r="H286" s="208">
        <f t="shared" ref="H286" si="776">(F286-F$2)/F$2</f>
        <v>3.8876995895280521E-2</v>
      </c>
      <c r="I286" s="226">
        <v>385233.03</v>
      </c>
      <c r="J286" s="177">
        <v>400000</v>
      </c>
      <c r="K286" s="177">
        <f t="shared" ref="K286" si="777">I286-I285-J286+J285</f>
        <v>-4554.5499999999884</v>
      </c>
      <c r="L286" s="175">
        <f t="shared" ref="L286:L295" si="778">K286/I285</f>
        <v>-1.1684697598625355E-2</v>
      </c>
      <c r="M286" s="187">
        <f t="shared" ref="M286" si="779">I286-J286</f>
        <v>-14766.969999999972</v>
      </c>
      <c r="N286" s="189">
        <f t="shared" ref="N286" si="780">M286/J286</f>
        <v>-3.6917424999999927E-2</v>
      </c>
      <c r="O286" s="187" t="b">
        <f t="shared" ref="O286" si="781">L286&gt;D286</f>
        <v>0</v>
      </c>
      <c r="P286" s="189">
        <f>COUNTIF(O$2:O286, TRUE)/(COUNTIF(O$2:O286,FALSE) + COUNTIF(O$2:O286, TRUE))</f>
        <v>0.49824561403508771</v>
      </c>
      <c r="Q286" s="177">
        <v>337102.39</v>
      </c>
      <c r="R286" s="177">
        <f t="shared" ref="R286" si="782">I286-Q286</f>
        <v>48130.640000000014</v>
      </c>
      <c r="S286" s="177">
        <v>-32163</v>
      </c>
      <c r="T286" s="177">
        <f t="shared" ref="T286" si="783">M286-S286</f>
        <v>17396.030000000028</v>
      </c>
      <c r="U286" s="189">
        <f>STDEV(D$2:D286)*SQRT(252)</f>
        <v>0.16534817054416481</v>
      </c>
      <c r="V286" s="189">
        <f>STDEV(L$2:L286)*SQRT(252)</f>
        <v>0.35476607688224249</v>
      </c>
      <c r="W286" s="187">
        <f t="shared" ref="W286" si="784">N286/V286</f>
        <v>-0.10406131647207613</v>
      </c>
    </row>
    <row r="287" spans="2:23" ht="20.100000000000001" customHeight="1" x14ac:dyDescent="0.25">
      <c r="B287" s="176">
        <v>42648</v>
      </c>
      <c r="C287" s="220">
        <v>2159.73</v>
      </c>
      <c r="D287" s="175">
        <f t="shared" si="773"/>
        <v>4.2966951717981657E-3</v>
      </c>
      <c r="E287" s="214">
        <f t="shared" ref="E287" si="785">(C287-$C$2)/$C$2</f>
        <v>2.7249291299632789E-2</v>
      </c>
      <c r="F287" s="224">
        <v>5316.02</v>
      </c>
      <c r="G287" s="175">
        <f t="shared" si="775"/>
        <v>4.9852069607631512E-3</v>
      </c>
      <c r="H287" s="208">
        <f t="shared" ref="H287" si="786">(F287-F$2)/F$2</f>
        <v>4.4056012726594387E-2</v>
      </c>
      <c r="I287" s="226">
        <v>390592.54</v>
      </c>
      <c r="J287" s="177">
        <v>400000</v>
      </c>
      <c r="K287" s="177">
        <f t="shared" ref="K287" si="787">I287-I286-J287+J286</f>
        <v>5359.5099999999511</v>
      </c>
      <c r="L287" s="175">
        <f t="shared" si="778"/>
        <v>1.3912384407951599E-2</v>
      </c>
      <c r="M287" s="187">
        <f t="shared" ref="M287" si="788">I287-J287</f>
        <v>-9407.460000000021</v>
      </c>
      <c r="N287" s="189">
        <f t="shared" ref="N287" si="789">M287/J287</f>
        <v>-2.3518650000000054E-2</v>
      </c>
      <c r="O287" s="187" t="b">
        <f t="shared" ref="O287" si="790">L287&gt;D287</f>
        <v>1</v>
      </c>
      <c r="P287" s="189">
        <f>COUNTIF(O$2:O287, TRUE)/(COUNTIF(O$2:O287,FALSE) + COUNTIF(O$2:O287, TRUE))</f>
        <v>0.5</v>
      </c>
      <c r="Q287" s="177">
        <v>313332.61</v>
      </c>
      <c r="R287" s="177">
        <f t="shared" ref="R287" si="791">I287-Q287</f>
        <v>77259.929999999993</v>
      </c>
      <c r="S287" s="177">
        <v>-29624</v>
      </c>
      <c r="T287" s="177">
        <f t="shared" ref="T287" si="792">M287-S287</f>
        <v>20216.539999999979</v>
      </c>
      <c r="U287" s="189">
        <f>STDEV(D$2:D287)*SQRT(252)</f>
        <v>0.16510322057626589</v>
      </c>
      <c r="V287" s="189">
        <f>STDEV(L$2:L287)*SQRT(252)</f>
        <v>0.35436735180004281</v>
      </c>
      <c r="W287" s="187">
        <f t="shared" ref="W287" si="793">N287/V287</f>
        <v>-6.6367993215331003E-2</v>
      </c>
    </row>
    <row r="288" spans="2:23" ht="20.100000000000001" customHeight="1" x14ac:dyDescent="0.25">
      <c r="B288" s="176">
        <v>42649</v>
      </c>
      <c r="C288" s="220">
        <v>2160.77</v>
      </c>
      <c r="D288" s="175">
        <f t="shared" si="773"/>
        <v>4.8154167419073849E-4</v>
      </c>
      <c r="E288" s="214">
        <f t="shared" ref="E288" si="794">(C288-$C$2)/$C$2</f>
        <v>2.7743954643176465E-2</v>
      </c>
      <c r="F288" s="224">
        <v>5306.85</v>
      </c>
      <c r="G288" s="175">
        <f t="shared" si="775"/>
        <v>-1.7249746991170221E-3</v>
      </c>
      <c r="H288" s="208">
        <f t="shared" ref="H288" si="795">(F288-F$2)/F$2</f>
        <v>4.225504252018001E-2</v>
      </c>
      <c r="I288" s="226">
        <v>390871.84</v>
      </c>
      <c r="J288" s="177">
        <v>400000</v>
      </c>
      <c r="K288" s="177">
        <f t="shared" ref="K288" si="796">I288-I287-J288+J287</f>
        <v>279.30000000004657</v>
      </c>
      <c r="L288" s="175">
        <f t="shared" si="778"/>
        <v>7.1506742038659153E-4</v>
      </c>
      <c r="M288" s="187">
        <f t="shared" ref="M288" si="797">I288-J288</f>
        <v>-9128.1599999999744</v>
      </c>
      <c r="N288" s="189">
        <f t="shared" ref="N288" si="798">M288/J288</f>
        <v>-2.2820399999999935E-2</v>
      </c>
      <c r="O288" s="187" t="b">
        <f t="shared" ref="O288" si="799">L288&gt;D288</f>
        <v>1</v>
      </c>
      <c r="P288" s="189">
        <f>COUNTIF(O$2:O288, TRUE)/(COUNTIF(O$2:O288,FALSE) + COUNTIF(O$2:O288, TRUE))</f>
        <v>0.50174216027874563</v>
      </c>
      <c r="Q288" s="177">
        <v>335247.19</v>
      </c>
      <c r="R288" s="177">
        <f t="shared" ref="R288" si="800">I288-Q288</f>
        <v>55624.650000000023</v>
      </c>
      <c r="S288" s="177">
        <v>-29330</v>
      </c>
      <c r="T288" s="177">
        <f t="shared" ref="T288" si="801">M288-S288</f>
        <v>20201.840000000026</v>
      </c>
      <c r="U288" s="189">
        <f>STDEV(D$2:D288)*SQRT(252)</f>
        <v>0.16481360805187978</v>
      </c>
      <c r="V288" s="189">
        <f>STDEV(L$2:L288)*SQRT(252)</f>
        <v>0.35374517129723698</v>
      </c>
      <c r="W288" s="187">
        <f t="shared" ref="W288" si="802">N288/V288</f>
        <v>-6.4510845240131703E-2</v>
      </c>
    </row>
    <row r="289" spans="1:23" ht="20.100000000000001" customHeight="1" x14ac:dyDescent="0.25">
      <c r="B289" s="176">
        <v>42650</v>
      </c>
      <c r="C289" s="220">
        <v>2153.7399999999998</v>
      </c>
      <c r="D289" s="175">
        <f t="shared" si="773"/>
        <v>-3.2534698278855224E-3</v>
      </c>
      <c r="E289" s="214">
        <f t="shared" ref="E289" si="803">(C289-$C$2)/$C$2</f>
        <v>2.4400220695953143E-2</v>
      </c>
      <c r="F289" s="224">
        <v>5292.4</v>
      </c>
      <c r="G289" s="175">
        <f t="shared" si="775"/>
        <v>-2.7228958798535341E-3</v>
      </c>
      <c r="H289" s="208">
        <f t="shared" ref="H289" si="804">(F289-F$2)/F$2</f>
        <v>3.9417090559145239E-2</v>
      </c>
      <c r="I289" s="226">
        <v>386326.18</v>
      </c>
      <c r="J289" s="177">
        <v>400000</v>
      </c>
      <c r="K289" s="177">
        <f t="shared" ref="K289" si="805">I289-I288-J289+J288</f>
        <v>-4545.6600000000326</v>
      </c>
      <c r="L289" s="175">
        <f t="shared" si="778"/>
        <v>-1.1629540772238881E-2</v>
      </c>
      <c r="M289" s="187">
        <f t="shared" ref="M289" si="806">I289-J289</f>
        <v>-13673.820000000007</v>
      </c>
      <c r="N289" s="189">
        <f t="shared" ref="N289" si="807">M289/J289</f>
        <v>-3.4184550000000015E-2</v>
      </c>
      <c r="O289" s="187" t="b">
        <f t="shared" ref="O289" si="808">L289&gt;D289</f>
        <v>0</v>
      </c>
      <c r="P289" s="189">
        <f>COUNTIF(O$2:O289, TRUE)/(COUNTIF(O$2:O289,FALSE) + COUNTIF(O$2:O289, TRUE))</f>
        <v>0.5</v>
      </c>
      <c r="Q289" s="177">
        <v>340123.03</v>
      </c>
      <c r="R289" s="177">
        <f t="shared" ref="R289" si="809">I289-Q289</f>
        <v>46203.149999999965</v>
      </c>
      <c r="S289" s="177">
        <v>-30659</v>
      </c>
      <c r="T289" s="177">
        <f t="shared" ref="T289" si="810">M289-S289</f>
        <v>16985.179999999993</v>
      </c>
      <c r="U289" s="189">
        <f>STDEV(D$2:D289)*SQRT(252)</f>
        <v>0.16455611820081531</v>
      </c>
      <c r="V289" s="189">
        <f>STDEV(L$2:L289)*SQRT(252)</f>
        <v>0.35330879271171961</v>
      </c>
      <c r="W289" s="187">
        <f t="shared" ref="W289" si="811">N289/V289</f>
        <v>-9.6755446524912025E-2</v>
      </c>
    </row>
    <row r="290" spans="1:23" ht="20.100000000000001" customHeight="1" x14ac:dyDescent="0.25">
      <c r="B290" s="249">
        <v>42653</v>
      </c>
      <c r="C290" s="250">
        <v>2163.66</v>
      </c>
      <c r="D290" s="175">
        <f t="shared" si="773"/>
        <v>4.6059412928208948E-3</v>
      </c>
      <c r="E290" s="251">
        <f t="shared" ref="E290" si="812">(C290-$C$2)/$C$2</f>
        <v>2.911854797283147E-2</v>
      </c>
      <c r="F290" s="252">
        <v>5328.67</v>
      </c>
      <c r="G290" s="175">
        <f t="shared" si="775"/>
        <v>6.8532234902880431E-3</v>
      </c>
      <c r="H290" s="253">
        <f t="shared" ref="H290" si="813">(F290-F$2)/F$2</f>
        <v>4.6540448180372028E-2</v>
      </c>
      <c r="I290" s="254">
        <v>390200.44</v>
      </c>
      <c r="J290" s="255">
        <v>400000</v>
      </c>
      <c r="K290" s="255">
        <f t="shared" ref="K290" si="814">I290-I289-J290+J289</f>
        <v>3874.2600000000093</v>
      </c>
      <c r="L290" s="175">
        <f t="shared" si="778"/>
        <v>1.0028468689333997E-2</v>
      </c>
      <c r="M290" s="256">
        <f t="shared" ref="M290" si="815">I290-J290</f>
        <v>-9799.5599999999977</v>
      </c>
      <c r="N290" s="257">
        <f t="shared" ref="N290" si="816">M290/J290</f>
        <v>-2.4498899999999994E-2</v>
      </c>
      <c r="O290" s="256" t="b">
        <f t="shared" ref="O290" si="817">L290&gt;D290</f>
        <v>1</v>
      </c>
      <c r="P290" s="257">
        <f>COUNTIF(O$2:O290, TRUE)/(COUNTIF(O$2:O290,FALSE) + COUNTIF(O$2:O290, TRUE))</f>
        <v>0.5017301038062284</v>
      </c>
      <c r="Q290" s="255">
        <v>340124.03</v>
      </c>
      <c r="R290" s="255">
        <f t="shared" ref="R290" si="818">I290-Q290</f>
        <v>50076.409999999974</v>
      </c>
      <c r="S290" s="255">
        <v>-26735</v>
      </c>
      <c r="T290" s="255">
        <f t="shared" ref="T290" si="819">M290-S290</f>
        <v>16935.440000000002</v>
      </c>
      <c r="U290" s="257">
        <f>STDEV(D$2:D290)*SQRT(252)</f>
        <v>0.16432235109111573</v>
      </c>
      <c r="V290" s="257">
        <f>STDEV(L$2:L290)*SQRT(252)</f>
        <v>0.35280655192521093</v>
      </c>
      <c r="W290" s="256">
        <f t="shared" ref="W290" si="820">N290/V290</f>
        <v>-6.944003694464651E-2</v>
      </c>
    </row>
    <row r="291" spans="1:23" ht="20.100000000000001" customHeight="1" x14ac:dyDescent="0.25">
      <c r="A291" s="170" t="s">
        <v>382</v>
      </c>
      <c r="B291" s="176">
        <v>42661</v>
      </c>
      <c r="C291" s="220">
        <v>2139.6</v>
      </c>
      <c r="D291" s="175">
        <f t="shared" si="773"/>
        <v>-1.1120046587726327E-2</v>
      </c>
      <c r="E291" s="214">
        <f t="shared" ref="E291" si="821">(C291-$C$2)/$C$2</f>
        <v>1.7674701775080313E-2</v>
      </c>
      <c r="F291" s="224">
        <v>5243.83</v>
      </c>
      <c r="G291" s="175">
        <f t="shared" si="775"/>
        <v>-1.592142129274287E-2</v>
      </c>
      <c r="H291" s="208">
        <f t="shared" ref="H291" si="822">(F291-F$2)/F$2</f>
        <v>2.9878036804996389E-2</v>
      </c>
      <c r="I291" s="226">
        <v>374649.22</v>
      </c>
      <c r="J291" s="177">
        <v>400000</v>
      </c>
      <c r="K291" s="177">
        <f t="shared" ref="K291" si="823">I291-I290-J291+J290</f>
        <v>-15551.22000000003</v>
      </c>
      <c r="L291" s="175">
        <f t="shared" si="778"/>
        <v>-3.9854439938612138E-2</v>
      </c>
      <c r="M291" s="187">
        <f t="shared" ref="M291" si="824">I291-J291</f>
        <v>-25350.780000000028</v>
      </c>
      <c r="N291" s="189">
        <f t="shared" ref="N291" si="825">M291/J291</f>
        <v>-6.3376950000000071E-2</v>
      </c>
      <c r="O291" s="187" t="b">
        <f t="shared" ref="O291" si="826">L291&gt;D291</f>
        <v>0</v>
      </c>
      <c r="P291" s="189">
        <f>COUNTIF(O$2:O291, TRUE)/(COUNTIF(O$2:O291,FALSE) + COUNTIF(O$2:O291, TRUE))</f>
        <v>0.5</v>
      </c>
      <c r="Q291" s="177">
        <v>325873.59999999998</v>
      </c>
      <c r="R291" s="177">
        <f t="shared" ref="R291" si="827">I291-Q291</f>
        <v>48775.619999999995</v>
      </c>
      <c r="S291" s="177">
        <v>-42252</v>
      </c>
      <c r="T291" s="177">
        <f t="shared" ref="T291" si="828">M291-S291</f>
        <v>16901.219999999972</v>
      </c>
      <c r="U291" s="189">
        <f>STDEV(D$2:D291)*SQRT(252)</f>
        <v>0.16437424820296684</v>
      </c>
      <c r="V291" s="189">
        <f>STDEV(L$2:L291)*SQRT(252)</f>
        <v>0.35420191935581979</v>
      </c>
      <c r="W291" s="187">
        <f t="shared" ref="W291" si="829">N291/V291</f>
        <v>-0.17892887230894319</v>
      </c>
    </row>
    <row r="292" spans="1:23" ht="20.100000000000001" customHeight="1" x14ac:dyDescent="0.25">
      <c r="B292" s="176">
        <v>42662</v>
      </c>
      <c r="C292" s="220">
        <v>2144.29</v>
      </c>
      <c r="D292" s="175">
        <f t="shared" si="773"/>
        <v>2.1919985043933701E-3</v>
      </c>
      <c r="E292" s="214">
        <f t="shared" ref="E292" si="830">(C292-$C$2)/$C$2</f>
        <v>1.9905443199330259E-2</v>
      </c>
      <c r="F292" s="224">
        <v>5246.41</v>
      </c>
      <c r="G292" s="175">
        <f t="shared" si="775"/>
        <v>4.9200679655898979E-4</v>
      </c>
      <c r="H292" s="208">
        <f t="shared" ref="H292" si="831">(F292-F$2)/F$2</f>
        <v>3.0384743798731278E-2</v>
      </c>
      <c r="I292" s="226">
        <v>380216.65</v>
      </c>
      <c r="J292" s="177">
        <v>400000</v>
      </c>
      <c r="K292" s="177">
        <f t="shared" ref="K292" si="832">I292-I291-J292+J291</f>
        <v>5567.4300000000512</v>
      </c>
      <c r="L292" s="175">
        <f t="shared" si="778"/>
        <v>1.4860380598150055E-2</v>
      </c>
      <c r="M292" s="187">
        <f t="shared" ref="M292" si="833">I292-J292</f>
        <v>-19783.349999999977</v>
      </c>
      <c r="N292" s="189">
        <f t="shared" ref="N292" si="834">M292/J292</f>
        <v>-4.9458374999999943E-2</v>
      </c>
      <c r="O292" s="187" t="b">
        <f t="shared" ref="O292" si="835">L292&gt;D292</f>
        <v>1</v>
      </c>
      <c r="P292" s="189">
        <f>COUNTIF(O$2:O292, TRUE)/(COUNTIF(O$2:O292,FALSE) + COUNTIF(O$2:O292, TRUE))</f>
        <v>0.50171821305841924</v>
      </c>
      <c r="Q292" s="177">
        <v>324057.2</v>
      </c>
      <c r="R292" s="177">
        <f t="shared" ref="R292" si="836">I292-Q292</f>
        <v>56159.450000000012</v>
      </c>
      <c r="S292" s="177">
        <v>-37035</v>
      </c>
      <c r="T292" s="177">
        <f t="shared" ref="T292" si="837">M292-S292</f>
        <v>17251.650000000023</v>
      </c>
      <c r="U292" s="189">
        <f>STDEV(D$2:D292)*SQRT(252)</f>
        <v>0.16410104874699943</v>
      </c>
      <c r="V292" s="189">
        <f>STDEV(L$2:L292)*SQRT(252)</f>
        <v>0.3538474741949057</v>
      </c>
      <c r="W292" s="187">
        <f t="shared" ref="W292" si="838">N292/V292</f>
        <v>-0.13977314692589091</v>
      </c>
    </row>
    <row r="293" spans="1:23" ht="20.100000000000001" customHeight="1" x14ac:dyDescent="0.25">
      <c r="B293" s="176">
        <v>42663</v>
      </c>
      <c r="C293" s="220">
        <v>2141.34</v>
      </c>
      <c r="D293" s="175">
        <f t="shared" si="773"/>
        <v>-1.3757467506726321E-3</v>
      </c>
      <c r="E293" s="214">
        <f t="shared" ref="E293" si="839">(C293-$C$2)/$C$2</f>
        <v>1.850231159985545E-2</v>
      </c>
      <c r="F293" s="224">
        <v>5241.83</v>
      </c>
      <c r="G293" s="175">
        <f t="shared" ref="G293:G295" si="840">(F293-F292)/F292</f>
        <v>-8.7297790298507499E-4</v>
      </c>
      <c r="H293" s="208">
        <f t="shared" ref="H293" si="841">(F293-F$2)/F$2</f>
        <v>2.9485240685822048E-2</v>
      </c>
      <c r="I293" s="226">
        <v>381021.44</v>
      </c>
      <c r="J293" s="177">
        <v>400000</v>
      </c>
      <c r="K293" s="177">
        <f t="shared" ref="K293" si="842">I293-I292-J293+J292</f>
        <v>804.78999999997905</v>
      </c>
      <c r="L293" s="175">
        <f t="shared" si="778"/>
        <v>2.1166616454065834E-3</v>
      </c>
      <c r="M293" s="187">
        <f t="shared" ref="M293" si="843">I293-J293</f>
        <v>-18978.559999999998</v>
      </c>
      <c r="N293" s="189">
        <f t="shared" ref="N293" si="844">M293/J293</f>
        <v>-4.7446399999999993E-2</v>
      </c>
      <c r="O293" s="187" t="b">
        <f t="shared" ref="O293" si="845">L293&gt;D293</f>
        <v>1</v>
      </c>
      <c r="P293" s="189">
        <f>COUNTIF(O$2:O293, TRUE)/(COUNTIF(O$2:O293,FALSE) + COUNTIF(O$2:O293, TRUE))</f>
        <v>0.50342465753424659</v>
      </c>
      <c r="Q293" s="177">
        <v>320933.90000000002</v>
      </c>
      <c r="R293" s="177">
        <f t="shared" ref="R293" si="846">I293-Q293</f>
        <v>60087.539999999979</v>
      </c>
      <c r="S293" s="177">
        <v>-36535</v>
      </c>
      <c r="T293" s="177">
        <f t="shared" ref="T293" si="847">M293-S293</f>
        <v>17556.440000000002</v>
      </c>
      <c r="U293" s="189">
        <f>STDEV(D$2:D293)*SQRT(252)</f>
        <v>0.16382379522732679</v>
      </c>
      <c r="V293" s="189">
        <f>STDEV(L$2:L293)*SQRT(252)</f>
        <v>0.35324050890305325</v>
      </c>
      <c r="W293" s="187">
        <f t="shared" ref="W293" si="848">N293/V293</f>
        <v>-0.13431755080225424</v>
      </c>
    </row>
    <row r="294" spans="1:23" ht="20.100000000000001" customHeight="1" x14ac:dyDescent="0.25">
      <c r="B294" s="176">
        <v>42664</v>
      </c>
      <c r="C294" s="220">
        <v>2141.16</v>
      </c>
      <c r="D294" s="175">
        <f t="shared" si="773"/>
        <v>-8.4059514136144197E-5</v>
      </c>
      <c r="E294" s="214">
        <f t="shared" ref="E294" si="849">(C294-$C$2)/$C$2</f>
        <v>1.8416696790395825E-2</v>
      </c>
      <c r="F294" s="224">
        <v>5257.4</v>
      </c>
      <c r="G294" s="175">
        <f t="shared" si="840"/>
        <v>2.9703366953906765E-3</v>
      </c>
      <c r="H294" s="208">
        <f t="shared" ref="H294" si="850">(F294-F$2)/F$2</f>
        <v>3.254315847359425E-2</v>
      </c>
      <c r="I294" s="226">
        <v>378995.29</v>
      </c>
      <c r="J294" s="177">
        <v>400000</v>
      </c>
      <c r="K294" s="177">
        <f t="shared" ref="K294" si="851">I294-I293-J294+J293</f>
        <v>-2026.1500000000233</v>
      </c>
      <c r="L294" s="175">
        <f t="shared" si="778"/>
        <v>-5.3176797610129849E-3</v>
      </c>
      <c r="M294" s="187">
        <f t="shared" ref="M294" si="852">I294-J294</f>
        <v>-21004.710000000021</v>
      </c>
      <c r="N294" s="189">
        <f t="shared" ref="N294" si="853">M294/J294</f>
        <v>-5.2511775000000052E-2</v>
      </c>
      <c r="O294" s="187" t="b">
        <f t="shared" ref="O294" si="854">L294&gt;D294</f>
        <v>0</v>
      </c>
      <c r="P294" s="189">
        <f>COUNTIF(O$2:O294, TRUE)/(COUNTIF(O$2:O294,FALSE) + COUNTIF(O$2:O294, TRUE))</f>
        <v>0.50170648464163825</v>
      </c>
      <c r="Q294" s="177">
        <v>320934.90000000002</v>
      </c>
      <c r="R294" s="177">
        <f t="shared" ref="R294" si="855">I294-Q294</f>
        <v>58060.389999999956</v>
      </c>
      <c r="S294" s="177">
        <v>-36534</v>
      </c>
      <c r="T294" s="177">
        <f t="shared" ref="T294" si="856">M294-S294</f>
        <v>15529.289999999979</v>
      </c>
      <c r="U294" s="189">
        <f>STDEV(D$2:D294)*SQRT(252)</f>
        <v>0.16354217458793488</v>
      </c>
      <c r="V294" s="189">
        <f>STDEV(L$2:L294)*SQRT(252)</f>
        <v>0.35267302551448443</v>
      </c>
      <c r="W294" s="187">
        <f t="shared" ref="W294" si="857">N294/V294</f>
        <v>-0.14889648825110774</v>
      </c>
    </row>
    <row r="295" spans="1:23" ht="20.100000000000001" customHeight="1" x14ac:dyDescent="0.25">
      <c r="B295" s="249">
        <v>42667</v>
      </c>
      <c r="C295" s="250">
        <v>2151.33</v>
      </c>
      <c r="D295" s="175">
        <f t="shared" si="773"/>
        <v>4.7497618113546275E-3</v>
      </c>
      <c r="E295" s="251">
        <f t="shared" ref="E295" si="858">(C295-$C$2)/$C$2</f>
        <v>2.3253933524856774E-2</v>
      </c>
      <c r="F295" s="252">
        <v>5309.82</v>
      </c>
      <c r="G295" s="175">
        <f t="shared" si="840"/>
        <v>9.9707079545022399E-3</v>
      </c>
      <c r="H295" s="253">
        <f t="shared" ref="H295" si="859">(F295-F$2)/F$2</f>
        <v>4.2838344757153778E-2</v>
      </c>
      <c r="I295" s="254">
        <v>378540.69</v>
      </c>
      <c r="J295" s="255">
        <v>400000</v>
      </c>
      <c r="K295" s="255">
        <f t="shared" ref="K295" si="860">I295-I294-J295+J294</f>
        <v>-454.59999999997672</v>
      </c>
      <c r="L295" s="175">
        <f t="shared" si="778"/>
        <v>-1.1994872020704445E-3</v>
      </c>
      <c r="M295" s="256">
        <f t="shared" ref="M295" si="861">I295-J295</f>
        <v>-21459.309999999998</v>
      </c>
      <c r="N295" s="257">
        <f t="shared" ref="N295" si="862">M295/J295</f>
        <v>-5.3648274999999995E-2</v>
      </c>
      <c r="O295" s="256" t="b">
        <f t="shared" ref="O295" si="863">L295&gt;D295</f>
        <v>0</v>
      </c>
      <c r="P295" s="257">
        <f>COUNTIF(O$2:O295, TRUE)/(COUNTIF(O$2:O295,FALSE) + COUNTIF(O$2:O295, TRUE))</f>
        <v>0.5</v>
      </c>
      <c r="Q295" s="255">
        <v>324753.15000000002</v>
      </c>
      <c r="R295" s="255">
        <f t="shared" ref="R295" si="864">I295-Q295</f>
        <v>53787.539999999979</v>
      </c>
      <c r="S295" s="255">
        <v>-39269</v>
      </c>
      <c r="T295" s="255">
        <f t="shared" ref="T295" si="865">M295-S295</f>
        <v>17809.690000000002</v>
      </c>
      <c r="U295" s="257">
        <f>STDEV(D$2:D295)*SQRT(252)</f>
        <v>0.16331845604618789</v>
      </c>
      <c r="V295" s="257">
        <f>STDEV(L$2:L295)*SQRT(252)</f>
        <v>0.35207165866831386</v>
      </c>
      <c r="W295" s="256">
        <f t="shared" ref="W295" si="866">N295/V295</f>
        <v>-0.15237885151824149</v>
      </c>
    </row>
    <row r="296" spans="1:23" ht="20.100000000000001" customHeight="1" x14ac:dyDescent="0.25">
      <c r="B296" s="249">
        <v>42668</v>
      </c>
      <c r="C296" s="250">
        <v>2143.16</v>
      </c>
      <c r="D296" s="175">
        <f t="shared" ref="D296" si="867">(C296-C295)/C295</f>
        <v>-3.797650755579141E-3</v>
      </c>
      <c r="E296" s="251">
        <f t="shared" ref="E296" si="868">(C296-$C$2)/$C$2</f>
        <v>1.9367972451056772E-2</v>
      </c>
      <c r="F296" s="252">
        <v>5283.39</v>
      </c>
      <c r="G296" s="175">
        <f t="shared" ref="G296" si="869">(F296-F295)/F295</f>
        <v>-4.9775698611251194E-3</v>
      </c>
      <c r="H296" s="253">
        <f t="shared" ref="H296" si="870">(F296-F$2)/F$2</f>
        <v>3.764754404226496E-2</v>
      </c>
      <c r="I296" s="254">
        <v>374243.66</v>
      </c>
      <c r="J296" s="255">
        <v>400000</v>
      </c>
      <c r="K296" s="255">
        <f t="shared" ref="K296" si="871">I296-I295-J296+J295</f>
        <v>-4297.0300000000279</v>
      </c>
      <c r="L296" s="175">
        <f t="shared" ref="L296" si="872">K296/I295</f>
        <v>-1.1351566987422219E-2</v>
      </c>
      <c r="M296" s="256">
        <f t="shared" ref="M296" si="873">I296-J296</f>
        <v>-25756.340000000026</v>
      </c>
      <c r="N296" s="257">
        <f t="shared" ref="N296" si="874">M296/J296</f>
        <v>-6.4390850000000069E-2</v>
      </c>
      <c r="O296" s="256" t="b">
        <f t="shared" ref="O296" si="875">L296&gt;D296</f>
        <v>0</v>
      </c>
      <c r="P296" s="257">
        <f>COUNTIF(O$2:O296, TRUE)/(COUNTIF(O$2:O296,FALSE) + COUNTIF(O$2:O296, TRUE))</f>
        <v>0.49830508474576274</v>
      </c>
      <c r="Q296" s="255">
        <v>324754.15000000002</v>
      </c>
      <c r="R296" s="255">
        <f t="shared" ref="R296" si="876">I296-Q296</f>
        <v>49489.509999999951</v>
      </c>
      <c r="S296" s="255">
        <v>-44170</v>
      </c>
      <c r="T296" s="255">
        <f t="shared" ref="T296" si="877">M296-S296</f>
        <v>18413.659999999974</v>
      </c>
      <c r="U296" s="257">
        <f>STDEV(D$2:D296)*SQRT(252)</f>
        <v>0.16308008977690622</v>
      </c>
      <c r="V296" s="257">
        <f>STDEV(L$2:L296)*SQRT(252)</f>
        <v>0.35163793771094465</v>
      </c>
      <c r="W296" s="256">
        <f t="shared" ref="W296" si="878">N296/V296</f>
        <v>-0.18311690262764249</v>
      </c>
    </row>
    <row r="297" spans="1:23" ht="20.100000000000001" customHeight="1" x14ac:dyDescent="0.25">
      <c r="B297" s="249">
        <v>42669</v>
      </c>
      <c r="C297" s="250">
        <v>2139.4299999999998</v>
      </c>
      <c r="D297" s="175">
        <f t="shared" ref="D297:D300" si="879">(C297-C296)/C296</f>
        <v>-1.7404206872095496E-3</v>
      </c>
      <c r="E297" s="251">
        <f t="shared" ref="E297" si="880">(C297-$C$2)/$C$2</f>
        <v>1.7593843343924099E-2</v>
      </c>
      <c r="F297" s="252">
        <v>5250.26</v>
      </c>
      <c r="G297" s="175">
        <f t="shared" ref="G297" si="881">(F297-F296)/F296</f>
        <v>-6.2705952049725852E-3</v>
      </c>
      <c r="H297" s="253">
        <f t="shared" ref="H297" si="882">(F297-F$2)/F$2</f>
        <v>3.1140876328141956E-2</v>
      </c>
      <c r="I297" s="254">
        <v>374681.1</v>
      </c>
      <c r="J297" s="255">
        <v>400000</v>
      </c>
      <c r="K297" s="255">
        <f t="shared" ref="K297" si="883">I297-I296-J297+J296</f>
        <v>437.44000000000233</v>
      </c>
      <c r="L297" s="175">
        <f t="shared" ref="L297" si="884">K297/I296</f>
        <v>1.1688641565764997E-3</v>
      </c>
      <c r="M297" s="256">
        <f t="shared" ref="M297" si="885">I297-J297</f>
        <v>-25318.900000000023</v>
      </c>
      <c r="N297" s="257">
        <f t="shared" ref="N297" si="886">M297/J297</f>
        <v>-6.3297250000000055E-2</v>
      </c>
      <c r="O297" s="256" t="b">
        <f t="shared" ref="O297" si="887">L297&gt;D297</f>
        <v>1</v>
      </c>
      <c r="P297" s="257">
        <f>COUNTIF(O$2:O297, TRUE)/(COUNTIF(O$2:O297,FALSE) + COUNTIF(O$2:O297, TRUE))</f>
        <v>0.5</v>
      </c>
      <c r="Q297" s="255">
        <v>325355.95</v>
      </c>
      <c r="R297" s="255">
        <f t="shared" ref="R297" si="888">I297-Q297</f>
        <v>49325.149999999965</v>
      </c>
      <c r="S297" s="255">
        <v>-44067</v>
      </c>
      <c r="T297" s="255">
        <f t="shared" ref="T297" si="889">M297-S297</f>
        <v>18748.099999999977</v>
      </c>
      <c r="U297" s="257">
        <f>STDEV(D$2:D297)*SQRT(252)</f>
        <v>0.16281156659849447</v>
      </c>
      <c r="V297" s="257">
        <f>STDEV(L$2:L297)*SQRT(252)</f>
        <v>0.3510402532906407</v>
      </c>
      <c r="W297" s="256">
        <f t="shared" ref="W297" si="890">N297/V297</f>
        <v>-0.18031336693343156</v>
      </c>
    </row>
    <row r="298" spans="1:23" ht="20.100000000000001" customHeight="1" x14ac:dyDescent="0.25">
      <c r="B298" s="249">
        <v>42670</v>
      </c>
      <c r="C298" s="250">
        <v>2133.04</v>
      </c>
      <c r="D298" s="175">
        <f t="shared" si="879"/>
        <v>-2.9867768517782183E-3</v>
      </c>
      <c r="E298" s="251">
        <f t="shared" ref="E298" si="891">(C298-$C$2)/$C$2</f>
        <v>1.4554517608112435E-2</v>
      </c>
      <c r="F298" s="252">
        <v>5215.97</v>
      </c>
      <c r="G298" s="175">
        <f t="shared" ref="G298:G300" si="892">(F298-F297)/F297</f>
        <v>-6.5311051262223136E-3</v>
      </c>
      <c r="H298" s="253">
        <f t="shared" ref="H298" si="893">(F298-F$2)/F$2</f>
        <v>2.440638686489786E-2</v>
      </c>
      <c r="I298" s="254">
        <v>371125.09</v>
      </c>
      <c r="J298" s="255">
        <v>400000</v>
      </c>
      <c r="K298" s="255">
        <f t="shared" ref="K298" si="894">I298-I297-J298+J297</f>
        <v>-3556.0099999999511</v>
      </c>
      <c r="L298" s="175">
        <f t="shared" ref="L298:L300" si="895">K298/I297</f>
        <v>-9.4907642792763005E-3</v>
      </c>
      <c r="M298" s="256">
        <f t="shared" ref="M298" si="896">I298-J298</f>
        <v>-28874.909999999974</v>
      </c>
      <c r="N298" s="257">
        <f t="shared" ref="N298" si="897">M298/J298</f>
        <v>-7.218727499999994E-2</v>
      </c>
      <c r="O298" s="256" t="b">
        <f t="shared" ref="O298" si="898">L298&gt;D298</f>
        <v>0</v>
      </c>
      <c r="P298" s="257">
        <f>COUNTIF(O$2:O298, TRUE)/(COUNTIF(O$2:O298,FALSE) + COUNTIF(O$2:O298, TRUE))</f>
        <v>0.49831649831649832</v>
      </c>
      <c r="Q298" s="255">
        <v>360946.85</v>
      </c>
      <c r="R298" s="255">
        <f t="shared" ref="R298" si="899">I298-Q298</f>
        <v>10178.240000000049</v>
      </c>
      <c r="S298" s="255">
        <v>-47280</v>
      </c>
      <c r="T298" s="255">
        <f t="shared" ref="T298" si="900">M298-S298</f>
        <v>18405.090000000026</v>
      </c>
      <c r="U298" s="257">
        <f>STDEV(D$2:D298)*SQRT(252)</f>
        <v>0.16256052123167744</v>
      </c>
      <c r="V298" s="257">
        <f>STDEV(L$2:L298)*SQRT(252)</f>
        <v>0.3505620528969402</v>
      </c>
      <c r="W298" s="256">
        <f t="shared" ref="W298" si="901">N298/V298</f>
        <v>-0.20591867945622133</v>
      </c>
    </row>
    <row r="299" spans="1:23" ht="20.100000000000001" customHeight="1" x14ac:dyDescent="0.25">
      <c r="B299" s="249">
        <v>42671</v>
      </c>
      <c r="C299" s="250">
        <v>2126.41</v>
      </c>
      <c r="D299" s="175">
        <f t="shared" si="879"/>
        <v>-3.1082398829839616E-3</v>
      </c>
      <c r="E299" s="251">
        <f t="shared" ref="E299" si="902">(C299-$C$2)/$C$2</f>
        <v>1.1401038793021347E-2</v>
      </c>
      <c r="F299" s="252">
        <v>5190.1000000000004</v>
      </c>
      <c r="G299" s="175">
        <f t="shared" si="892"/>
        <v>-4.9597677900754585E-3</v>
      </c>
      <c r="H299" s="253">
        <f t="shared" ref="H299" si="903">(F299-F$2)/F$2</f>
        <v>1.9325569063377762E-2</v>
      </c>
      <c r="I299" s="254">
        <v>366496.83</v>
      </c>
      <c r="J299" s="255">
        <v>400000</v>
      </c>
      <c r="K299" s="255">
        <f t="shared" ref="K299" si="904">I299-I298-J299+J298</f>
        <v>-4628.2600000000093</v>
      </c>
      <c r="L299" s="175">
        <f t="shared" si="895"/>
        <v>-1.2470889532152108E-2</v>
      </c>
      <c r="M299" s="256">
        <f t="shared" ref="M299" si="905">I299-J299</f>
        <v>-33503.169999999984</v>
      </c>
      <c r="N299" s="257">
        <f t="shared" ref="N299" si="906">M299/J299</f>
        <v>-8.3757924999999955E-2</v>
      </c>
      <c r="O299" s="256" t="b">
        <f t="shared" ref="O299" si="907">L299&gt;D299</f>
        <v>0</v>
      </c>
      <c r="P299" s="257">
        <f>COUNTIF(O$2:O299, TRUE)/(COUNTIF(O$2:O299,FALSE) + COUNTIF(O$2:O299, TRUE))</f>
        <v>0.49664429530201343</v>
      </c>
      <c r="Q299" s="255">
        <v>352107.26</v>
      </c>
      <c r="R299" s="255">
        <f t="shared" ref="R299" si="908">I299-Q299</f>
        <v>14389.570000000007</v>
      </c>
      <c r="S299" s="255">
        <v>-51134</v>
      </c>
      <c r="T299" s="255">
        <f t="shared" ref="T299" si="909">M299-S299</f>
        <v>17630.830000000016</v>
      </c>
      <c r="U299" s="257">
        <f>STDEV(D$2:D299)*SQRT(252)</f>
        <v>0.16231261803243649</v>
      </c>
      <c r="V299" s="257">
        <f>STDEV(L$2:L299)*SQRT(252)</f>
        <v>0.35016714235962632</v>
      </c>
      <c r="W299" s="256">
        <f t="shared" ref="W299" si="910">N299/V299</f>
        <v>-0.23919413008196941</v>
      </c>
    </row>
    <row r="300" spans="1:23" ht="20.100000000000001" customHeight="1" x14ac:dyDescent="0.25">
      <c r="B300" s="176">
        <v>42674</v>
      </c>
      <c r="C300" s="220">
        <v>2126.15</v>
      </c>
      <c r="D300" s="175">
        <f t="shared" si="879"/>
        <v>-1.2227181023403931E-4</v>
      </c>
      <c r="E300" s="214">
        <f t="shared" ref="E300" si="911">(C300-$C$2)/$C$2</f>
        <v>1.1277372957135537E-2</v>
      </c>
      <c r="F300" s="224">
        <v>5189.13</v>
      </c>
      <c r="G300" s="175">
        <f t="shared" si="892"/>
        <v>-1.8689427949370043E-4</v>
      </c>
      <c r="H300" s="208">
        <f t="shared" ref="H300" si="912">(F300-F$2)/F$2</f>
        <v>1.9135062945578155E-2</v>
      </c>
      <c r="I300" s="226">
        <v>359986.87</v>
      </c>
      <c r="J300" s="177">
        <v>400000</v>
      </c>
      <c r="K300" s="177">
        <f t="shared" ref="K300" si="913">I300-I299-J300+J299</f>
        <v>-6509.960000000021</v>
      </c>
      <c r="L300" s="175">
        <f t="shared" si="895"/>
        <v>-1.7762663868061343E-2</v>
      </c>
      <c r="M300" s="187">
        <f t="shared" ref="M300" si="914">I300-J300</f>
        <v>-40013.130000000005</v>
      </c>
      <c r="N300" s="189">
        <f t="shared" ref="N300" si="915">M300/J300</f>
        <v>-0.10003282500000001</v>
      </c>
      <c r="O300" s="187" t="b">
        <f t="shared" ref="O300" si="916">L300&gt;D300</f>
        <v>0</v>
      </c>
      <c r="P300" s="189">
        <f>COUNTIF(O$2:O300, TRUE)/(COUNTIF(O$2:O300,FALSE) + COUNTIF(O$2:O300, TRUE))</f>
        <v>0.49498327759197325</v>
      </c>
      <c r="Q300" s="177">
        <v>351183.05</v>
      </c>
      <c r="R300" s="177">
        <f t="shared" ref="R300" si="917">I300-Q300</f>
        <v>8803.820000000007</v>
      </c>
      <c r="S300" s="177">
        <v>-57393</v>
      </c>
      <c r="T300" s="177">
        <f t="shared" ref="T300" si="918">M300-S300</f>
        <v>17379.869999999995</v>
      </c>
      <c r="U300" s="189">
        <f>STDEV(D$2:D300)*SQRT(252)</f>
        <v>0.16203925205045192</v>
      </c>
      <c r="V300" s="189">
        <f>STDEV(L$2:L300)*SQRT(252)</f>
        <v>0.34996980187049981</v>
      </c>
      <c r="W300" s="187">
        <f t="shared" ref="W300" si="919">N300/V300</f>
        <v>-0.2858327331825487</v>
      </c>
    </row>
    <row r="301" spans="1:23" ht="20.100000000000001" customHeight="1" x14ac:dyDescent="0.25">
      <c r="B301" s="176">
        <v>42675</v>
      </c>
      <c r="C301" s="220">
        <v>2111.7199999999998</v>
      </c>
      <c r="D301" s="175">
        <f t="shared" ref="D301" si="920">(C301-C300)/C300</f>
        <v>-6.7869153164171348E-3</v>
      </c>
      <c r="E301" s="214">
        <f t="shared" ref="E301" si="921">(C301-$C$2)/$C$2</f>
        <v>4.4139190654666699E-3</v>
      </c>
      <c r="F301" s="224">
        <v>5153.57</v>
      </c>
      <c r="G301" s="175">
        <f t="shared" ref="G301" si="922">(F301-F300)/F300</f>
        <v>-6.8527864979294022E-3</v>
      </c>
      <c r="H301" s="208">
        <f t="shared" ref="H301" si="923">(F301-F$2)/F$2</f>
        <v>1.2151147946658267E-2</v>
      </c>
      <c r="I301" s="226">
        <v>360227.22</v>
      </c>
      <c r="J301" s="177">
        <v>400000</v>
      </c>
      <c r="K301" s="177">
        <f t="shared" ref="K301" si="924">I301-I300-J301+J300</f>
        <v>240.34999999997672</v>
      </c>
      <c r="L301" s="175">
        <f t="shared" ref="L301" si="925">K301/I300</f>
        <v>6.6766324005088497E-4</v>
      </c>
      <c r="M301" s="187">
        <f t="shared" ref="M301" si="926">I301-J301</f>
        <v>-39772.780000000028</v>
      </c>
      <c r="N301" s="189">
        <f t="shared" ref="N301" si="927">M301/J301</f>
        <v>-9.9431950000000074E-2</v>
      </c>
      <c r="O301" s="187" t="b">
        <f t="shared" ref="O301" si="928">L301&gt;D301</f>
        <v>1</v>
      </c>
      <c r="P301" s="189">
        <f>COUNTIF(O$2:O301, TRUE)/(COUNTIF(O$2:O301,FALSE) + COUNTIF(O$2:O301, TRUE))</f>
        <v>0.49666666666666665</v>
      </c>
      <c r="Q301" s="177">
        <v>351313.75</v>
      </c>
      <c r="R301" s="177">
        <f t="shared" ref="R301" si="929">I301-Q301</f>
        <v>8913.4699999999721</v>
      </c>
      <c r="S301" s="177">
        <v>-56508</v>
      </c>
      <c r="T301" s="177">
        <f t="shared" ref="T301" si="930">M301-S301</f>
        <v>16735.219999999972</v>
      </c>
      <c r="U301" s="189">
        <f>STDEV(D$2:D301)*SQRT(252)</f>
        <v>0.16189028230482433</v>
      </c>
      <c r="V301" s="189">
        <f>STDEV(L$2:L301)*SQRT(252)</f>
        <v>0.34938237475224687</v>
      </c>
      <c r="W301" s="187">
        <f t="shared" ref="W301" si="931">N301/V301</f>
        <v>-0.28459349178821342</v>
      </c>
    </row>
    <row r="302" spans="1:23" ht="20.100000000000001" customHeight="1" x14ac:dyDescent="0.25">
      <c r="B302" s="176">
        <v>42676</v>
      </c>
      <c r="C302" s="220">
        <v>2097.94</v>
      </c>
      <c r="D302" s="175">
        <f t="shared" ref="D302" si="932">(C302-C301)/C301</f>
        <v>-6.525486333415295E-3</v>
      </c>
      <c r="E302" s="214">
        <f t="shared" ref="E302" si="933">(C302-$C$2)/$C$2</f>
        <v>-2.1403702364871293E-3</v>
      </c>
      <c r="F302" s="224">
        <v>5105.5600000000004</v>
      </c>
      <c r="G302" s="175">
        <f t="shared" ref="G302" si="934">(F302-F301)/F301</f>
        <v>-9.3158722982319662E-3</v>
      </c>
      <c r="H302" s="208">
        <f t="shared" ref="H302" si="935">(F302-F$2)/F$2</f>
        <v>2.7220771058783086E-3</v>
      </c>
      <c r="I302" s="226">
        <v>350822.36</v>
      </c>
      <c r="J302" s="177">
        <v>400000</v>
      </c>
      <c r="K302" s="177">
        <f t="shared" ref="K302" si="936">I302-I301-J302+J301</f>
        <v>-9404.859999999986</v>
      </c>
      <c r="L302" s="175">
        <f t="shared" ref="L302" si="937">K302/I301</f>
        <v>-2.6108132528130403E-2</v>
      </c>
      <c r="M302" s="187">
        <f t="shared" ref="M302" si="938">I302-J302</f>
        <v>-49177.640000000014</v>
      </c>
      <c r="N302" s="189">
        <f t="shared" ref="N302" si="939">M302/J302</f>
        <v>-0.12294410000000003</v>
      </c>
      <c r="O302" s="187" t="b">
        <f t="shared" ref="O302" si="940">L302&gt;D302</f>
        <v>0</v>
      </c>
      <c r="P302" s="189">
        <f>COUNTIF(O$2:O302, TRUE)/(COUNTIF(O$2:O302,FALSE) + COUNTIF(O$2:O302, TRUE))</f>
        <v>0.49501661129568109</v>
      </c>
      <c r="Q302" s="177">
        <v>330288.3</v>
      </c>
      <c r="R302" s="177">
        <f t="shared" ref="R302" si="941">I302-Q302</f>
        <v>20534.059999999998</v>
      </c>
      <c r="S302" s="177">
        <v>-66283</v>
      </c>
      <c r="T302" s="177">
        <f t="shared" ref="T302" si="942">M302-S302</f>
        <v>17105.359999999986</v>
      </c>
      <c r="U302" s="189">
        <f>STDEV(D$2:D302)*SQRT(252)</f>
        <v>0.16173222652481728</v>
      </c>
      <c r="V302" s="189">
        <f>STDEV(L$2:L302)*SQRT(252)</f>
        <v>0.34963013361097944</v>
      </c>
      <c r="W302" s="187">
        <f t="shared" ref="W302" si="943">N302/V302</f>
        <v>-0.35164045710314945</v>
      </c>
    </row>
  </sheetData>
  <conditionalFormatting sqref="D3:D302">
    <cfRule type="colorScale" priority="25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302">
    <cfRule type="colorScale" priority="18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302">
    <cfRule type="colorScale" priority="18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302">
    <cfRule type="colorScale" priority="25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303:L1048576">
    <cfRule type="colorScale" priority="476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55"/>
  <sheetViews>
    <sheetView zoomScaleNormal="100" workbookViewId="0">
      <pane ySplit="1" topLeftCell="A41" activePane="bottomLeft" state="frozen"/>
      <selection pane="bottomLeft" activeCell="M55" sqref="M55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8" bestFit="1" customWidth="1"/>
    <col min="7" max="7" width="10.7109375" style="248" bestFit="1" customWidth="1"/>
    <col min="8" max="8" width="12.140625" style="50" customWidth="1"/>
    <col min="9" max="9" width="10.7109375" style="49" bestFit="1" customWidth="1"/>
    <col min="10" max="10" width="14.140625" style="380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65" customWidth="1"/>
    <col min="16" max="16" width="12.85546875" style="365" customWidth="1"/>
    <col min="17" max="17" width="10.28515625" style="50" bestFit="1" customWidth="1"/>
    <col min="18" max="18" width="10.7109375" style="50" bestFit="1" customWidth="1"/>
    <col min="19" max="20" width="10.28515625" style="50" bestFit="1" customWidth="1"/>
    <col min="21" max="16384" width="9.140625" style="50"/>
  </cols>
  <sheetData>
    <row r="1" spans="1:21" s="59" customFormat="1" ht="21.95" customHeight="1" x14ac:dyDescent="0.25">
      <c r="A1" s="60" t="s">
        <v>397</v>
      </c>
      <c r="B1" s="60" t="s">
        <v>91</v>
      </c>
      <c r="C1" s="60"/>
      <c r="D1" s="57"/>
      <c r="E1" s="57" t="s">
        <v>72</v>
      </c>
      <c r="F1" s="247" t="s">
        <v>145</v>
      </c>
      <c r="G1" s="247" t="s">
        <v>73</v>
      </c>
      <c r="H1" s="57" t="s">
        <v>57</v>
      </c>
      <c r="I1" s="58" t="s">
        <v>74</v>
      </c>
      <c r="J1" s="378" t="s">
        <v>187</v>
      </c>
      <c r="K1" s="364" t="s">
        <v>217</v>
      </c>
      <c r="L1" s="58" t="s">
        <v>184</v>
      </c>
      <c r="M1" s="58" t="s">
        <v>257</v>
      </c>
      <c r="N1" s="58" t="s">
        <v>92</v>
      </c>
      <c r="O1" s="364" t="s">
        <v>216</v>
      </c>
      <c r="P1" s="364" t="s">
        <v>347</v>
      </c>
    </row>
    <row r="2" spans="1:21" ht="21.95" customHeight="1" x14ac:dyDescent="0.25">
      <c r="A2" s="52"/>
      <c r="B2" s="52"/>
      <c r="C2" s="52"/>
      <c r="E2" s="23" t="s">
        <v>10</v>
      </c>
      <c r="F2" s="248">
        <v>22.91</v>
      </c>
      <c r="G2" s="248">
        <v>22.91</v>
      </c>
      <c r="H2" s="336">
        <v>0</v>
      </c>
      <c r="I2" s="49">
        <v>0</v>
      </c>
      <c r="J2" s="379">
        <v>0</v>
      </c>
      <c r="K2" s="365">
        <v>0</v>
      </c>
      <c r="L2" s="379">
        <v>1128.3800000000047</v>
      </c>
      <c r="M2">
        <v>0</v>
      </c>
      <c r="N2" s="376" t="str">
        <f>HYPERLINK("http://finance.yahoo.com/q?s=" &amp; E2, "Link")</f>
        <v>Link</v>
      </c>
      <c r="O2" s="375">
        <v>1.2699999999999999E-2</v>
      </c>
      <c r="P2" s="375">
        <v>-3.8999999999999998E-3</v>
      </c>
    </row>
    <row r="3" spans="1:21" ht="21.95" customHeight="1" x14ac:dyDescent="0.25">
      <c r="A3" s="51"/>
      <c r="B3" s="51"/>
      <c r="C3" s="52"/>
      <c r="E3" s="23" t="s">
        <v>212</v>
      </c>
      <c r="F3" s="248">
        <v>111.59</v>
      </c>
      <c r="G3" s="50">
        <v>111.59</v>
      </c>
      <c r="H3" s="336">
        <v>0</v>
      </c>
      <c r="I3" s="49">
        <v>0</v>
      </c>
      <c r="J3" s="379">
        <v>0</v>
      </c>
      <c r="K3" s="365">
        <v>0</v>
      </c>
      <c r="L3" s="379">
        <v>363.09999999999945</v>
      </c>
      <c r="M3">
        <v>0</v>
      </c>
      <c r="N3" s="376" t="str">
        <f>HYPERLINK("http://finance.yahoo.com/q?s=" &amp; E3, "Link")</f>
        <v>Link</v>
      </c>
      <c r="O3" s="375">
        <v>0.02</v>
      </c>
      <c r="P3" s="375">
        <v>8.9999999999999998E-4</v>
      </c>
    </row>
    <row r="4" spans="1:21" ht="21.95" customHeight="1" x14ac:dyDescent="0.25">
      <c r="A4" s="52"/>
      <c r="B4" s="52"/>
      <c r="C4" s="52"/>
      <c r="E4" s="23" t="s">
        <v>284</v>
      </c>
      <c r="F4" s="248">
        <v>67.31</v>
      </c>
      <c r="G4" s="248">
        <v>67.31</v>
      </c>
      <c r="H4" s="336">
        <v>0</v>
      </c>
      <c r="I4" s="49">
        <v>0</v>
      </c>
      <c r="J4" s="379">
        <v>0</v>
      </c>
      <c r="K4" s="365">
        <v>0</v>
      </c>
      <c r="L4" s="379">
        <v>92.650000000000091</v>
      </c>
      <c r="M4">
        <v>0</v>
      </c>
      <c r="N4" s="376" t="str">
        <f>HYPERLINK("http://finance.yahoo.com/q?s=" &amp; E4, "Link")</f>
        <v>Link</v>
      </c>
      <c r="O4" s="375">
        <v>0</v>
      </c>
      <c r="P4" s="375">
        <v>-1.1599999999999999E-2</v>
      </c>
      <c r="S4" s="49"/>
    </row>
    <row r="5" spans="1:21" ht="21.95" customHeight="1" x14ac:dyDescent="0.25">
      <c r="A5" s="52"/>
      <c r="B5" s="52"/>
      <c r="C5" s="52"/>
      <c r="E5" s="23" t="s">
        <v>45</v>
      </c>
      <c r="F5" s="248">
        <v>67.34</v>
      </c>
      <c r="G5" s="248">
        <v>67.34</v>
      </c>
      <c r="H5" s="336">
        <v>0</v>
      </c>
      <c r="I5" s="49">
        <v>0</v>
      </c>
      <c r="J5" s="379">
        <v>0</v>
      </c>
      <c r="K5" s="365">
        <v>0</v>
      </c>
      <c r="L5" s="379">
        <v>523.61999999999898</v>
      </c>
      <c r="M5">
        <v>0</v>
      </c>
      <c r="N5" s="376" t="str">
        <f>HYPERLINK("http://finance.yahoo.com/q?s=" &amp; E5, "Link")</f>
        <v>Link</v>
      </c>
      <c r="O5" s="375">
        <v>1.95E-2</v>
      </c>
      <c r="P5" s="375">
        <v>1.9E-3</v>
      </c>
      <c r="Q5" s="49"/>
      <c r="S5" s="49"/>
    </row>
    <row r="6" spans="1:21" ht="21.95" customHeight="1" x14ac:dyDescent="0.25">
      <c r="A6" s="51"/>
      <c r="B6" s="51"/>
      <c r="C6" s="52"/>
      <c r="E6" s="23" t="s">
        <v>33</v>
      </c>
      <c r="F6" s="248">
        <v>172.56</v>
      </c>
      <c r="G6" s="248">
        <v>172.56</v>
      </c>
      <c r="H6" s="336">
        <v>0</v>
      </c>
      <c r="I6" s="49">
        <v>0</v>
      </c>
      <c r="J6" s="379">
        <v>0</v>
      </c>
      <c r="K6" s="365">
        <v>0</v>
      </c>
      <c r="L6" s="379">
        <v>780.73999999999796</v>
      </c>
      <c r="M6">
        <v>0</v>
      </c>
      <c r="N6" s="376" t="str">
        <f>HYPERLINK("http://finance.yahoo.com/q?s=" &amp; E6, "Link")</f>
        <v>Link</v>
      </c>
      <c r="O6" s="375">
        <v>1.2E-2</v>
      </c>
      <c r="P6" s="375">
        <v>2.23E-2</v>
      </c>
    </row>
    <row r="7" spans="1:21" ht="21.95" customHeight="1" x14ac:dyDescent="0.25">
      <c r="A7" s="51"/>
      <c r="B7" s="51"/>
      <c r="C7" s="52"/>
      <c r="E7" s="23" t="s">
        <v>247</v>
      </c>
      <c r="F7" s="248">
        <v>65.45</v>
      </c>
      <c r="G7" s="248">
        <v>65.45</v>
      </c>
      <c r="H7" s="336">
        <v>0</v>
      </c>
      <c r="I7" s="49">
        <v>0</v>
      </c>
      <c r="J7" s="379">
        <v>0</v>
      </c>
      <c r="K7" s="365">
        <v>0</v>
      </c>
      <c r="L7" s="379">
        <v>231.53999999999996</v>
      </c>
      <c r="M7">
        <v>0</v>
      </c>
      <c r="N7" s="376" t="str">
        <f>HYPERLINK("http://finance.yahoo.com/q?s=" &amp; E7, "Link")</f>
        <v>Link</v>
      </c>
      <c r="O7" s="375">
        <v>1.9300000000000001E-2</v>
      </c>
      <c r="P7" s="375">
        <v>-1.21E-2</v>
      </c>
      <c r="Q7" s="49"/>
    </row>
    <row r="8" spans="1:21" ht="21.95" customHeight="1" x14ac:dyDescent="0.25">
      <c r="A8" s="52"/>
      <c r="B8" s="52"/>
      <c r="C8" s="52"/>
      <c r="E8" s="23" t="s">
        <v>62</v>
      </c>
      <c r="F8" s="248">
        <v>277.26</v>
      </c>
      <c r="G8" s="248">
        <v>277.26</v>
      </c>
      <c r="H8" s="336">
        <v>0</v>
      </c>
      <c r="I8" s="49">
        <v>0</v>
      </c>
      <c r="J8" s="379">
        <v>0</v>
      </c>
      <c r="K8" s="365">
        <v>0</v>
      </c>
      <c r="L8" s="379">
        <v>1659.3600000000079</v>
      </c>
      <c r="M8">
        <v>0</v>
      </c>
      <c r="N8" s="376" t="str">
        <f>HYPERLINK("http://finance.yahoo.com/q?s=" &amp; E8, "Link")</f>
        <v>Link</v>
      </c>
      <c r="O8" s="375">
        <v>0</v>
      </c>
      <c r="P8" s="375">
        <v>-1.8800000000000001E-2</v>
      </c>
      <c r="Q8" s="49"/>
      <c r="R8" s="49"/>
    </row>
    <row r="9" spans="1:21" ht="21.95" customHeight="1" x14ac:dyDescent="0.25">
      <c r="A9" s="51"/>
      <c r="B9" s="51"/>
      <c r="C9" s="52"/>
      <c r="E9" s="23" t="s">
        <v>396</v>
      </c>
      <c r="F9" s="248">
        <v>50.57</v>
      </c>
      <c r="G9" s="248">
        <v>49.18</v>
      </c>
      <c r="H9" s="336">
        <v>50</v>
      </c>
      <c r="I9" s="49">
        <v>2459</v>
      </c>
      <c r="J9" s="379">
        <v>69.5</v>
      </c>
      <c r="K9" s="365">
        <v>2.8263521756811724E-2</v>
      </c>
      <c r="L9" s="379">
        <v>69.5</v>
      </c>
      <c r="M9" s="30">
        <v>42702</v>
      </c>
      <c r="N9" s="376" t="str">
        <f>HYPERLINK("http://finance.yahoo.com/q?s=" &amp; E9, "Link")</f>
        <v>Link</v>
      </c>
      <c r="O9" s="375">
        <v>2.98E-2</v>
      </c>
      <c r="P9" s="375">
        <v>-4.4999999999999997E-3</v>
      </c>
      <c r="Q9" s="152"/>
    </row>
    <row r="10" spans="1:21" ht="21.95" customHeight="1" x14ac:dyDescent="0.25">
      <c r="A10" s="51"/>
      <c r="B10" s="51"/>
      <c r="C10" s="52"/>
      <c r="E10" s="23" t="s">
        <v>52</v>
      </c>
      <c r="F10" s="248">
        <v>68.66</v>
      </c>
      <c r="G10" s="248">
        <v>73.070899999999995</v>
      </c>
      <c r="H10" s="336">
        <v>100</v>
      </c>
      <c r="I10" s="49">
        <v>7307.0899999999992</v>
      </c>
      <c r="J10" s="379">
        <v>-441.09000000000015</v>
      </c>
      <c r="K10" s="365">
        <v>-6.0364659529306447E-2</v>
      </c>
      <c r="L10" s="379">
        <v>49.859999999998763</v>
      </c>
      <c r="M10">
        <v>25</v>
      </c>
      <c r="N10" s="376" t="str">
        <f>HYPERLINK("http://finance.yahoo.com/q?s=" &amp; E10, "Link")</f>
        <v>Link</v>
      </c>
      <c r="O10" s="375">
        <v>2.6599999999999999E-2</v>
      </c>
      <c r="P10" s="375">
        <v>2.6499999999999999E-2</v>
      </c>
      <c r="S10" s="49"/>
    </row>
    <row r="11" spans="1:21" ht="21.95" customHeight="1" x14ac:dyDescent="0.25">
      <c r="A11" s="159"/>
      <c r="B11" s="51"/>
      <c r="C11" s="52"/>
      <c r="E11" s="23" t="s">
        <v>244</v>
      </c>
      <c r="F11" s="248">
        <v>24.7</v>
      </c>
      <c r="G11" s="248">
        <v>21.609633333333342</v>
      </c>
      <c r="H11" s="50">
        <v>300</v>
      </c>
      <c r="I11" s="49">
        <v>6482.8900000000021</v>
      </c>
      <c r="J11" s="379">
        <v>927.10999999999694</v>
      </c>
      <c r="K11" s="365">
        <v>0.14300875072691296</v>
      </c>
      <c r="L11" s="49">
        <v>927.10999999999694</v>
      </c>
      <c r="M11">
        <v>60</v>
      </c>
      <c r="N11" s="376" t="str">
        <f>HYPERLINK("http://finance.yahoo.com/q?s=" &amp; E11, "Link")</f>
        <v>Link</v>
      </c>
      <c r="O11" s="365">
        <v>4.8899999999999999E-2</v>
      </c>
      <c r="P11" s="365">
        <v>-7.6E-3</v>
      </c>
      <c r="Q11" s="49"/>
      <c r="R11" s="49"/>
      <c r="S11" s="49"/>
    </row>
    <row r="12" spans="1:21" ht="21.95" customHeight="1" x14ac:dyDescent="0.25">
      <c r="A12" s="51"/>
      <c r="B12" s="51"/>
      <c r="C12" s="52"/>
      <c r="E12" s="23" t="s">
        <v>8</v>
      </c>
      <c r="F12" s="248">
        <v>62.3</v>
      </c>
      <c r="G12" s="248">
        <v>62.3</v>
      </c>
      <c r="H12" s="336">
        <v>0</v>
      </c>
      <c r="I12" s="49">
        <v>0</v>
      </c>
      <c r="J12" s="379">
        <v>0</v>
      </c>
      <c r="K12" s="365">
        <v>0</v>
      </c>
      <c r="L12" s="379">
        <v>121.94999999999982</v>
      </c>
      <c r="M12">
        <v>0</v>
      </c>
      <c r="N12" s="376" t="str">
        <f>HYPERLINK("http://finance.yahoo.com/q?s=" &amp; E12, "Link")</f>
        <v>Link</v>
      </c>
      <c r="O12" s="375">
        <v>1.78E-2</v>
      </c>
      <c r="P12" s="375">
        <v>3.5000000000000001E-3</v>
      </c>
      <c r="R12" s="49"/>
    </row>
    <row r="13" spans="1:21" ht="21.95" customHeight="1" x14ac:dyDescent="0.25">
      <c r="A13" s="51"/>
      <c r="B13" s="51"/>
      <c r="C13" s="52"/>
      <c r="E13" s="23" t="s">
        <v>17</v>
      </c>
      <c r="F13" s="248">
        <v>10.89</v>
      </c>
      <c r="G13" s="248">
        <v>18.651118421052679</v>
      </c>
      <c r="H13" s="336">
        <v>3800</v>
      </c>
      <c r="I13" s="49">
        <v>70874.250000000175</v>
      </c>
      <c r="J13" s="379">
        <v>-29492.250000000175</v>
      </c>
      <c r="K13" s="365">
        <v>-0.41612080551117087</v>
      </c>
      <c r="L13" s="379">
        <v>-29492.250000000175</v>
      </c>
      <c r="M13">
        <v>1100</v>
      </c>
      <c r="N13" s="376" t="str">
        <f>HYPERLINK("http://finance.yahoo.com/q?s=" &amp; E13, "Link")</f>
        <v>Link</v>
      </c>
      <c r="O13" s="375">
        <v>0</v>
      </c>
      <c r="P13" s="375">
        <v>-7.7100000000000002E-2</v>
      </c>
      <c r="Q13" s="49"/>
      <c r="R13" s="49"/>
      <c r="S13" s="49"/>
    </row>
    <row r="14" spans="1:21" ht="21.95" customHeight="1" x14ac:dyDescent="0.25">
      <c r="A14" s="61"/>
      <c r="B14" s="62"/>
      <c r="C14" s="61"/>
      <c r="E14" s="23" t="s">
        <v>338</v>
      </c>
      <c r="F14" s="248">
        <v>83.95</v>
      </c>
      <c r="G14" s="248">
        <v>89.204999999999998</v>
      </c>
      <c r="H14" s="336">
        <v>40</v>
      </c>
      <c r="I14" s="49">
        <v>3568.2</v>
      </c>
      <c r="J14" s="379">
        <v>-210.19999999999982</v>
      </c>
      <c r="K14" s="365">
        <v>-5.8909253965584836E-2</v>
      </c>
      <c r="L14" s="379">
        <v>-210.19999999999982</v>
      </c>
      <c r="M14">
        <v>20</v>
      </c>
      <c r="N14" s="376" t="str">
        <f>HYPERLINK("http://finance.yahoo.com/q?s=" &amp; E14, "Link")</f>
        <v>Link</v>
      </c>
      <c r="O14" s="375">
        <v>2.0400000000000001E-2</v>
      </c>
      <c r="P14" s="375">
        <v>6.0000000000000001E-3</v>
      </c>
      <c r="R14" s="49"/>
    </row>
    <row r="15" spans="1:21" ht="21.95" customHeight="1" x14ac:dyDescent="0.25">
      <c r="A15" s="51"/>
      <c r="B15" s="51"/>
      <c r="C15" s="51"/>
      <c r="E15" s="23" t="s">
        <v>32</v>
      </c>
      <c r="F15" s="248">
        <v>41.93</v>
      </c>
      <c r="G15" s="248">
        <v>41.93</v>
      </c>
      <c r="H15" s="336">
        <v>0</v>
      </c>
      <c r="I15" s="49">
        <v>0</v>
      </c>
      <c r="J15" s="379">
        <v>0</v>
      </c>
      <c r="K15" s="365">
        <v>0</v>
      </c>
      <c r="L15" s="379">
        <v>1198.4699999999971</v>
      </c>
      <c r="M15">
        <v>0</v>
      </c>
      <c r="N15" s="376" t="str">
        <f>HYPERLINK("http://finance.yahoo.com/q?s=" &amp; E15, "Link")</f>
        <v>Link</v>
      </c>
      <c r="O15" s="375">
        <v>1.9599999999999999E-2</v>
      </c>
      <c r="P15" s="375">
        <v>1.1999999999999999E-3</v>
      </c>
    </row>
    <row r="16" spans="1:21" ht="21.95" customHeight="1" x14ac:dyDescent="0.25">
      <c r="A16" s="51"/>
      <c r="B16" s="51"/>
      <c r="C16" s="52"/>
      <c r="E16" s="23" t="s">
        <v>321</v>
      </c>
      <c r="F16" s="248">
        <v>69.599999999999994</v>
      </c>
      <c r="G16" s="248">
        <v>69.80923076923078</v>
      </c>
      <c r="H16" s="336">
        <v>65</v>
      </c>
      <c r="I16" s="49">
        <v>4537.6000000000004</v>
      </c>
      <c r="J16" s="379">
        <v>-13.600000000000364</v>
      </c>
      <c r="K16" s="365">
        <v>-2.997179125529147E-3</v>
      </c>
      <c r="L16" s="379">
        <v>-13.600000000000364</v>
      </c>
      <c r="M16">
        <v>40</v>
      </c>
      <c r="N16" s="376" t="str">
        <f>HYPERLINK("http://finance.yahoo.com/q?s=" &amp; E16, "Link")</f>
        <v>Link</v>
      </c>
      <c r="O16" s="375">
        <v>1.46E-2</v>
      </c>
      <c r="P16" s="375">
        <v>8.0000000000000002E-3</v>
      </c>
      <c r="Q16" s="49"/>
      <c r="R16" s="49"/>
      <c r="S16" s="49"/>
      <c r="T16" s="363"/>
      <c r="U16" s="363"/>
    </row>
    <row r="17" spans="1:20" ht="21.95" customHeight="1" x14ac:dyDescent="0.25">
      <c r="A17" s="52"/>
      <c r="B17" s="159"/>
      <c r="C17" s="337"/>
      <c r="E17" s="23" t="s">
        <v>63</v>
      </c>
      <c r="F17" s="248">
        <v>91.91</v>
      </c>
      <c r="G17" s="248">
        <v>93.310571428571421</v>
      </c>
      <c r="H17" s="336">
        <v>70</v>
      </c>
      <c r="I17" s="49">
        <v>6531.74</v>
      </c>
      <c r="J17" s="379">
        <v>-98.039999999999964</v>
      </c>
      <c r="K17" s="365">
        <v>-1.5009782998098476E-2</v>
      </c>
      <c r="L17" s="379">
        <v>-98.039999999999964</v>
      </c>
      <c r="M17">
        <v>70</v>
      </c>
      <c r="N17" s="376" t="str">
        <f>HYPERLINK("http://finance.yahoo.com/q?s=" &amp; E17, "Link")</f>
        <v>Link</v>
      </c>
      <c r="O17" s="375">
        <v>1.5100000000000001E-2</v>
      </c>
      <c r="P17" s="375">
        <v>-5.1999999999999998E-3</v>
      </c>
      <c r="Q17" s="152"/>
      <c r="R17" s="49"/>
      <c r="S17" s="49"/>
    </row>
    <row r="18" spans="1:20" ht="21.95" customHeight="1" x14ac:dyDescent="0.25">
      <c r="A18" s="51"/>
      <c r="B18" s="51"/>
      <c r="C18" s="52"/>
      <c r="E18" s="23" t="s">
        <v>205</v>
      </c>
      <c r="F18" s="248">
        <v>11.4</v>
      </c>
      <c r="G18" s="248">
        <v>11.793577777777777</v>
      </c>
      <c r="H18" s="336">
        <v>450</v>
      </c>
      <c r="I18" s="49">
        <v>5307.11</v>
      </c>
      <c r="J18" s="379">
        <v>-177.10999999999967</v>
      </c>
      <c r="K18" s="365">
        <v>-3.3372211994852116E-2</v>
      </c>
      <c r="L18" s="379">
        <v>-177.10999999999967</v>
      </c>
      <c r="M18">
        <v>250</v>
      </c>
      <c r="N18" s="376" t="str">
        <f>HYPERLINK("http://finance.yahoo.com/q?s=" &amp; E18, "Link")</f>
        <v>Link</v>
      </c>
      <c r="O18" s="375">
        <v>5.1200000000000002E-2</v>
      </c>
      <c r="P18" s="375">
        <v>-1.8100000000000002E-2</v>
      </c>
    </row>
    <row r="19" spans="1:20" ht="21.95" customHeight="1" x14ac:dyDescent="0.25">
      <c r="A19" s="51"/>
      <c r="B19" s="51"/>
      <c r="C19" s="52"/>
      <c r="E19" s="23" t="s">
        <v>322</v>
      </c>
      <c r="F19" s="248">
        <v>25.83</v>
      </c>
      <c r="G19" s="248">
        <v>25.83</v>
      </c>
      <c r="H19" s="336">
        <v>0</v>
      </c>
      <c r="I19" s="49">
        <v>0</v>
      </c>
      <c r="J19" s="379">
        <v>0</v>
      </c>
      <c r="K19" s="365">
        <v>0</v>
      </c>
      <c r="L19" s="379">
        <v>98.449999999999818</v>
      </c>
      <c r="M19">
        <v>0</v>
      </c>
      <c r="N19" s="376" t="str">
        <f>HYPERLINK("http://finance.yahoo.com/q?s=" &amp; E19, "Link")</f>
        <v>Link</v>
      </c>
      <c r="O19" s="375">
        <v>1.37E-2</v>
      </c>
      <c r="P19" s="375">
        <v>-1.37E-2</v>
      </c>
      <c r="Q19" s="152"/>
      <c r="S19" s="49"/>
    </row>
    <row r="20" spans="1:20" ht="21.95" customHeight="1" x14ac:dyDescent="0.25">
      <c r="A20" s="51"/>
      <c r="B20" s="52"/>
      <c r="C20" s="52"/>
      <c r="E20" s="23" t="s">
        <v>9</v>
      </c>
      <c r="F20" s="248">
        <v>3.39</v>
      </c>
      <c r="G20" s="248">
        <v>3.8882545454545454</v>
      </c>
      <c r="H20" s="336">
        <v>1100</v>
      </c>
      <c r="I20" s="49">
        <v>4277.08</v>
      </c>
      <c r="J20" s="379">
        <v>-548.07999999999993</v>
      </c>
      <c r="K20" s="365">
        <v>-0.12814349977087167</v>
      </c>
      <c r="L20" s="379">
        <v>-113.14999999999964</v>
      </c>
      <c r="M20" s="30">
        <v>42681</v>
      </c>
      <c r="N20" s="376" t="str">
        <f>HYPERLINK("http://finance.yahoo.com/q?s=" &amp; E20, "Link")</f>
        <v>Link</v>
      </c>
      <c r="O20" s="375">
        <v>0.1042</v>
      </c>
      <c r="P20" s="375">
        <v>-0.13739999999999999</v>
      </c>
      <c r="S20" s="49"/>
    </row>
    <row r="21" spans="1:20" ht="21.95" customHeight="1" x14ac:dyDescent="0.25">
      <c r="A21" s="51"/>
      <c r="B21" s="51"/>
      <c r="C21" s="51"/>
      <c r="E21" s="23" t="s">
        <v>55</v>
      </c>
      <c r="F21" s="248">
        <v>72.510000000000005</v>
      </c>
      <c r="G21" s="248">
        <v>82.091039999999992</v>
      </c>
      <c r="H21" s="336">
        <v>250</v>
      </c>
      <c r="I21" s="49">
        <v>20522.759999999998</v>
      </c>
      <c r="J21" s="379">
        <v>-2395.2599999999984</v>
      </c>
      <c r="K21" s="365">
        <v>-0.1167123720201375</v>
      </c>
      <c r="L21" s="379">
        <v>-2395.2599999999984</v>
      </c>
      <c r="M21">
        <v>150</v>
      </c>
      <c r="N21" s="376" t="str">
        <f>HYPERLINK("http://finance.yahoo.com/q?s=" &amp; E21, "Link")</f>
        <v>Link</v>
      </c>
      <c r="O21" s="375">
        <v>2.5399999999999999E-2</v>
      </c>
      <c r="P21" s="375">
        <v>-2.1100000000000001E-2</v>
      </c>
    </row>
    <row r="22" spans="1:20" ht="21.95" customHeight="1" x14ac:dyDescent="0.25">
      <c r="A22" s="51"/>
      <c r="B22" s="52"/>
      <c r="C22" s="52"/>
      <c r="E22" s="23" t="s">
        <v>176</v>
      </c>
      <c r="F22" s="248">
        <v>61.38</v>
      </c>
      <c r="G22" s="248">
        <v>63.73</v>
      </c>
      <c r="H22" s="336">
        <v>50</v>
      </c>
      <c r="I22" s="49">
        <v>3186.5</v>
      </c>
      <c r="J22" s="379">
        <v>-117.5</v>
      </c>
      <c r="K22" s="365">
        <v>-3.6874313510120736E-2</v>
      </c>
      <c r="L22" s="379">
        <v>-67.550000000000182</v>
      </c>
      <c r="M22">
        <v>25</v>
      </c>
      <c r="N22" s="376" t="str">
        <f>HYPERLINK("http://finance.yahoo.com/q?s=" &amp; E22, "Link")</f>
        <v>Link</v>
      </c>
      <c r="O22" s="375">
        <v>3.1099999999999999E-2</v>
      </c>
      <c r="P22" s="375">
        <v>-4.1000000000000003E-3</v>
      </c>
      <c r="Q22" s="152"/>
      <c r="R22" s="49"/>
    </row>
    <row r="23" spans="1:20" ht="21.95" customHeight="1" x14ac:dyDescent="0.25">
      <c r="A23" s="52"/>
      <c r="B23" s="52"/>
      <c r="C23" s="52"/>
      <c r="E23" s="23" t="s">
        <v>56</v>
      </c>
      <c r="F23" s="248">
        <v>31.45</v>
      </c>
      <c r="G23" s="248">
        <v>31.45</v>
      </c>
      <c r="H23" s="336">
        <v>0</v>
      </c>
      <c r="I23" s="49">
        <v>0</v>
      </c>
      <c r="J23" s="379">
        <v>0</v>
      </c>
      <c r="K23" s="365">
        <v>0</v>
      </c>
      <c r="L23" s="379">
        <v>36.819999999999709</v>
      </c>
      <c r="M23">
        <v>0</v>
      </c>
      <c r="N23" s="376" t="str">
        <f>HYPERLINK("http://finance.yahoo.com/q?s=" &amp; E23, "Link")</f>
        <v>Link</v>
      </c>
      <c r="O23" s="375">
        <v>4.8500000000000001E-2</v>
      </c>
      <c r="P23" s="375">
        <v>-1E-3</v>
      </c>
      <c r="R23" s="49"/>
    </row>
    <row r="24" spans="1:20" ht="21.95" customHeight="1" x14ac:dyDescent="0.25">
      <c r="A24" s="51"/>
      <c r="B24" s="51"/>
      <c r="C24" s="52"/>
      <c r="E24" s="23" t="s">
        <v>22</v>
      </c>
      <c r="F24" s="248">
        <v>47.09</v>
      </c>
      <c r="G24" s="248">
        <v>47.09</v>
      </c>
      <c r="H24" s="50">
        <v>0</v>
      </c>
      <c r="I24" s="49">
        <v>0</v>
      </c>
      <c r="J24" s="379">
        <v>0</v>
      </c>
      <c r="K24" s="365">
        <v>0</v>
      </c>
      <c r="L24" s="49">
        <v>3178.8000000000466</v>
      </c>
      <c r="M24">
        <v>0</v>
      </c>
      <c r="N24" s="376" t="str">
        <f>HYPERLINK("http://finance.yahoo.com/q?s=" &amp; E24, "Link")</f>
        <v>Link</v>
      </c>
      <c r="O24" s="365">
        <v>1.9900000000000001E-2</v>
      </c>
      <c r="P24" s="365">
        <v>-1.5900000000000001E-2</v>
      </c>
      <c r="Q24" s="152"/>
    </row>
    <row r="25" spans="1:20" ht="21.95" customHeight="1" x14ac:dyDescent="0.25">
      <c r="A25" s="51"/>
      <c r="B25" s="52"/>
      <c r="C25" s="52"/>
      <c r="E25" s="23" t="s">
        <v>27</v>
      </c>
      <c r="F25" s="248">
        <v>34.6</v>
      </c>
      <c r="G25" s="248">
        <v>34.6</v>
      </c>
      <c r="H25" s="336">
        <v>0</v>
      </c>
      <c r="I25" s="49">
        <v>0</v>
      </c>
      <c r="J25" s="379">
        <v>0</v>
      </c>
      <c r="K25" s="365">
        <v>0</v>
      </c>
      <c r="L25" s="379">
        <v>1407.5400000000009</v>
      </c>
      <c r="M25">
        <v>0</v>
      </c>
      <c r="N25" s="376" t="str">
        <f>HYPERLINK("http://finance.yahoo.com/q?s=" &amp; E25, "Link")</f>
        <v>Link</v>
      </c>
      <c r="O25" s="375">
        <v>2.9899999999999999E-2</v>
      </c>
      <c r="P25" s="375">
        <v>2.3E-3</v>
      </c>
      <c r="R25" s="49"/>
    </row>
    <row r="26" spans="1:20" ht="21.95" customHeight="1" x14ac:dyDescent="0.25">
      <c r="A26" s="51"/>
      <c r="B26" s="51"/>
      <c r="C26" s="52"/>
      <c r="E26" s="23" t="s">
        <v>177</v>
      </c>
      <c r="F26" s="248">
        <v>44.18</v>
      </c>
      <c r="G26" s="248">
        <v>44.18</v>
      </c>
      <c r="H26" s="50">
        <v>0</v>
      </c>
      <c r="I26" s="49">
        <v>0</v>
      </c>
      <c r="J26" s="379">
        <v>0</v>
      </c>
      <c r="K26" s="365">
        <v>0</v>
      </c>
      <c r="L26" s="49">
        <v>119.92000000000053</v>
      </c>
      <c r="M26">
        <v>0</v>
      </c>
      <c r="N26" s="376" t="str">
        <f>HYPERLINK("http://finance.yahoo.com/q?s=" &amp; E26, "Link")</f>
        <v>Link</v>
      </c>
      <c r="O26" s="365">
        <v>4.1099999999999998E-2</v>
      </c>
      <c r="P26" s="365">
        <v>-8.9999999999999998E-4</v>
      </c>
      <c r="R26" s="49"/>
      <c r="T26" s="49"/>
    </row>
    <row r="27" spans="1:20" ht="21.95" customHeight="1" x14ac:dyDescent="0.25">
      <c r="A27" s="51"/>
      <c r="B27" s="51"/>
      <c r="C27" s="52"/>
      <c r="E27" s="23" t="s">
        <v>330</v>
      </c>
      <c r="F27" s="248">
        <v>114.86</v>
      </c>
      <c r="G27" s="248">
        <v>118.5</v>
      </c>
      <c r="H27" s="336">
        <v>20</v>
      </c>
      <c r="I27" s="49">
        <v>2370</v>
      </c>
      <c r="J27" s="379">
        <v>-72.800000000000182</v>
      </c>
      <c r="K27" s="365">
        <v>-3.0717299578059076E-2</v>
      </c>
      <c r="L27" s="379">
        <v>-72.800000000000182</v>
      </c>
      <c r="M27">
        <v>20</v>
      </c>
      <c r="N27" s="376" t="str">
        <f>HYPERLINK("http://finance.yahoo.com/q?s=" &amp; E27, "Link")</f>
        <v>Link</v>
      </c>
      <c r="O27" s="375">
        <v>2.7699999999999999E-2</v>
      </c>
      <c r="P27" s="375">
        <v>-4.1999999999999997E-3</v>
      </c>
      <c r="Q27" s="461"/>
      <c r="R27" s="49"/>
    </row>
    <row r="28" spans="1:20" ht="21.95" customHeight="1" x14ac:dyDescent="0.25">
      <c r="A28" s="52"/>
      <c r="B28" s="159"/>
      <c r="C28" s="337"/>
      <c r="E28" s="23" t="s">
        <v>15</v>
      </c>
      <c r="F28" s="248">
        <v>14.67</v>
      </c>
      <c r="G28" s="248">
        <v>14.67</v>
      </c>
      <c r="H28" s="336">
        <v>0</v>
      </c>
      <c r="I28" s="49">
        <v>0</v>
      </c>
      <c r="J28" s="379">
        <v>0</v>
      </c>
      <c r="K28" s="365">
        <v>0</v>
      </c>
      <c r="L28" s="379">
        <v>155.90000000000146</v>
      </c>
      <c r="M28">
        <v>0</v>
      </c>
      <c r="N28" s="376" t="str">
        <f>HYPERLINK("http://finance.yahoo.com/q?s=" &amp; E28, "Link")</f>
        <v>Link</v>
      </c>
      <c r="O28" s="375">
        <v>0</v>
      </c>
      <c r="P28" s="375">
        <v>-0.1017</v>
      </c>
      <c r="R28" s="49"/>
    </row>
    <row r="29" spans="1:20" ht="21.95" customHeight="1" x14ac:dyDescent="0.25">
      <c r="A29" s="52"/>
      <c r="B29" s="52"/>
      <c r="C29" s="52"/>
      <c r="E29" s="23" t="s">
        <v>24</v>
      </c>
      <c r="F29" s="248">
        <v>49.73</v>
      </c>
      <c r="G29" s="248">
        <v>49.73</v>
      </c>
      <c r="H29" s="336">
        <v>0</v>
      </c>
      <c r="I29" s="49">
        <v>0</v>
      </c>
      <c r="J29" s="379">
        <v>0</v>
      </c>
      <c r="K29" s="365">
        <v>0</v>
      </c>
      <c r="L29" s="379">
        <v>745.43999999999505</v>
      </c>
      <c r="M29">
        <v>0</v>
      </c>
      <c r="N29" s="376" t="str">
        <f>HYPERLINK("http://finance.yahoo.com/q?s=" &amp; E29, "Link")</f>
        <v>Link</v>
      </c>
      <c r="O29" s="375">
        <v>0</v>
      </c>
      <c r="P29" s="375">
        <v>-1.2699999999999999E-2</v>
      </c>
      <c r="Q29" s="152"/>
      <c r="R29" s="49"/>
      <c r="S29" s="49"/>
    </row>
    <row r="30" spans="1:20" ht="21.95" customHeight="1" x14ac:dyDescent="0.25">
      <c r="A30" s="51"/>
      <c r="B30" s="51"/>
      <c r="C30" s="52"/>
      <c r="E30" s="23" t="s">
        <v>204</v>
      </c>
      <c r="F30" s="248">
        <v>32.22</v>
      </c>
      <c r="G30" s="248">
        <v>31.518720000000002</v>
      </c>
      <c r="H30" s="336">
        <v>500</v>
      </c>
      <c r="I30" s="49">
        <v>15759.36</v>
      </c>
      <c r="J30" s="379">
        <v>350.63999999999942</v>
      </c>
      <c r="K30" s="365">
        <v>2.224963450292388E-2</v>
      </c>
      <c r="L30" s="379">
        <v>350.63999999999942</v>
      </c>
      <c r="M30">
        <v>300</v>
      </c>
      <c r="N30" s="376" t="str">
        <f>HYPERLINK("http://finance.yahoo.com/q?s=" &amp; E30, "Link")</f>
        <v>Link</v>
      </c>
      <c r="O30" s="375">
        <v>1.54E-2</v>
      </c>
      <c r="P30" s="375">
        <v>4.6399999999999997E-2</v>
      </c>
      <c r="Q30" s="152"/>
      <c r="R30" s="49"/>
      <c r="S30" s="49"/>
    </row>
    <row r="31" spans="1:20" ht="21.95" customHeight="1" x14ac:dyDescent="0.25">
      <c r="A31" s="51"/>
      <c r="B31" s="51"/>
      <c r="C31" s="52"/>
      <c r="E31" s="23" t="s">
        <v>36</v>
      </c>
      <c r="F31" s="248">
        <v>39.61</v>
      </c>
      <c r="G31" s="248">
        <v>39.61</v>
      </c>
      <c r="H31" s="50">
        <v>0</v>
      </c>
      <c r="I31" s="49">
        <v>0</v>
      </c>
      <c r="J31" s="379">
        <v>0</v>
      </c>
      <c r="K31" s="365">
        <v>0</v>
      </c>
      <c r="L31" s="49">
        <v>117.73999999999978</v>
      </c>
      <c r="M31">
        <v>0</v>
      </c>
      <c r="N31" s="376" t="str">
        <f>HYPERLINK("http://finance.yahoo.com/q?s=" &amp; E31, "Link")</f>
        <v>Link</v>
      </c>
      <c r="O31" s="365">
        <v>1.0200000000000001E-2</v>
      </c>
      <c r="P31" s="365">
        <v>-1.8E-3</v>
      </c>
      <c r="Q31" s="152"/>
      <c r="S31" s="49"/>
      <c r="T31" s="49"/>
    </row>
    <row r="32" spans="1:20" ht="21.95" customHeight="1" x14ac:dyDescent="0.25">
      <c r="A32" s="51"/>
      <c r="B32" s="51"/>
      <c r="C32" s="52"/>
      <c r="E32" s="23" t="s">
        <v>248</v>
      </c>
      <c r="F32" s="248">
        <v>24.73</v>
      </c>
      <c r="G32" s="248">
        <v>24.264733333333332</v>
      </c>
      <c r="H32" s="336">
        <v>150</v>
      </c>
      <c r="I32" s="49">
        <v>3639.71</v>
      </c>
      <c r="J32" s="379">
        <v>69.789999999999964</v>
      </c>
      <c r="K32" s="365">
        <v>1.9174604570144391E-2</v>
      </c>
      <c r="L32" s="379">
        <v>357.73</v>
      </c>
      <c r="M32" s="30">
        <v>42702</v>
      </c>
      <c r="N32" s="376" t="str">
        <f>HYPERLINK("http://finance.yahoo.com/q?s=" &amp; E32, "Link")</f>
        <v>Link</v>
      </c>
      <c r="O32" s="375">
        <v>2.9000000000000001E-2</v>
      </c>
      <c r="P32" s="375">
        <v>1.6899999999999998E-2</v>
      </c>
      <c r="Q32" s="461"/>
    </row>
    <row r="33" spans="1:20" ht="21.95" customHeight="1" x14ac:dyDescent="0.25">
      <c r="A33" s="51"/>
      <c r="B33" s="51"/>
      <c r="C33" s="52"/>
      <c r="E33" s="23" t="s">
        <v>50</v>
      </c>
      <c r="F33" s="248">
        <v>12.78</v>
      </c>
      <c r="G33" s="248">
        <v>15.528745519999875</v>
      </c>
      <c r="H33" s="336">
        <v>12500</v>
      </c>
      <c r="I33" s="49">
        <v>194109.31899999845</v>
      </c>
      <c r="J33" s="379">
        <v>-34359.318999998504</v>
      </c>
      <c r="K33" s="365">
        <v>-0.17701014653499825</v>
      </c>
      <c r="L33" s="379">
        <v>-34359.318999998504</v>
      </c>
      <c r="M33">
        <v>4478</v>
      </c>
      <c r="N33" s="376" t="str">
        <f>HYPERLINK("http://finance.yahoo.com/q?s=" &amp; E33, "Link")</f>
        <v>Link</v>
      </c>
      <c r="O33" s="375">
        <v>1.46E-2</v>
      </c>
      <c r="P33" s="375">
        <v>-3.6900000000000002E-2</v>
      </c>
      <c r="Q33" s="152"/>
      <c r="R33" s="49"/>
      <c r="S33" s="49"/>
    </row>
    <row r="34" spans="1:20" ht="21.95" customHeight="1" x14ac:dyDescent="0.25">
      <c r="A34" s="51"/>
      <c r="B34" s="51"/>
      <c r="C34" s="52"/>
      <c r="E34" s="23" t="s">
        <v>34</v>
      </c>
      <c r="F34" s="248">
        <v>16.675000000000001</v>
      </c>
      <c r="G34" s="248">
        <v>16.742701500000084</v>
      </c>
      <c r="H34" s="336">
        <v>2000</v>
      </c>
      <c r="I34" s="49">
        <v>33485.403000000166</v>
      </c>
      <c r="J34" s="379">
        <v>-135.40300000016578</v>
      </c>
      <c r="K34" s="365">
        <v>-4.0436425388150907E-3</v>
      </c>
      <c r="L34" s="379">
        <v>-135.40300000016578</v>
      </c>
      <c r="M34" s="30">
        <v>42678</v>
      </c>
      <c r="N34" s="376" t="str">
        <f>HYPERLINK("http://finance.yahoo.com/q?s=" &amp; E34, "Link")</f>
        <v>Link</v>
      </c>
      <c r="O34" s="375">
        <v>0</v>
      </c>
      <c r="P34" s="375">
        <v>-1.8800000000000001E-2</v>
      </c>
      <c r="R34" s="49"/>
    </row>
    <row r="35" spans="1:20" ht="21.95" customHeight="1" x14ac:dyDescent="0.25">
      <c r="A35" s="52"/>
      <c r="B35" s="52"/>
      <c r="C35" s="52"/>
      <c r="E35" s="23" t="s">
        <v>213</v>
      </c>
      <c r="F35" s="248">
        <v>36.67</v>
      </c>
      <c r="G35" s="248">
        <v>36.67</v>
      </c>
      <c r="H35" s="336">
        <v>0</v>
      </c>
      <c r="I35" s="49">
        <v>0</v>
      </c>
      <c r="J35" s="379">
        <v>0</v>
      </c>
      <c r="K35" s="365">
        <v>0</v>
      </c>
      <c r="L35" s="379">
        <v>439.77999999999975</v>
      </c>
      <c r="M35">
        <v>0</v>
      </c>
      <c r="N35" s="376" t="str">
        <f>HYPERLINK("http://finance.yahoo.com/q?s=" &amp; E35, "Link")</f>
        <v>Link</v>
      </c>
      <c r="O35" s="375">
        <v>0</v>
      </c>
      <c r="P35" s="375">
        <v>-1.32E-2</v>
      </c>
      <c r="R35" s="49"/>
    </row>
    <row r="36" spans="1:20" ht="21.95" customHeight="1" x14ac:dyDescent="0.25">
      <c r="A36" s="51"/>
      <c r="B36" s="51"/>
      <c r="C36" s="52"/>
      <c r="E36" s="23" t="s">
        <v>328</v>
      </c>
      <c r="F36" s="248">
        <v>37.49</v>
      </c>
      <c r="G36" s="248">
        <v>36.58</v>
      </c>
      <c r="H36" s="336">
        <v>50</v>
      </c>
      <c r="I36" s="49">
        <v>1829</v>
      </c>
      <c r="J36" s="379">
        <v>45.5</v>
      </c>
      <c r="K36" s="365">
        <v>2.4876981957353848E-2</v>
      </c>
      <c r="L36" s="379">
        <v>238.46000000000004</v>
      </c>
      <c r="M36" s="30">
        <v>42702</v>
      </c>
      <c r="N36" s="376" t="str">
        <f>HYPERLINK("http://finance.yahoo.com/q?s=" &amp; E36, "Link")</f>
        <v>Link</v>
      </c>
      <c r="O36" s="375">
        <v>0</v>
      </c>
      <c r="P36" s="375">
        <v>-5.5999999999999999E-3</v>
      </c>
      <c r="Q36" s="152"/>
      <c r="R36" s="49"/>
      <c r="S36" s="49"/>
    </row>
    <row r="37" spans="1:20" ht="21.95" customHeight="1" x14ac:dyDescent="0.25">
      <c r="A37" s="51"/>
      <c r="B37" s="51"/>
      <c r="C37" s="52"/>
      <c r="E37" s="23" t="s">
        <v>202</v>
      </c>
      <c r="F37" s="248">
        <v>49.72</v>
      </c>
      <c r="G37" s="248">
        <v>52.679999999999993</v>
      </c>
      <c r="H37" s="50">
        <v>40</v>
      </c>
      <c r="I37" s="49">
        <v>2107.1999999999998</v>
      </c>
      <c r="J37" s="379">
        <v>-118.39999999999986</v>
      </c>
      <c r="K37" s="365">
        <v>-5.6188306757782726E-2</v>
      </c>
      <c r="L37" s="49">
        <v>163.56000000000108</v>
      </c>
      <c r="M37">
        <v>40</v>
      </c>
      <c r="N37" s="376" t="str">
        <f>HYPERLINK("http://finance.yahoo.com/q?s=" &amp; E37, "Link")</f>
        <v>Link</v>
      </c>
      <c r="O37" s="365">
        <v>1.23E-2</v>
      </c>
      <c r="P37" s="365">
        <v>2E-3</v>
      </c>
      <c r="Q37" s="461"/>
      <c r="T37" s="49"/>
    </row>
    <row r="38" spans="1:20" ht="21.95" customHeight="1" x14ac:dyDescent="0.25">
      <c r="A38" s="51"/>
      <c r="B38" s="51"/>
      <c r="C38" s="52"/>
      <c r="E38" s="23" t="s">
        <v>47</v>
      </c>
      <c r="F38" s="248">
        <v>91.99</v>
      </c>
      <c r="G38" s="248">
        <v>91.99</v>
      </c>
      <c r="H38" s="336">
        <v>0</v>
      </c>
      <c r="I38" s="49">
        <v>0</v>
      </c>
      <c r="J38" s="379">
        <v>0</v>
      </c>
      <c r="K38" s="365">
        <v>0</v>
      </c>
      <c r="L38" s="379">
        <v>-168.6200000000008</v>
      </c>
      <c r="M38">
        <v>0</v>
      </c>
      <c r="N38" s="376" t="str">
        <f>HYPERLINK("http://finance.yahoo.com/q?s=" &amp; E38, "Link")</f>
        <v>Link</v>
      </c>
      <c r="O38" s="375">
        <v>2.5600000000000001E-2</v>
      </c>
      <c r="P38" s="375">
        <v>1.0800000000000001E-2</v>
      </c>
      <c r="Q38" s="461"/>
      <c r="R38" s="49"/>
    </row>
    <row r="39" spans="1:20" ht="21.95" customHeight="1" x14ac:dyDescent="0.25">
      <c r="A39" s="51"/>
      <c r="B39" s="52"/>
      <c r="C39" s="52"/>
      <c r="E39" s="23" t="s">
        <v>179</v>
      </c>
      <c r="F39" s="248">
        <v>47.65</v>
      </c>
      <c r="G39" s="248">
        <v>47.65</v>
      </c>
      <c r="H39" s="336">
        <v>0</v>
      </c>
      <c r="I39" s="49">
        <v>0</v>
      </c>
      <c r="J39" s="379">
        <v>0</v>
      </c>
      <c r="K39" s="365">
        <v>0</v>
      </c>
      <c r="L39" s="379">
        <v>75.019999999999982</v>
      </c>
      <c r="M39">
        <v>0</v>
      </c>
      <c r="N39" s="376" t="str">
        <f>HYPERLINK("http://finance.yahoo.com/q?s=" &amp; E39, "Link")</f>
        <v>Link</v>
      </c>
      <c r="O39" s="375">
        <v>1.54E-2</v>
      </c>
      <c r="P39" s="375">
        <v>-1.06E-2</v>
      </c>
      <c r="Q39" s="152"/>
    </row>
    <row r="40" spans="1:20" ht="21.95" customHeight="1" x14ac:dyDescent="0.25">
      <c r="A40" s="52"/>
      <c r="B40" s="51"/>
      <c r="C40" s="52"/>
      <c r="E40" s="23" t="s">
        <v>23</v>
      </c>
      <c r="F40" s="248">
        <v>31.54</v>
      </c>
      <c r="G40" s="248">
        <v>31.18</v>
      </c>
      <c r="H40" s="336">
        <v>50</v>
      </c>
      <c r="I40" s="49">
        <v>1559</v>
      </c>
      <c r="J40" s="379">
        <v>18</v>
      </c>
      <c r="K40" s="365">
        <v>1.1545862732520829E-2</v>
      </c>
      <c r="L40" s="379">
        <v>18</v>
      </c>
      <c r="M40">
        <v>50</v>
      </c>
      <c r="N40" s="376" t="str">
        <f>HYPERLINK("http://finance.yahoo.com/q?s=" &amp; E40, "Link")</f>
        <v>Link</v>
      </c>
      <c r="O40" s="375">
        <v>0</v>
      </c>
      <c r="P40" s="375">
        <v>1.2800000000000001E-2</v>
      </c>
      <c r="Q40" s="461"/>
      <c r="R40" s="49"/>
      <c r="S40" s="49"/>
    </row>
    <row r="41" spans="1:20" ht="21.95" customHeight="1" x14ac:dyDescent="0.25">
      <c r="A41" s="51"/>
      <c r="B41" s="51"/>
      <c r="C41" s="52"/>
      <c r="E41" s="23" t="s">
        <v>227</v>
      </c>
      <c r="F41" s="248">
        <v>80.2</v>
      </c>
      <c r="G41" s="248">
        <v>80.2</v>
      </c>
      <c r="H41" s="336">
        <v>0</v>
      </c>
      <c r="I41" s="49">
        <v>0</v>
      </c>
      <c r="J41" s="379">
        <v>0</v>
      </c>
      <c r="K41" s="365">
        <v>0</v>
      </c>
      <c r="L41" s="379">
        <v>668.15000000000146</v>
      </c>
      <c r="M41">
        <v>0</v>
      </c>
      <c r="N41" s="376" t="str">
        <f>HYPERLINK("http://finance.yahoo.com/q?s=" &amp; E41, "Link")</f>
        <v>Link</v>
      </c>
      <c r="O41" s="375">
        <v>1.29E-2</v>
      </c>
      <c r="P41" s="375">
        <v>-6.4000000000000003E-3</v>
      </c>
    </row>
    <row r="42" spans="1:20" ht="21.95" customHeight="1" x14ac:dyDescent="0.25">
      <c r="A42" s="51"/>
      <c r="B42" s="51"/>
      <c r="C42" s="52"/>
      <c r="E42" s="23" t="s">
        <v>180</v>
      </c>
      <c r="F42" s="248">
        <v>209.74</v>
      </c>
      <c r="G42" s="248">
        <v>209.74</v>
      </c>
      <c r="H42" s="336">
        <v>0</v>
      </c>
      <c r="I42" s="49">
        <v>0</v>
      </c>
      <c r="J42" s="379">
        <v>0</v>
      </c>
      <c r="K42" s="365">
        <v>0</v>
      </c>
      <c r="L42" s="379">
        <v>160.82999999999993</v>
      </c>
      <c r="M42">
        <v>0</v>
      </c>
      <c r="N42" s="376" t="str">
        <f>HYPERLINK("http://finance.yahoo.com/q?s=" &amp; E42, "Link")</f>
        <v>Link</v>
      </c>
      <c r="O42" s="375">
        <v>0</v>
      </c>
      <c r="P42" s="375">
        <v>-6.0000000000000001E-3</v>
      </c>
      <c r="R42" s="49"/>
    </row>
    <row r="43" spans="1:20" ht="21.95" customHeight="1" x14ac:dyDescent="0.25">
      <c r="A43" s="52"/>
      <c r="B43" s="52"/>
      <c r="C43" s="52"/>
      <c r="E43" s="23" t="s">
        <v>355</v>
      </c>
      <c r="F43" s="248">
        <v>26.32</v>
      </c>
      <c r="G43" s="248">
        <v>25.516000000000005</v>
      </c>
      <c r="H43" s="336">
        <v>200</v>
      </c>
      <c r="I43" s="49">
        <v>5103.2000000000007</v>
      </c>
      <c r="J43" s="379">
        <v>160.79999999999927</v>
      </c>
      <c r="K43" s="365">
        <v>3.1509641009562425E-2</v>
      </c>
      <c r="L43" s="379">
        <v>160.79999999999927</v>
      </c>
      <c r="M43">
        <v>120</v>
      </c>
      <c r="N43" s="376" t="str">
        <f>HYPERLINK("http://finance.yahoo.com/q?s=" &amp; E43, "Link")</f>
        <v>Link</v>
      </c>
      <c r="O43" s="375">
        <v>0</v>
      </c>
      <c r="P43" s="375">
        <v>0.01</v>
      </c>
      <c r="Q43" s="49"/>
      <c r="T43" s="49"/>
    </row>
    <row r="44" spans="1:20" ht="21.95" customHeight="1" x14ac:dyDescent="0.25">
      <c r="A44" s="51"/>
      <c r="B44" s="51"/>
      <c r="C44" s="52"/>
      <c r="E44" s="23" t="s">
        <v>175</v>
      </c>
      <c r="F44" s="248">
        <v>75.03</v>
      </c>
      <c r="G44" s="248">
        <v>75.03</v>
      </c>
      <c r="H44" s="50">
        <v>0</v>
      </c>
      <c r="I44" s="49">
        <v>0</v>
      </c>
      <c r="J44" s="379">
        <v>0</v>
      </c>
      <c r="K44" s="365">
        <v>0</v>
      </c>
      <c r="L44" s="49">
        <v>1368.8999999999978</v>
      </c>
      <c r="M44">
        <v>0</v>
      </c>
      <c r="N44" s="376" t="str">
        <f>HYPERLINK("http://finance.yahoo.com/q?s=" &amp; E44, "Link")</f>
        <v>Link</v>
      </c>
      <c r="O44" s="365">
        <v>1.4800000000000001E-2</v>
      </c>
      <c r="P44" s="365">
        <v>-1.03E-2</v>
      </c>
      <c r="Q44" s="152"/>
    </row>
    <row r="45" spans="1:20" ht="21.95" customHeight="1" x14ac:dyDescent="0.25">
      <c r="A45" s="51"/>
      <c r="B45" s="51"/>
      <c r="C45" s="52"/>
      <c r="E45" s="23" t="s">
        <v>39</v>
      </c>
      <c r="F45" s="248">
        <v>32.049999999999997</v>
      </c>
      <c r="G45" s="248">
        <v>32.049999999999997</v>
      </c>
      <c r="H45" s="336">
        <v>0</v>
      </c>
      <c r="I45" s="49">
        <v>0</v>
      </c>
      <c r="J45" s="379">
        <v>0</v>
      </c>
      <c r="K45" s="365">
        <v>0</v>
      </c>
      <c r="L45" s="379">
        <v>529.88000000000284</v>
      </c>
      <c r="M45">
        <v>0</v>
      </c>
      <c r="N45" s="376" t="str">
        <f>HYPERLINK("http://finance.yahoo.com/q?s=" &amp; E45, "Link")</f>
        <v>Link</v>
      </c>
      <c r="O45" s="375">
        <v>3.15E-2</v>
      </c>
      <c r="P45" s="375">
        <v>-1.6899999999999998E-2</v>
      </c>
      <c r="Q45" s="152"/>
    </row>
    <row r="46" spans="1:20" ht="21.95" customHeight="1" x14ac:dyDescent="0.25">
      <c r="A46" s="61"/>
      <c r="B46" s="62"/>
      <c r="C46" s="61"/>
      <c r="E46" s="23" t="s">
        <v>0</v>
      </c>
      <c r="F46" s="248">
        <v>145.80000000000001</v>
      </c>
      <c r="G46" s="248">
        <v>145.80000000000001</v>
      </c>
      <c r="H46" s="336">
        <v>0</v>
      </c>
      <c r="I46" s="443">
        <v>0</v>
      </c>
      <c r="J46" s="379">
        <v>0</v>
      </c>
      <c r="K46" s="365">
        <v>0</v>
      </c>
      <c r="L46" s="379">
        <v>171.47000000000003</v>
      </c>
      <c r="M46">
        <v>0</v>
      </c>
      <c r="N46" s="376" t="str">
        <f>HYPERLINK("http://finance.yahoo.com/q?s=" &amp; E46, "Link")</f>
        <v>Link</v>
      </c>
      <c r="O46" s="375">
        <v>4.1000000000000003E-3</v>
      </c>
      <c r="P46" s="375">
        <v>-1.5E-3</v>
      </c>
      <c r="Q46" s="152"/>
      <c r="R46" s="49"/>
      <c r="S46" s="49"/>
      <c r="T46" s="49"/>
    </row>
    <row r="47" spans="1:20" ht="21.95" customHeight="1" x14ac:dyDescent="0.25">
      <c r="A47" s="51"/>
      <c r="B47" s="51"/>
      <c r="C47" s="52"/>
      <c r="E47" s="23" t="s">
        <v>13</v>
      </c>
      <c r="F47" s="248">
        <v>56.14</v>
      </c>
      <c r="G47" s="248">
        <v>56.14</v>
      </c>
      <c r="H47" s="336">
        <v>0</v>
      </c>
      <c r="I47" s="49">
        <v>0</v>
      </c>
      <c r="J47" s="379">
        <v>0</v>
      </c>
      <c r="K47" s="365">
        <v>0</v>
      </c>
      <c r="L47" s="379">
        <v>1461.5600000000013</v>
      </c>
      <c r="M47">
        <v>0</v>
      </c>
      <c r="N47" s="376" t="str">
        <f>HYPERLINK("http://finance.yahoo.com/q?s=" &amp; E47, "Link")</f>
        <v>Link</v>
      </c>
      <c r="O47" s="375">
        <v>0</v>
      </c>
      <c r="P47" s="375">
        <v>2.5000000000000001E-3</v>
      </c>
      <c r="Q47" s="49"/>
      <c r="R47" s="49"/>
      <c r="S47" s="49"/>
      <c r="T47" s="49"/>
    </row>
    <row r="48" spans="1:20" ht="21.95" customHeight="1" x14ac:dyDescent="0.25">
      <c r="A48" s="51"/>
      <c r="B48" s="51"/>
      <c r="C48" s="52"/>
      <c r="E48" s="23" t="s">
        <v>51</v>
      </c>
      <c r="F48" s="248">
        <v>138.97999999999999</v>
      </c>
      <c r="G48" s="248">
        <v>138.97999999999999</v>
      </c>
      <c r="H48" s="336">
        <v>0</v>
      </c>
      <c r="I48" s="49">
        <v>0</v>
      </c>
      <c r="J48" s="379">
        <v>0</v>
      </c>
      <c r="K48" s="365">
        <v>0</v>
      </c>
      <c r="L48" s="379">
        <v>176.70000000000073</v>
      </c>
      <c r="M48">
        <v>0</v>
      </c>
      <c r="N48" s="376" t="str">
        <f>HYPERLINK("http://finance.yahoo.com/q?s=" &amp; E48, "Link")</f>
        <v>Link</v>
      </c>
      <c r="O48" s="375">
        <v>1.78E-2</v>
      </c>
      <c r="P48" s="375">
        <v>-3.2000000000000002E-3</v>
      </c>
      <c r="Q48" s="152"/>
      <c r="S48" s="49"/>
    </row>
    <row r="49" spans="1:19" ht="21.95" customHeight="1" x14ac:dyDescent="0.25">
      <c r="A49" s="52"/>
      <c r="B49" s="52"/>
      <c r="C49" s="52"/>
      <c r="E49" s="23" t="s">
        <v>42</v>
      </c>
      <c r="F49" s="248">
        <v>88.69</v>
      </c>
      <c r="G49" s="248">
        <v>88.69</v>
      </c>
      <c r="H49" s="50">
        <v>0</v>
      </c>
      <c r="I49" s="49">
        <v>0</v>
      </c>
      <c r="J49" s="379">
        <v>0</v>
      </c>
      <c r="K49" s="365">
        <v>0</v>
      </c>
      <c r="L49" s="49">
        <v>128.08999999999833</v>
      </c>
      <c r="M49">
        <v>0</v>
      </c>
      <c r="N49" s="376" t="str">
        <f>HYPERLINK("http://finance.yahoo.com/q?s=" &amp; E49, "Link")</f>
        <v>Link</v>
      </c>
      <c r="O49" s="365">
        <v>2.5600000000000001E-2</v>
      </c>
      <c r="P49" s="365">
        <v>9.1000000000000004E-3</v>
      </c>
    </row>
    <row r="50" spans="1:19" ht="21.95" customHeight="1" x14ac:dyDescent="0.25">
      <c r="A50" s="51"/>
      <c r="B50" s="51"/>
      <c r="C50" s="52"/>
      <c r="E50" s="23" t="s">
        <v>54</v>
      </c>
      <c r="F50" s="248">
        <v>101.54</v>
      </c>
      <c r="G50" s="248">
        <v>101.54</v>
      </c>
      <c r="H50" s="336">
        <v>0</v>
      </c>
      <c r="I50" s="49">
        <v>0</v>
      </c>
      <c r="J50" s="379">
        <v>0</v>
      </c>
      <c r="K50" s="365">
        <v>0</v>
      </c>
      <c r="L50" s="379">
        <v>114.84999999999991</v>
      </c>
      <c r="M50">
        <v>0</v>
      </c>
      <c r="N50" s="376" t="str">
        <f>HYPERLINK("http://finance.yahoo.com/q?s=" &amp; E50, "Link")</f>
        <v>Link</v>
      </c>
      <c r="O50" s="375">
        <v>2.5899999999999999E-2</v>
      </c>
      <c r="P50" s="375">
        <v>-4.5999999999999999E-3</v>
      </c>
      <c r="Q50" s="461"/>
      <c r="R50" s="49"/>
    </row>
    <row r="51" spans="1:19" ht="21.95" customHeight="1" x14ac:dyDescent="0.25">
      <c r="A51" s="51"/>
      <c r="B51" s="51"/>
      <c r="C51" s="52"/>
      <c r="E51" s="23" t="s">
        <v>245</v>
      </c>
      <c r="F51" s="248">
        <v>46.51</v>
      </c>
      <c r="G51" s="248">
        <v>46.51</v>
      </c>
      <c r="H51" s="336">
        <v>0</v>
      </c>
      <c r="I51" s="49">
        <v>0</v>
      </c>
      <c r="J51" s="379">
        <v>0</v>
      </c>
      <c r="K51" s="365">
        <v>0</v>
      </c>
      <c r="L51" s="379">
        <v>257.64999999999964</v>
      </c>
      <c r="M51">
        <v>0</v>
      </c>
      <c r="N51" s="376" t="str">
        <f>HYPERLINK("http://finance.yahoo.com/q?s=" &amp; E51, "Link")</f>
        <v>Link</v>
      </c>
      <c r="O51" s="375">
        <v>0</v>
      </c>
      <c r="P51" s="375">
        <v>-6.6E-3</v>
      </c>
      <c r="R51" s="49"/>
    </row>
    <row r="52" spans="1:19" ht="21.95" customHeight="1" x14ac:dyDescent="0.25">
      <c r="A52" s="51"/>
      <c r="B52" s="51"/>
      <c r="C52" s="52"/>
      <c r="E52" s="23" t="s">
        <v>178</v>
      </c>
      <c r="F52" s="248">
        <v>45.24</v>
      </c>
      <c r="G52" s="248">
        <v>44.791000000000011</v>
      </c>
      <c r="H52" s="50">
        <v>40</v>
      </c>
      <c r="I52" s="49">
        <v>1791.6400000000003</v>
      </c>
      <c r="J52" s="379">
        <v>17.959999999999809</v>
      </c>
      <c r="K52" s="365">
        <v>1.0024335245919735E-2</v>
      </c>
      <c r="L52" s="49">
        <v>354.37000000000512</v>
      </c>
      <c r="M52">
        <v>40</v>
      </c>
      <c r="N52" s="376" t="str">
        <f>HYPERLINK("http://finance.yahoo.com/q?s=" &amp; E52, "Link")</f>
        <v>Link</v>
      </c>
      <c r="O52" s="365">
        <v>3.2800000000000003E-2</v>
      </c>
      <c r="P52" s="365">
        <v>-8.0999999999999996E-3</v>
      </c>
      <c r="Q52" s="152"/>
    </row>
    <row r="53" spans="1:19" ht="21.95" customHeight="1" x14ac:dyDescent="0.25">
      <c r="A53" s="51"/>
      <c r="B53" s="51"/>
      <c r="C53" s="52"/>
      <c r="E53" s="23" t="s">
        <v>53</v>
      </c>
      <c r="F53" s="248">
        <v>57.45</v>
      </c>
      <c r="G53" s="248">
        <v>57.45</v>
      </c>
      <c r="H53" s="336">
        <v>0</v>
      </c>
      <c r="I53" s="49">
        <v>0</v>
      </c>
      <c r="J53" s="379">
        <v>0</v>
      </c>
      <c r="K53" s="365">
        <v>0</v>
      </c>
      <c r="L53" s="379">
        <v>33.940000000000055</v>
      </c>
      <c r="M53">
        <v>0</v>
      </c>
      <c r="N53" s="376" t="str">
        <f>HYPERLINK("http://finance.yahoo.com/q?s=" &amp; E53, "Link")</f>
        <v>Link</v>
      </c>
      <c r="O53" s="375">
        <v>7.4999999999999997E-3</v>
      </c>
      <c r="P53" s="375">
        <v>-3.8E-3</v>
      </c>
    </row>
    <row r="54" spans="1:19" ht="21.95" customHeight="1" x14ac:dyDescent="0.25">
      <c r="A54" s="51"/>
      <c r="B54" s="51"/>
      <c r="C54" s="52"/>
      <c r="E54" s="23"/>
      <c r="J54" s="379"/>
      <c r="K54" s="365"/>
      <c r="N54" s="376"/>
      <c r="R54" s="49"/>
      <c r="S54" s="49"/>
    </row>
    <row r="55" spans="1:19" ht="21.95" customHeight="1" x14ac:dyDescent="0.25">
      <c r="A55" s="159"/>
      <c r="B55" s="51"/>
      <c r="C55" s="52"/>
      <c r="E55" s="23"/>
      <c r="J55" s="379"/>
      <c r="K55" s="365"/>
      <c r="N55" s="376"/>
      <c r="S55" s="49"/>
    </row>
  </sheetData>
  <sortState ref="A2:U55">
    <sortCondition ref="E1"/>
  </sortState>
  <dataConsolidate/>
  <conditionalFormatting sqref="O1:O1048576">
    <cfRule type="expression" dxfId="863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862" priority="13">
      <formula>$H2=0</formula>
    </cfRule>
  </conditionalFormatting>
  <conditionalFormatting sqref="J2:K200">
    <cfRule type="expression" dxfId="861" priority="14">
      <formula>$J2=0</formula>
    </cfRule>
  </conditionalFormatting>
  <conditionalFormatting sqref="L1:L1048576">
    <cfRule type="expression" dxfId="860" priority="12">
      <formula>$L2=0</formula>
    </cfRule>
  </conditionalFormatting>
  <conditionalFormatting sqref="M1">
    <cfRule type="expression" dxfId="859" priority="8">
      <formula>$L2=0</formula>
    </cfRule>
  </conditionalFormatting>
  <conditionalFormatting sqref="J2:K58">
    <cfRule type="expression" dxfId="858" priority="56">
      <formula>$J2&gt;0</formula>
    </cfRule>
  </conditionalFormatting>
  <conditionalFormatting sqref="L2:L58">
    <cfRule type="expression" dxfId="857" priority="10">
      <formula>$L2&lt;0</formula>
    </cfRule>
    <cfRule type="expression" dxfId="856" priority="11">
      <formula>$L2&gt;0</formula>
    </cfRule>
  </conditionalFormatting>
  <conditionalFormatting sqref="J2:K458">
    <cfRule type="expression" dxfId="855" priority="55">
      <formula>$J2&lt;0</formula>
    </cfRule>
  </conditionalFormatting>
  <conditionalFormatting sqref="P1:P1048576">
    <cfRule type="expression" dxfId="854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8" location="BIIB!A1" display="BIIB"/>
    <hyperlink ref="E35" location="MYL!A1" display="MYL"/>
    <hyperlink ref="E41" location="SIG!A1" display="SIG"/>
    <hyperlink ref="E3" location="AAPL!A1" display="AAPL"/>
    <hyperlink ref="E7" location="AXP!A1" display="AXP"/>
    <hyperlink ref="E16" location="DG!A1" display="DG"/>
    <hyperlink ref="E40" location="PINC!A1" display="PINC"/>
    <hyperlink ref="E19" location="FOXA!A1" display="FOXA"/>
    <hyperlink ref="E43" location="SWHC!A1" display="SWHC"/>
    <hyperlink ref="E11" location="CF!A1" display="CF"/>
    <hyperlink ref="E31" location="LUV!A1" display="LUV"/>
    <hyperlink ref="E9" location="BMY!A1" display="BMY"/>
    <hyperlink ref="E4" location="AKAM!A1" display="AKAM"/>
    <hyperlink ref="E14" location="CVS!A1" display="CVS"/>
    <hyperlink ref="E33" location="MRO!A1" display="MRO"/>
    <hyperlink ref="E30" location="KR!A1" display="KR"/>
    <hyperlink ref="E18" location="F!A1" display="F"/>
    <hyperlink ref="E27" location="JNJ!A1" display="JNJ"/>
    <hyperlink ref="E13" location="CPN!A1" display="CPN"/>
    <hyperlink ref="E37" location="NKE!A1" display="NKE"/>
    <hyperlink ref="E32" location="MOS!A1" display="MOS"/>
    <hyperlink ref="E51" location="VGK!A1" display="VGK"/>
    <hyperlink ref="E34" location="MU!A1" display="MU"/>
    <hyperlink ref="E26" location="IP!A1" display="IP"/>
    <hyperlink ref="E25" location="INTC!A1" display="INTC"/>
    <hyperlink ref="E24" location="HES!A1" display="HES"/>
    <hyperlink ref="E49" location="UNP!A1" display="UNP"/>
    <hyperlink ref="E36" location="NCLH!A1" display="NCLH"/>
    <hyperlink ref="E42" location="SPY!A1" display="SPY"/>
    <hyperlink ref="E44" location="SWKS!A1" display="SWKS"/>
    <hyperlink ref="E12" location="CNI!A1" display="CNI"/>
    <hyperlink ref="E52" location="WFC!A1" display="WFC"/>
    <hyperlink ref="E2" location="AA!A1" display="AA"/>
    <hyperlink ref="E28" location="KATE!A1" display="KATE"/>
    <hyperlink ref="E39" location="NWL!A1" display="NWL"/>
    <hyperlink ref="E29" location="KORS!A1" display="KORS"/>
    <hyperlink ref="E5" location="ALL!A1" display="ALL"/>
    <hyperlink ref="E38" location="NSC!A1" display="NSC"/>
    <hyperlink ref="E6" location="AVGO!A1" display="AVGO"/>
    <hyperlink ref="E47" location="UAL!A1" display="UAL"/>
    <hyperlink ref="E10" location="CAH!A1" display="CAH"/>
    <hyperlink ref="E15" location="DAL!A1" display="DAL"/>
    <hyperlink ref="E17" location="DIS!A1" display="DIS"/>
    <hyperlink ref="E20" location="FTR!A1" display="FTR"/>
    <hyperlink ref="E21" location="GILD!A1" display="GILD"/>
    <hyperlink ref="E53" location="WWD!A1" display="WWD"/>
    <hyperlink ref="E22" location="GIS!A1" display="GIS"/>
    <hyperlink ref="E23" location="GM!A1" display="GM"/>
    <hyperlink ref="E46" location="TMO!A1" display="TMO"/>
    <hyperlink ref="E45" location="TKR!A1" display="TKR"/>
    <hyperlink ref="E50" location="UTX!A1" display="UTX"/>
    <hyperlink ref="E48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42676</v>
      </c>
      <c r="X2" s="10">
        <v>282.31</v>
      </c>
      <c r="Y2" s="10">
        <v>282.31</v>
      </c>
      <c r="Z2" s="10">
        <v>277.08999999999997</v>
      </c>
      <c r="AA2" s="10">
        <v>277.26</v>
      </c>
      <c r="AB2" s="95">
        <v>1067600</v>
      </c>
      <c r="AC2" s="10">
        <v>277.26</v>
      </c>
      <c r="AD2" s="2">
        <f>Y2-Z2</f>
        <v>5.2200000000000273</v>
      </c>
      <c r="AE2" s="138">
        <f>AC2/AC3-1</f>
        <v>-1.8757078142695449E-2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277.26</v>
      </c>
      <c r="W3" s="133">
        <v>42675</v>
      </c>
      <c r="X3" s="10">
        <v>280.02999999999997</v>
      </c>
      <c r="Y3" s="10">
        <v>285.18</v>
      </c>
      <c r="Z3" s="10">
        <v>279.52999999999997</v>
      </c>
      <c r="AA3" s="10">
        <v>282.56</v>
      </c>
      <c r="AB3" s="95">
        <v>1365400</v>
      </c>
      <c r="AC3" s="10">
        <v>282.56</v>
      </c>
      <c r="AD3" s="2">
        <f t="shared" ref="AD3:AD66" si="0">Y3-Z3</f>
        <v>5.6500000000000341</v>
      </c>
      <c r="AE3" s="138">
        <f t="shared" ref="AE3:AE66" si="1">AC3/AC4-1</f>
        <v>8.4945392247841589E-3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277.26</v>
      </c>
      <c r="R4" s="557">
        <v>-1.8800000000000001E-2</v>
      </c>
      <c r="T4" s="1"/>
      <c r="W4" s="133">
        <v>42674</v>
      </c>
      <c r="X4" s="10">
        <v>284.91000000000003</v>
      </c>
      <c r="Y4" s="10">
        <v>285</v>
      </c>
      <c r="Z4" s="10">
        <v>279.23</v>
      </c>
      <c r="AA4" s="10">
        <v>280.18</v>
      </c>
      <c r="AB4" s="95">
        <v>1394600</v>
      </c>
      <c r="AC4" s="10">
        <v>280.18</v>
      </c>
      <c r="AD4" s="2">
        <f t="shared" si="0"/>
        <v>5.7699999999999818</v>
      </c>
      <c r="AE4" s="138">
        <f t="shared" si="1"/>
        <v>-1.219856155690302E-2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42671</v>
      </c>
      <c r="X5" s="10">
        <v>290.29000000000002</v>
      </c>
      <c r="Y5" s="10">
        <v>290.47000000000003</v>
      </c>
      <c r="Z5" s="10">
        <v>280.33999999999997</v>
      </c>
      <c r="AA5" s="10">
        <v>283.64</v>
      </c>
      <c r="AB5" s="95">
        <v>1876500</v>
      </c>
      <c r="AC5" s="10">
        <v>283.64</v>
      </c>
      <c r="AD5" s="2">
        <f t="shared" si="0"/>
        <v>10.130000000000052</v>
      </c>
      <c r="AE5" s="138">
        <f t="shared" si="1"/>
        <v>-2.4923510605383448E-2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42670</v>
      </c>
      <c r="X6" s="10">
        <v>298</v>
      </c>
      <c r="Y6" s="10">
        <v>300.77999999999997</v>
      </c>
      <c r="Z6" s="10">
        <v>290.51</v>
      </c>
      <c r="AA6" s="10">
        <v>290.89</v>
      </c>
      <c r="AB6" s="95">
        <v>1547800</v>
      </c>
      <c r="AC6" s="10">
        <v>290.89</v>
      </c>
      <c r="AD6" s="2">
        <f t="shared" si="0"/>
        <v>10.269999999999982</v>
      </c>
      <c r="AE6" s="138">
        <f t="shared" si="1"/>
        <v>-1.8788369425892126E-2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184</v>
      </c>
      <c r="Q7" s="2">
        <f>Q10+Q8</f>
        <v>1659.3600000000079</v>
      </c>
      <c r="R7">
        <v>0</v>
      </c>
      <c r="W7" s="133">
        <v>42669</v>
      </c>
      <c r="X7" s="10">
        <v>294.98</v>
      </c>
      <c r="Y7" s="10">
        <v>301.33999999999997</v>
      </c>
      <c r="Z7" s="10">
        <v>291.3</v>
      </c>
      <c r="AA7" s="10">
        <v>296.45999999999998</v>
      </c>
      <c r="AB7" s="95">
        <v>2633100</v>
      </c>
      <c r="AC7" s="10">
        <v>296.45999999999998</v>
      </c>
      <c r="AD7" s="2">
        <f t="shared" si="0"/>
        <v>10.039999999999964</v>
      </c>
      <c r="AE7" s="138">
        <f t="shared" si="1"/>
        <v>3.6573426573426548E-2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42668</v>
      </c>
      <c r="X8" s="10">
        <v>290.83999999999997</v>
      </c>
      <c r="Y8" s="10">
        <v>291.08</v>
      </c>
      <c r="Z8" s="10">
        <v>285.27</v>
      </c>
      <c r="AA8" s="10">
        <v>286</v>
      </c>
      <c r="AB8" s="95">
        <v>1780300</v>
      </c>
      <c r="AC8" s="10">
        <v>286</v>
      </c>
      <c r="AD8" s="2">
        <f t="shared" si="0"/>
        <v>5.8100000000000023</v>
      </c>
      <c r="AE8" s="138">
        <f t="shared" si="1"/>
        <v>-1.6438544604168048E-2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219</v>
      </c>
      <c r="Q9" s="138">
        <f>IF(Q2=0, 0, Q8/Q6)</f>
        <v>0</v>
      </c>
      <c r="T9" s="158"/>
      <c r="W9" s="133">
        <v>42667</v>
      </c>
      <c r="X9" s="10">
        <v>292.3</v>
      </c>
      <c r="Y9" s="10">
        <v>293.39999999999998</v>
      </c>
      <c r="Z9" s="10">
        <v>290</v>
      </c>
      <c r="AA9" s="10">
        <v>290.77999999999997</v>
      </c>
      <c r="AB9" s="95">
        <v>1071700</v>
      </c>
      <c r="AC9" s="10">
        <v>290.77999999999997</v>
      </c>
      <c r="AD9" s="2">
        <f t="shared" si="0"/>
        <v>3.3999999999999773</v>
      </c>
      <c r="AE9" s="138">
        <f t="shared" si="1"/>
        <v>4.4727335282979119E-4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218</v>
      </c>
      <c r="P10" s="34"/>
      <c r="Q10" s="2">
        <f>M39</f>
        <v>1659.3600000000079</v>
      </c>
      <c r="W10" s="133">
        <v>42664</v>
      </c>
      <c r="X10" s="10">
        <v>299.07</v>
      </c>
      <c r="Y10" s="10">
        <v>299.07</v>
      </c>
      <c r="Z10" s="10">
        <v>289.77999999999997</v>
      </c>
      <c r="AA10" s="10">
        <v>290.64999999999998</v>
      </c>
      <c r="AB10" s="95">
        <v>1565900</v>
      </c>
      <c r="AC10" s="10">
        <v>290.64999999999998</v>
      </c>
      <c r="AD10" s="2">
        <f t="shared" si="0"/>
        <v>9.2900000000000205</v>
      </c>
      <c r="AE10" s="138">
        <f t="shared" si="1"/>
        <v>-3.0067409731028616E-2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42663</v>
      </c>
      <c r="X11" s="10">
        <v>293.85000000000002</v>
      </c>
      <c r="Y11" s="10">
        <v>300.32</v>
      </c>
      <c r="Z11" s="10">
        <v>293.77</v>
      </c>
      <c r="AA11" s="10">
        <v>299.66000000000003</v>
      </c>
      <c r="AB11" s="95">
        <v>1321000</v>
      </c>
      <c r="AC11" s="10">
        <v>299.66000000000003</v>
      </c>
      <c r="AD11" s="2">
        <f t="shared" si="0"/>
        <v>6.5500000000000114</v>
      </c>
      <c r="AE11" s="138">
        <f t="shared" si="1"/>
        <v>1.5314765873822633E-2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42662</v>
      </c>
      <c r="X12" s="10">
        <v>296.26</v>
      </c>
      <c r="Y12" s="10">
        <v>296.54000000000002</v>
      </c>
      <c r="Z12" s="10">
        <v>292.49</v>
      </c>
      <c r="AA12" s="10">
        <v>295.14</v>
      </c>
      <c r="AB12" s="95">
        <v>986800</v>
      </c>
      <c r="AC12" s="10">
        <v>295.14</v>
      </c>
      <c r="AD12" s="2">
        <f t="shared" si="0"/>
        <v>4.0500000000000114</v>
      </c>
      <c r="AE12" s="138">
        <f t="shared" si="1"/>
        <v>3.0503304524653885E-4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42661</v>
      </c>
      <c r="X13" s="10">
        <v>292.87</v>
      </c>
      <c r="Y13" s="10">
        <v>298.57</v>
      </c>
      <c r="Z13" s="10">
        <v>292.63</v>
      </c>
      <c r="AA13" s="10">
        <v>295.05</v>
      </c>
      <c r="AB13" s="95">
        <v>1151100</v>
      </c>
      <c r="AC13" s="10">
        <v>295.05</v>
      </c>
      <c r="AD13" s="2">
        <f t="shared" si="0"/>
        <v>5.9399999999999977</v>
      </c>
      <c r="AE13" s="138">
        <f t="shared" si="1"/>
        <v>1.1588438989268646E-2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42660</v>
      </c>
      <c r="X14" s="10">
        <v>289.89</v>
      </c>
      <c r="Y14" s="10">
        <v>293.42</v>
      </c>
      <c r="Z14" s="10">
        <v>288.25</v>
      </c>
      <c r="AA14" s="10">
        <v>291.67</v>
      </c>
      <c r="AB14" s="95">
        <v>1207000</v>
      </c>
      <c r="AC14" s="10">
        <v>291.67</v>
      </c>
      <c r="AD14" s="2">
        <f t="shared" si="0"/>
        <v>5.1700000000000159</v>
      </c>
      <c r="AE14" s="138">
        <f t="shared" si="1"/>
        <v>4.0275387263339901E-3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42657</v>
      </c>
      <c r="X15" s="10">
        <v>295.63</v>
      </c>
      <c r="Y15" s="10">
        <v>297.33999999999997</v>
      </c>
      <c r="Z15" s="10">
        <v>290.13</v>
      </c>
      <c r="AA15" s="10">
        <v>290.5</v>
      </c>
      <c r="AB15" s="95">
        <v>1148400</v>
      </c>
      <c r="AC15" s="10">
        <v>290.5</v>
      </c>
      <c r="AD15" s="2">
        <f t="shared" si="0"/>
        <v>7.2099999999999795</v>
      </c>
      <c r="AE15" s="138">
        <f t="shared" si="1"/>
        <v>-1.3280798885907497E-2</v>
      </c>
    </row>
    <row r="16" spans="1:40" x14ac:dyDescent="0.25">
      <c r="G16" s="1"/>
      <c r="W16" s="133">
        <v>42656</v>
      </c>
      <c r="X16" s="10">
        <v>289.19</v>
      </c>
      <c r="Y16" s="10">
        <v>296.62</v>
      </c>
      <c r="Z16" s="10">
        <v>288.91000000000003</v>
      </c>
      <c r="AA16" s="10">
        <v>294.41000000000003</v>
      </c>
      <c r="AB16" s="95">
        <v>1551600</v>
      </c>
      <c r="AC16" s="10">
        <v>294.41000000000003</v>
      </c>
      <c r="AD16" s="2">
        <f t="shared" si="0"/>
        <v>7.7099999999999795</v>
      </c>
      <c r="AE16" s="138">
        <f t="shared" si="1"/>
        <v>8.6679457311225061E-3</v>
      </c>
    </row>
    <row r="17" spans="1:31" x14ac:dyDescent="0.25">
      <c r="G17" s="1"/>
      <c r="W17" s="133">
        <v>42655</v>
      </c>
      <c r="X17" s="10">
        <v>298.29000000000002</v>
      </c>
      <c r="Y17" s="10">
        <v>299.12</v>
      </c>
      <c r="Z17" s="10">
        <v>291.49</v>
      </c>
      <c r="AA17" s="10">
        <v>291.88</v>
      </c>
      <c r="AB17" s="95">
        <v>1822600</v>
      </c>
      <c r="AC17" s="10">
        <v>291.88</v>
      </c>
      <c r="AD17" s="2">
        <f t="shared" si="0"/>
        <v>7.6299999999999955</v>
      </c>
      <c r="AE17" s="138">
        <f t="shared" si="1"/>
        <v>-2.1521957760643695E-2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42654</v>
      </c>
      <c r="X18" s="10">
        <v>304.13</v>
      </c>
      <c r="Y18" s="10">
        <v>304.52</v>
      </c>
      <c r="Z18" s="10">
        <v>296.32</v>
      </c>
      <c r="AA18" s="10">
        <v>298.3</v>
      </c>
      <c r="AB18" s="95">
        <v>1484000</v>
      </c>
      <c r="AC18" s="10">
        <v>298.3</v>
      </c>
      <c r="AD18" s="2">
        <f t="shared" si="0"/>
        <v>8.1999999999999886</v>
      </c>
      <c r="AE18" s="138">
        <f t="shared" si="1"/>
        <v>-2.0650710791555782E-2</v>
      </c>
    </row>
    <row r="19" spans="1:31" x14ac:dyDescent="0.25">
      <c r="N19" s="2"/>
      <c r="W19" s="133">
        <v>42653</v>
      </c>
      <c r="X19" s="10">
        <v>308</v>
      </c>
      <c r="Y19" s="10">
        <v>308.7</v>
      </c>
      <c r="Z19" s="10">
        <v>304.27</v>
      </c>
      <c r="AA19" s="10">
        <v>304.58999999999997</v>
      </c>
      <c r="AB19" s="95">
        <v>976500</v>
      </c>
      <c r="AC19" s="10">
        <v>304.58999999999997</v>
      </c>
      <c r="AD19" s="2">
        <f t="shared" si="0"/>
        <v>4.4300000000000068</v>
      </c>
      <c r="AE19" s="138">
        <f t="shared" si="1"/>
        <v>-3.272358388690777E-3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5" t="s">
        <v>158</v>
      </c>
      <c r="W20" s="133">
        <v>42650</v>
      </c>
      <c r="X20" s="10">
        <v>307.31</v>
      </c>
      <c r="Y20" s="10">
        <v>308</v>
      </c>
      <c r="Z20" s="10">
        <v>302.20999999999998</v>
      </c>
      <c r="AA20" s="10">
        <v>305.58999999999997</v>
      </c>
      <c r="AB20" s="95">
        <v>1524100</v>
      </c>
      <c r="AC20" s="10">
        <v>305.58999999999997</v>
      </c>
      <c r="AD20" s="2">
        <f t="shared" si="0"/>
        <v>5.7900000000000205</v>
      </c>
      <c r="AE20" s="138">
        <f t="shared" si="1"/>
        <v>-1.3072322624922972E-3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42649</v>
      </c>
      <c r="X21" s="10">
        <v>308.3</v>
      </c>
      <c r="Y21" s="10">
        <v>309.89</v>
      </c>
      <c r="Z21" s="10">
        <v>303.92</v>
      </c>
      <c r="AA21" s="10">
        <v>305.99</v>
      </c>
      <c r="AB21" s="95">
        <v>860500</v>
      </c>
      <c r="AC21" s="10">
        <v>305.99</v>
      </c>
      <c r="AD21" s="2">
        <f t="shared" si="0"/>
        <v>5.9699999999999704</v>
      </c>
      <c r="AE21" s="138">
        <f t="shared" si="1"/>
        <v>-1.1979334840167888E-2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42648</v>
      </c>
      <c r="X22" s="10">
        <v>313.27</v>
      </c>
      <c r="Y22" s="10">
        <v>313.32</v>
      </c>
      <c r="Z22" s="10">
        <v>308.60000000000002</v>
      </c>
      <c r="AA22" s="10">
        <v>309.7</v>
      </c>
      <c r="AB22" s="95">
        <v>974700</v>
      </c>
      <c r="AC22" s="10">
        <v>309.7</v>
      </c>
      <c r="AD22" s="2">
        <f t="shared" si="0"/>
        <v>4.7199999999999704</v>
      </c>
      <c r="AE22" s="138">
        <f t="shared" si="1"/>
        <v>-5.7146526261718789E-3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42647</v>
      </c>
      <c r="X23" s="10">
        <v>311.94</v>
      </c>
      <c r="Y23" s="10">
        <v>314</v>
      </c>
      <c r="Z23" s="10">
        <v>309.89</v>
      </c>
      <c r="AA23" s="10">
        <v>311.48</v>
      </c>
      <c r="AB23" s="95">
        <v>913100</v>
      </c>
      <c r="AC23" s="10">
        <v>311.48</v>
      </c>
      <c r="AD23" s="2">
        <f t="shared" si="0"/>
        <v>4.1100000000000136</v>
      </c>
      <c r="AE23" s="138">
        <f t="shared" si="1"/>
        <v>-3.5302801758707592E-4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42646</v>
      </c>
      <c r="X24" s="10">
        <v>313</v>
      </c>
      <c r="Y24" s="10">
        <v>313</v>
      </c>
      <c r="Z24" s="10">
        <v>308.85000000000002</v>
      </c>
      <c r="AA24" s="10">
        <v>311.58999999999997</v>
      </c>
      <c r="AB24" s="95">
        <v>995000</v>
      </c>
      <c r="AC24" s="10">
        <v>311.58999999999997</v>
      </c>
      <c r="AD24" s="2">
        <f t="shared" si="0"/>
        <v>4.1499999999999773</v>
      </c>
      <c r="AE24" s="138">
        <f t="shared" si="1"/>
        <v>-4.600198064083294E-3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42643</v>
      </c>
      <c r="X25" s="10">
        <v>306.58999999999997</v>
      </c>
      <c r="Y25" s="10">
        <v>314.38</v>
      </c>
      <c r="Z25" s="10">
        <v>306.04000000000002</v>
      </c>
      <c r="AA25" s="10">
        <v>313.02999999999997</v>
      </c>
      <c r="AB25" s="95">
        <v>2116000</v>
      </c>
      <c r="AC25" s="10">
        <v>313.02999999999997</v>
      </c>
      <c r="AD25" s="2">
        <f t="shared" si="0"/>
        <v>8.339999999999975</v>
      </c>
      <c r="AE25" s="138">
        <f t="shared" si="1"/>
        <v>2.3709856759762005E-2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42642</v>
      </c>
      <c r="X26" s="10">
        <v>310.17</v>
      </c>
      <c r="Y26" s="10">
        <v>312.47000000000003</v>
      </c>
      <c r="Z26" s="10">
        <v>304.04000000000002</v>
      </c>
      <c r="AA26" s="10">
        <v>305.77999999999997</v>
      </c>
      <c r="AB26" s="95">
        <v>1123500</v>
      </c>
      <c r="AC26" s="10">
        <v>305.77999999999997</v>
      </c>
      <c r="AD26" s="2">
        <f t="shared" si="0"/>
        <v>8.4300000000000068</v>
      </c>
      <c r="AE26" s="138">
        <f t="shared" si="1"/>
        <v>-1.5359845435517716E-2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42641</v>
      </c>
      <c r="X27" s="10">
        <v>315.99</v>
      </c>
      <c r="Y27" s="10">
        <v>315.99</v>
      </c>
      <c r="Z27" s="10">
        <v>308.74</v>
      </c>
      <c r="AA27" s="10">
        <v>310.55</v>
      </c>
      <c r="AB27" s="95">
        <v>1018100</v>
      </c>
      <c r="AC27" s="10">
        <v>310.55</v>
      </c>
      <c r="AD27" s="2">
        <f t="shared" si="0"/>
        <v>7.25</v>
      </c>
      <c r="AE27" s="138">
        <f t="shared" si="1"/>
        <v>-1.2653800909293134E-2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42640</v>
      </c>
      <c r="X28" s="10">
        <v>309.77999999999997</v>
      </c>
      <c r="Y28" s="10">
        <v>315</v>
      </c>
      <c r="Z28" s="10">
        <v>307.5</v>
      </c>
      <c r="AA28" s="10">
        <v>314.52999999999997</v>
      </c>
      <c r="AB28" s="95">
        <v>1102600</v>
      </c>
      <c r="AC28" s="10">
        <v>314.52999999999997</v>
      </c>
      <c r="AD28" s="2">
        <f t="shared" si="0"/>
        <v>7.5</v>
      </c>
      <c r="AE28" s="138">
        <f t="shared" si="1"/>
        <v>1.5202375572913152E-2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42639</v>
      </c>
      <c r="X29" s="10">
        <v>311.7</v>
      </c>
      <c r="Y29" s="10">
        <v>312.02</v>
      </c>
      <c r="Z29" s="10">
        <v>308.68</v>
      </c>
      <c r="AA29" s="10">
        <v>309.82</v>
      </c>
      <c r="AB29" s="95">
        <v>922100</v>
      </c>
      <c r="AC29" s="10">
        <v>309.82</v>
      </c>
      <c r="AD29" s="2">
        <f t="shared" si="0"/>
        <v>3.339999999999975</v>
      </c>
      <c r="AE29" s="138">
        <f t="shared" si="1"/>
        <v>-8.8297395866657746E-3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42636</v>
      </c>
      <c r="X30" s="10">
        <v>312.58</v>
      </c>
      <c r="Y30" s="10">
        <v>317.32</v>
      </c>
      <c r="Z30" s="10">
        <v>312.11</v>
      </c>
      <c r="AA30" s="10">
        <v>312.58</v>
      </c>
      <c r="AB30" s="95">
        <v>878300</v>
      </c>
      <c r="AC30" s="10">
        <v>312.58</v>
      </c>
      <c r="AD30" s="2">
        <f t="shared" si="0"/>
        <v>5.2099999999999795</v>
      </c>
      <c r="AE30" s="138">
        <f t="shared" si="1"/>
        <v>-7.0836377497538461E-3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42635</v>
      </c>
      <c r="X31" s="10">
        <v>313.07</v>
      </c>
      <c r="Y31" s="10">
        <v>315.98</v>
      </c>
      <c r="Z31" s="10">
        <v>311.37</v>
      </c>
      <c r="AA31" s="10">
        <v>314.81</v>
      </c>
      <c r="AB31" s="95">
        <v>1367400</v>
      </c>
      <c r="AC31" s="10">
        <v>314.81</v>
      </c>
      <c r="AD31" s="2">
        <f t="shared" si="0"/>
        <v>4.6100000000000136</v>
      </c>
      <c r="AE31" s="138">
        <f t="shared" si="1"/>
        <v>9.0064102564102466E-3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42634</v>
      </c>
      <c r="X32" s="10">
        <v>309</v>
      </c>
      <c r="Y32" s="10">
        <v>312.39</v>
      </c>
      <c r="Z32" s="10">
        <v>304.11</v>
      </c>
      <c r="AA32" s="10">
        <v>312</v>
      </c>
      <c r="AB32" s="95">
        <v>1511600</v>
      </c>
      <c r="AC32" s="10">
        <v>312</v>
      </c>
      <c r="AD32" s="2">
        <f t="shared" si="0"/>
        <v>8.2799999999999727</v>
      </c>
      <c r="AE32" s="138">
        <f t="shared" si="1"/>
        <v>1.6121152906692693E-2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42633</v>
      </c>
      <c r="X33" s="10">
        <v>306.06</v>
      </c>
      <c r="Y33" s="10">
        <v>308.86</v>
      </c>
      <c r="Z33" s="10">
        <v>304</v>
      </c>
      <c r="AA33" s="10">
        <v>307.05</v>
      </c>
      <c r="AB33" s="95">
        <v>1087300</v>
      </c>
      <c r="AC33" s="10">
        <v>307.05</v>
      </c>
      <c r="AD33" s="2">
        <f t="shared" si="0"/>
        <v>4.8600000000000136</v>
      </c>
      <c r="AE33" s="138">
        <f t="shared" si="1"/>
        <v>1.1696869851729907E-2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42632</v>
      </c>
      <c r="X34" s="10">
        <v>304.83</v>
      </c>
      <c r="Y34" s="10">
        <v>308</v>
      </c>
      <c r="Z34" s="10">
        <v>303.17</v>
      </c>
      <c r="AA34" s="10">
        <v>303.5</v>
      </c>
      <c r="AB34" s="95">
        <v>1104800</v>
      </c>
      <c r="AC34" s="10">
        <v>303.5</v>
      </c>
      <c r="AD34" s="2">
        <f t="shared" si="0"/>
        <v>4.8299999999999841</v>
      </c>
      <c r="AE34" s="138">
        <f t="shared" si="1"/>
        <v>-3.3168040458441128E-3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42629</v>
      </c>
      <c r="X35" s="10">
        <v>303.14999999999998</v>
      </c>
      <c r="Y35" s="10">
        <v>306.29000000000002</v>
      </c>
      <c r="Z35" s="10">
        <v>300.17</v>
      </c>
      <c r="AA35" s="10">
        <v>304.51</v>
      </c>
      <c r="AB35" s="95">
        <v>1855800</v>
      </c>
      <c r="AC35" s="10">
        <v>304.51</v>
      </c>
      <c r="AD35" s="2">
        <f t="shared" si="0"/>
        <v>6.1200000000000045</v>
      </c>
      <c r="AE35" s="138">
        <f t="shared" si="1"/>
        <v>5.5808731259494593E-3</v>
      </c>
    </row>
    <row r="36" spans="1:31" x14ac:dyDescent="0.25">
      <c r="W36" s="133">
        <v>42628</v>
      </c>
      <c r="X36" s="10">
        <v>300</v>
      </c>
      <c r="Y36" s="10">
        <v>304.45999999999998</v>
      </c>
      <c r="Z36" s="10">
        <v>298.01</v>
      </c>
      <c r="AA36" s="10">
        <v>302.82</v>
      </c>
      <c r="AB36" s="95">
        <v>1271400</v>
      </c>
      <c r="AC36" s="10">
        <v>302.82</v>
      </c>
      <c r="AD36" s="2">
        <f t="shared" si="0"/>
        <v>6.4499999999999886</v>
      </c>
      <c r="AE36" s="138">
        <f t="shared" si="1"/>
        <v>1.0107074952466544E-2</v>
      </c>
    </row>
    <row r="37" spans="1:31" x14ac:dyDescent="0.25">
      <c r="W37" s="133">
        <v>42627</v>
      </c>
      <c r="X37" s="10">
        <v>298.33999999999997</v>
      </c>
      <c r="Y37" s="10">
        <v>304.11</v>
      </c>
      <c r="Z37" s="10">
        <v>298.20999999999998</v>
      </c>
      <c r="AA37" s="10">
        <v>299.79000000000002</v>
      </c>
      <c r="AB37" s="95">
        <v>1534200</v>
      </c>
      <c r="AC37" s="10">
        <v>299.79000000000002</v>
      </c>
      <c r="AD37" s="2">
        <f t="shared" si="0"/>
        <v>5.9000000000000341</v>
      </c>
      <c r="AE37" s="138">
        <f t="shared" si="1"/>
        <v>8.0024209004403435E-3</v>
      </c>
    </row>
    <row r="38" spans="1:31" x14ac:dyDescent="0.25">
      <c r="W38" s="133">
        <v>42626</v>
      </c>
      <c r="X38" s="10">
        <v>300.25</v>
      </c>
      <c r="Y38" s="10">
        <v>300.76</v>
      </c>
      <c r="Z38" s="10">
        <v>294.74</v>
      </c>
      <c r="AA38" s="10">
        <v>297.41000000000003</v>
      </c>
      <c r="AB38" s="95">
        <v>1818000</v>
      </c>
      <c r="AC38" s="10">
        <v>297.41000000000003</v>
      </c>
      <c r="AD38" s="2">
        <f t="shared" si="0"/>
        <v>6.0199999999999818</v>
      </c>
      <c r="AE38" s="138">
        <f t="shared" si="1"/>
        <v>-1.7346197052798495E-2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132</v>
      </c>
      <c r="L39" s="261"/>
      <c r="M39" s="262">
        <f>K57+M57-F57</f>
        <v>1659.3600000000079</v>
      </c>
      <c r="W39" s="133">
        <v>42625</v>
      </c>
      <c r="X39" s="10">
        <v>294.14</v>
      </c>
      <c r="Y39" s="10">
        <v>303.85000000000002</v>
      </c>
      <c r="Z39" s="10">
        <v>293.83</v>
      </c>
      <c r="AA39" s="10">
        <v>302.66000000000003</v>
      </c>
      <c r="AB39" s="95">
        <v>1789200</v>
      </c>
      <c r="AC39" s="10">
        <v>302.66000000000003</v>
      </c>
      <c r="AD39" s="2">
        <f t="shared" si="0"/>
        <v>10.020000000000039</v>
      </c>
      <c r="AE39" s="138">
        <f t="shared" si="1"/>
        <v>2.2154677473826379E-2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42622</v>
      </c>
      <c r="X40" s="10">
        <v>304.62</v>
      </c>
      <c r="Y40" s="10">
        <v>305.48</v>
      </c>
      <c r="Z40" s="10">
        <v>296.07</v>
      </c>
      <c r="AA40" s="10">
        <v>296.10000000000002</v>
      </c>
      <c r="AB40" s="95">
        <v>1927500</v>
      </c>
      <c r="AC40" s="10">
        <v>296.10000000000002</v>
      </c>
      <c r="AD40" s="2">
        <f t="shared" si="0"/>
        <v>9.410000000000025</v>
      </c>
      <c r="AE40" s="138">
        <f t="shared" si="1"/>
        <v>-3.7792870373379195E-2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42621</v>
      </c>
      <c r="X41" s="10">
        <v>311.35000000000002</v>
      </c>
      <c r="Y41" s="10">
        <v>312.45</v>
      </c>
      <c r="Z41" s="10">
        <v>307.42</v>
      </c>
      <c r="AA41" s="10">
        <v>307.73</v>
      </c>
      <c r="AB41" s="95">
        <v>1469700</v>
      </c>
      <c r="AC41" s="10">
        <v>307.73</v>
      </c>
      <c r="AD41" s="2">
        <f t="shared" si="0"/>
        <v>5.0299999999999727</v>
      </c>
      <c r="AE41" s="138">
        <f t="shared" si="1"/>
        <v>-1.4633365353826422E-2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588" t="s">
        <v>78</v>
      </c>
      <c r="P42" s="588"/>
      <c r="T42" s="112" t="s">
        <v>113</v>
      </c>
      <c r="U42" s="4"/>
      <c r="W42" s="133">
        <v>42620</v>
      </c>
      <c r="X42" s="10">
        <v>309.95999999999998</v>
      </c>
      <c r="Y42" s="10">
        <v>313.72000000000003</v>
      </c>
      <c r="Z42" s="10">
        <v>309.95999999999998</v>
      </c>
      <c r="AA42" s="10">
        <v>312.3</v>
      </c>
      <c r="AB42" s="95">
        <v>1154200</v>
      </c>
      <c r="AC42" s="10">
        <v>312.3</v>
      </c>
      <c r="AD42" s="2">
        <f t="shared" si="0"/>
        <v>3.7600000000000477</v>
      </c>
      <c r="AE42" s="138">
        <f t="shared" si="1"/>
        <v>5.2467248205492201E-3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304.98599999999999</v>
      </c>
      <c r="Q43" s="2"/>
      <c r="T43" s="434" t="s">
        <v>98</v>
      </c>
      <c r="U43" s="519">
        <v>282.56</v>
      </c>
      <c r="W43" s="133">
        <v>42619</v>
      </c>
      <c r="X43" s="10">
        <v>310.43</v>
      </c>
      <c r="Y43" s="10">
        <v>316.47000000000003</v>
      </c>
      <c r="Z43" s="10">
        <v>309.12</v>
      </c>
      <c r="AA43" s="10">
        <v>310.67</v>
      </c>
      <c r="AB43" s="95">
        <v>1701200</v>
      </c>
      <c r="AC43" s="10">
        <v>310.67</v>
      </c>
      <c r="AD43" s="2">
        <f t="shared" si="0"/>
        <v>7.3500000000000227</v>
      </c>
      <c r="AE43" s="138">
        <f t="shared" si="1"/>
        <v>-9.3115214133102642E-3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302.21340000000004</v>
      </c>
      <c r="Q44" s="2"/>
      <c r="T44" s="434" t="s">
        <v>99</v>
      </c>
      <c r="U44" s="519">
        <v>282.31</v>
      </c>
      <c r="W44" s="133">
        <v>42615</v>
      </c>
      <c r="X44" s="10">
        <v>311.83</v>
      </c>
      <c r="Y44" s="10">
        <v>318.88</v>
      </c>
      <c r="Z44" s="10">
        <v>308.66000000000003</v>
      </c>
      <c r="AA44" s="10">
        <v>313.58999999999997</v>
      </c>
      <c r="AB44" s="95">
        <v>2230400</v>
      </c>
      <c r="AC44" s="10">
        <v>313.58999999999997</v>
      </c>
      <c r="AD44" s="2">
        <f t="shared" si="0"/>
        <v>10.21999999999997</v>
      </c>
      <c r="AE44" s="138">
        <f t="shared" si="1"/>
        <v>2.4703460445054448E-2</v>
      </c>
    </row>
    <row r="45" spans="1:31" x14ac:dyDescent="0.25">
      <c r="A45" s="261"/>
      <c r="B45" s="358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299.44080000000002</v>
      </c>
      <c r="Q45" s="2"/>
      <c r="T45" s="434" t="s">
        <v>100</v>
      </c>
      <c r="U45" s="519" t="s">
        <v>468</v>
      </c>
      <c r="W45" s="133">
        <v>42614</v>
      </c>
      <c r="X45" s="10">
        <v>307.95999999999998</v>
      </c>
      <c r="Y45" s="10">
        <v>309.25</v>
      </c>
      <c r="Z45" s="10">
        <v>305.02</v>
      </c>
      <c r="AA45" s="10">
        <v>306.02999999999997</v>
      </c>
      <c r="AB45" s="95">
        <v>1053900</v>
      </c>
      <c r="AC45" s="10">
        <v>306.02999999999997</v>
      </c>
      <c r="AD45" s="2">
        <f t="shared" si="0"/>
        <v>4.2300000000000182</v>
      </c>
      <c r="AE45" s="138">
        <f t="shared" si="1"/>
        <v>1.3087720446289808E-3</v>
      </c>
    </row>
    <row r="46" spans="1:31" x14ac:dyDescent="0.25">
      <c r="A46" s="261"/>
      <c r="B46" s="358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296.66820000000001</v>
      </c>
      <c r="Q46" s="2"/>
      <c r="T46" s="434" t="s">
        <v>101</v>
      </c>
      <c r="U46" s="519" t="s">
        <v>469</v>
      </c>
      <c r="W46" s="133">
        <v>42613</v>
      </c>
      <c r="X46" s="10">
        <v>307.68</v>
      </c>
      <c r="Y46" s="10">
        <v>308.68</v>
      </c>
      <c r="Z46" s="10">
        <v>304.22000000000003</v>
      </c>
      <c r="AA46" s="10">
        <v>305.63</v>
      </c>
      <c r="AB46" s="95">
        <v>1041700</v>
      </c>
      <c r="AC46" s="10">
        <v>305.63</v>
      </c>
      <c r="AD46" s="2">
        <f t="shared" si="0"/>
        <v>4.4599999999999795</v>
      </c>
      <c r="AE46" s="138">
        <f t="shared" si="1"/>
        <v>-7.2435522640161842E-3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293.8956</v>
      </c>
      <c r="Q47" s="2"/>
      <c r="T47" s="434" t="s">
        <v>102</v>
      </c>
      <c r="U47" s="519">
        <v>341.17</v>
      </c>
      <c r="W47" s="133">
        <v>42612</v>
      </c>
      <c r="X47" s="10">
        <v>305.24</v>
      </c>
      <c r="Y47" s="10">
        <v>309</v>
      </c>
      <c r="Z47" s="10">
        <v>305</v>
      </c>
      <c r="AA47" s="10">
        <v>307.86</v>
      </c>
      <c r="AB47" s="95">
        <v>1069700</v>
      </c>
      <c r="AC47" s="10">
        <v>307.86</v>
      </c>
      <c r="AD47" s="2">
        <f t="shared" si="0"/>
        <v>4</v>
      </c>
      <c r="AE47" s="138">
        <f t="shared" si="1"/>
        <v>5.6511939372163589E-3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291.12299999999999</v>
      </c>
      <c r="Q48" s="2"/>
      <c r="T48" s="434" t="s">
        <v>103</v>
      </c>
      <c r="U48" s="519">
        <v>0.32451200000000002</v>
      </c>
      <c r="W48" s="133">
        <v>42611</v>
      </c>
      <c r="X48" s="10">
        <v>307.87</v>
      </c>
      <c r="Y48" s="10">
        <v>309.14</v>
      </c>
      <c r="Z48" s="10">
        <v>304.79000000000002</v>
      </c>
      <c r="AA48" s="10">
        <v>306.13</v>
      </c>
      <c r="AB48" s="95">
        <v>1036400</v>
      </c>
      <c r="AC48" s="10">
        <v>306.13</v>
      </c>
      <c r="AD48" s="2">
        <f t="shared" si="0"/>
        <v>4.3499999999999659</v>
      </c>
      <c r="AE48" s="138">
        <f t="shared" si="1"/>
        <v>-6.6197228802284958E-3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288.35039999999998</v>
      </c>
      <c r="Q49" s="2"/>
      <c r="T49" s="434" t="s">
        <v>122</v>
      </c>
      <c r="U49" s="519" t="s">
        <v>399</v>
      </c>
      <c r="W49" s="133">
        <v>42608</v>
      </c>
      <c r="X49" s="10">
        <v>307.20999999999998</v>
      </c>
      <c r="Y49" s="10">
        <v>310.74</v>
      </c>
      <c r="Z49" s="10">
        <v>304.56</v>
      </c>
      <c r="AA49" s="10">
        <v>308.17</v>
      </c>
      <c r="AB49" s="95">
        <v>1112700</v>
      </c>
      <c r="AC49" s="10">
        <v>308.17</v>
      </c>
      <c r="AD49" s="2">
        <f t="shared" si="0"/>
        <v>6.1800000000000068</v>
      </c>
      <c r="AE49" s="138">
        <f t="shared" si="1"/>
        <v>4.3017761121069142E-3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285.57780000000002</v>
      </c>
      <c r="Q50" s="2"/>
      <c r="T50" s="434"/>
      <c r="U50" s="519"/>
      <c r="W50" s="133">
        <v>42607</v>
      </c>
      <c r="X50" s="10">
        <v>309.02999999999997</v>
      </c>
      <c r="Y50" s="10">
        <v>311.97000000000003</v>
      </c>
      <c r="Z50" s="10">
        <v>301.02</v>
      </c>
      <c r="AA50" s="10">
        <v>306.85000000000002</v>
      </c>
      <c r="AB50" s="95">
        <v>1663100</v>
      </c>
      <c r="AC50" s="10">
        <v>306.85000000000002</v>
      </c>
      <c r="AD50" s="2">
        <f t="shared" si="0"/>
        <v>10.950000000000045</v>
      </c>
      <c r="AE50" s="138">
        <f t="shared" si="1"/>
        <v>-8.0173277729285175E-3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282.80520000000001</v>
      </c>
      <c r="Q51" s="2"/>
      <c r="T51" s="434" t="s">
        <v>105</v>
      </c>
      <c r="U51" s="519" t="s">
        <v>470</v>
      </c>
      <c r="W51" s="133">
        <v>42606</v>
      </c>
      <c r="X51" s="10">
        <v>318.18</v>
      </c>
      <c r="Y51" s="10">
        <v>321.74</v>
      </c>
      <c r="Z51" s="10">
        <v>306.73</v>
      </c>
      <c r="AA51" s="10">
        <v>309.33</v>
      </c>
      <c r="AB51" s="95">
        <v>1643000</v>
      </c>
      <c r="AC51" s="10">
        <v>309.33</v>
      </c>
      <c r="AD51" s="2">
        <f t="shared" si="0"/>
        <v>15.009999999999991</v>
      </c>
      <c r="AE51" s="138">
        <f t="shared" si="1"/>
        <v>-2.7783889115881588E-2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280.0326</v>
      </c>
      <c r="Q52" s="2"/>
      <c r="T52" s="434" t="s">
        <v>106</v>
      </c>
      <c r="U52" s="519" t="s">
        <v>294</v>
      </c>
      <c r="W52" s="133">
        <v>42605</v>
      </c>
      <c r="X52" s="10">
        <v>316.81</v>
      </c>
      <c r="Y52" s="10">
        <v>322.99</v>
      </c>
      <c r="Z52" s="10">
        <v>315.27999999999997</v>
      </c>
      <c r="AA52" s="10">
        <v>318.17</v>
      </c>
      <c r="AB52" s="95">
        <v>1429000</v>
      </c>
      <c r="AC52" s="10">
        <v>318.17</v>
      </c>
      <c r="AD52" s="2">
        <f t="shared" si="0"/>
        <v>7.7100000000000364</v>
      </c>
      <c r="AE52" s="138">
        <f t="shared" si="1"/>
        <v>4.2927937880750111E-3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277.26</v>
      </c>
      <c r="Q53" s="2"/>
      <c r="T53" s="434" t="s">
        <v>107</v>
      </c>
      <c r="U53" s="520">
        <v>1081865</v>
      </c>
      <c r="W53" s="133">
        <v>42604</v>
      </c>
      <c r="X53" s="10">
        <v>316.14999999999998</v>
      </c>
      <c r="Y53" s="10">
        <v>320.82</v>
      </c>
      <c r="Z53" s="10">
        <v>315.13</v>
      </c>
      <c r="AA53" s="10">
        <v>316.81</v>
      </c>
      <c r="AB53" s="95">
        <v>1317300</v>
      </c>
      <c r="AC53" s="10">
        <v>316.81</v>
      </c>
      <c r="AD53" s="2">
        <f t="shared" si="0"/>
        <v>5.6899999999999977</v>
      </c>
      <c r="AE53" s="138">
        <f t="shared" si="1"/>
        <v>0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274.48739999999998</v>
      </c>
      <c r="Q54" s="2"/>
      <c r="T54" s="434" t="s">
        <v>110</v>
      </c>
      <c r="U54" s="520">
        <v>1442020</v>
      </c>
      <c r="W54" s="133">
        <v>42601</v>
      </c>
      <c r="X54" s="10">
        <v>313.69</v>
      </c>
      <c r="Y54" s="10">
        <v>319.89</v>
      </c>
      <c r="Z54" s="10">
        <v>312.39</v>
      </c>
      <c r="AA54" s="10">
        <v>316.81</v>
      </c>
      <c r="AB54" s="95">
        <v>1392600</v>
      </c>
      <c r="AC54" s="10">
        <v>316.81</v>
      </c>
      <c r="AD54" s="2">
        <f t="shared" si="0"/>
        <v>7.5</v>
      </c>
      <c r="AE54" s="138">
        <f t="shared" si="1"/>
        <v>1.094517837768838E-2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271.71479999999997</v>
      </c>
      <c r="Q55" s="2"/>
      <c r="T55" s="434" t="s">
        <v>108</v>
      </c>
      <c r="U55" s="519" t="s">
        <v>471</v>
      </c>
      <c r="W55" s="133">
        <v>42600</v>
      </c>
      <c r="X55" s="10">
        <v>313.57</v>
      </c>
      <c r="Y55" s="10">
        <v>313.76</v>
      </c>
      <c r="Z55" s="10">
        <v>312</v>
      </c>
      <c r="AA55" s="10">
        <v>313.38</v>
      </c>
      <c r="AB55" s="95">
        <v>587300</v>
      </c>
      <c r="AC55" s="10">
        <v>313.38</v>
      </c>
      <c r="AD55" s="2">
        <f t="shared" si="0"/>
        <v>1.7599999999999909</v>
      </c>
      <c r="AE55" s="138">
        <f t="shared" si="1"/>
        <v>-1.4020776241157051E-3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268.94219999999996</v>
      </c>
      <c r="T56" s="434" t="s">
        <v>111</v>
      </c>
      <c r="U56" s="519">
        <v>15.68</v>
      </c>
      <c r="W56" s="133">
        <v>42599</v>
      </c>
      <c r="X56" s="10">
        <v>314.17</v>
      </c>
      <c r="Y56" s="10">
        <v>314.70999999999998</v>
      </c>
      <c r="Z56" s="10">
        <v>311.29000000000002</v>
      </c>
      <c r="AA56" s="10">
        <v>313.82</v>
      </c>
      <c r="AB56" s="95">
        <v>852600</v>
      </c>
      <c r="AC56" s="10">
        <v>313.82</v>
      </c>
      <c r="AD56" s="2">
        <f t="shared" si="0"/>
        <v>3.4199999999999591</v>
      </c>
      <c r="AE56" s="138">
        <f t="shared" si="1"/>
        <v>1.2762427413692823E-3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266.1696</v>
      </c>
      <c r="T57" s="434" t="s">
        <v>112</v>
      </c>
      <c r="U57" s="519">
        <v>17.68</v>
      </c>
      <c r="W57" s="133">
        <v>42598</v>
      </c>
      <c r="X57" s="10">
        <v>313.27</v>
      </c>
      <c r="Y57" s="10">
        <v>316.67</v>
      </c>
      <c r="Z57" s="10">
        <v>312.64</v>
      </c>
      <c r="AA57" s="10">
        <v>313.42</v>
      </c>
      <c r="AB57" s="95">
        <v>938500</v>
      </c>
      <c r="AC57" s="10">
        <v>313.42</v>
      </c>
      <c r="AD57" s="2">
        <f t="shared" si="0"/>
        <v>4.0300000000000296</v>
      </c>
      <c r="AE57" s="138">
        <f t="shared" si="1"/>
        <v>9.5727368454756601E-5</v>
      </c>
    </row>
    <row r="58" spans="1:31" x14ac:dyDescent="0.25">
      <c r="O58" s="83">
        <v>0.95</v>
      </c>
      <c r="P58" s="83">
        <f t="shared" si="5"/>
        <v>263.39699999999999</v>
      </c>
      <c r="T58" s="434" t="s">
        <v>109</v>
      </c>
      <c r="U58" s="519" t="s">
        <v>123</v>
      </c>
      <c r="W58" s="133">
        <v>42597</v>
      </c>
      <c r="X58" s="10">
        <v>313.39999999999998</v>
      </c>
      <c r="Y58" s="10">
        <v>315.08</v>
      </c>
      <c r="Z58" s="10">
        <v>310.01</v>
      </c>
      <c r="AA58" s="10">
        <v>313.39</v>
      </c>
      <c r="AB58" s="95">
        <v>923300</v>
      </c>
      <c r="AC58" s="10">
        <v>313.39</v>
      </c>
      <c r="AD58" s="2">
        <f t="shared" si="0"/>
        <v>5.0699999999999932</v>
      </c>
      <c r="AE58" s="138">
        <f t="shared" si="1"/>
        <v>-1.7519271198318531E-3</v>
      </c>
    </row>
    <row r="59" spans="1:31" x14ac:dyDescent="0.25">
      <c r="O59" s="83">
        <v>0.94</v>
      </c>
      <c r="P59" s="83">
        <f t="shared" si="5"/>
        <v>260.62439999999998</v>
      </c>
      <c r="W59" s="133">
        <v>42594</v>
      </c>
      <c r="X59" s="10">
        <v>311.99</v>
      </c>
      <c r="Y59" s="10">
        <v>315.23</v>
      </c>
      <c r="Z59" s="10">
        <v>311.64999999999998</v>
      </c>
      <c r="AA59" s="10">
        <v>313.94</v>
      </c>
      <c r="AB59" s="95">
        <v>989200</v>
      </c>
      <c r="AC59" s="10">
        <v>313.94</v>
      </c>
      <c r="AD59" s="2">
        <f t="shared" si="0"/>
        <v>3.5800000000000409</v>
      </c>
      <c r="AE59" s="138">
        <f t="shared" si="1"/>
        <v>-1.7488632388947822E-3</v>
      </c>
    </row>
    <row r="60" spans="1:31" x14ac:dyDescent="0.25">
      <c r="B60" s="269" t="s">
        <v>114</v>
      </c>
      <c r="C60" s="269" t="s">
        <v>149</v>
      </c>
      <c r="D60" s="270" t="s">
        <v>148</v>
      </c>
      <c r="E60" s="271" t="s">
        <v>150</v>
      </c>
      <c r="F60" s="272" t="s">
        <v>65</v>
      </c>
      <c r="G60" s="273" t="s">
        <v>154</v>
      </c>
      <c r="H60" s="272" t="s">
        <v>88</v>
      </c>
      <c r="O60" s="83">
        <v>0.93</v>
      </c>
      <c r="P60" s="83">
        <f t="shared" si="5"/>
        <v>257.85180000000003</v>
      </c>
      <c r="W60" s="133">
        <v>42593</v>
      </c>
      <c r="X60" s="10">
        <v>309.47000000000003</v>
      </c>
      <c r="Y60" s="10">
        <v>316.25</v>
      </c>
      <c r="Z60" s="10">
        <v>309.42</v>
      </c>
      <c r="AA60" s="10">
        <v>314.49</v>
      </c>
      <c r="AB60" s="95">
        <v>1755400</v>
      </c>
      <c r="AC60" s="10">
        <v>314.49</v>
      </c>
      <c r="AD60" s="2">
        <f t="shared" si="0"/>
        <v>6.8299999999999841</v>
      </c>
      <c r="AE60" s="138">
        <f t="shared" si="1"/>
        <v>1.819535727004884E-2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255.07920000000001</v>
      </c>
      <c r="W61" s="133">
        <v>42592</v>
      </c>
      <c r="X61" s="10">
        <v>315</v>
      </c>
      <c r="Y61" s="10">
        <v>315</v>
      </c>
      <c r="Z61" s="10">
        <v>307.14</v>
      </c>
      <c r="AA61" s="10">
        <v>308.87</v>
      </c>
      <c r="AB61" s="95">
        <v>1235300</v>
      </c>
      <c r="AC61" s="10">
        <v>308.87</v>
      </c>
      <c r="AD61" s="2">
        <f t="shared" si="0"/>
        <v>7.8600000000000136</v>
      </c>
      <c r="AE61" s="138">
        <f t="shared" si="1"/>
        <v>-1.765154888365883E-2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252.3066</v>
      </c>
      <c r="W62" s="133">
        <v>42591</v>
      </c>
      <c r="X62" s="10">
        <v>313.72000000000003</v>
      </c>
      <c r="Y62" s="10">
        <v>316.24</v>
      </c>
      <c r="Z62" s="10">
        <v>311.8</v>
      </c>
      <c r="AA62" s="10">
        <v>314.42</v>
      </c>
      <c r="AB62" s="95">
        <v>1130600</v>
      </c>
      <c r="AC62" s="10">
        <v>314.42</v>
      </c>
      <c r="AD62" s="2">
        <f t="shared" si="0"/>
        <v>4.4399999999999977</v>
      </c>
      <c r="AE62" s="138">
        <f t="shared" si="1"/>
        <v>2.4549657261279112E-3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249.53399999999999</v>
      </c>
      <c r="W63" s="133">
        <v>42590</v>
      </c>
      <c r="X63" s="10">
        <v>316.02</v>
      </c>
      <c r="Y63" s="10">
        <v>316.35000000000002</v>
      </c>
      <c r="Z63" s="10">
        <v>309.16000000000003</v>
      </c>
      <c r="AA63" s="10">
        <v>313.64999999999998</v>
      </c>
      <c r="AB63" s="95">
        <v>2136800</v>
      </c>
      <c r="AC63" s="10">
        <v>313.64999999999998</v>
      </c>
      <c r="AD63" s="2">
        <f t="shared" si="0"/>
        <v>7.1899999999999977</v>
      </c>
      <c r="AE63" s="138">
        <f t="shared" si="1"/>
        <v>-7.3110520319027428E-3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42587</v>
      </c>
      <c r="X64" s="10">
        <v>316.16000000000003</v>
      </c>
      <c r="Y64" s="10">
        <v>318.91000000000003</v>
      </c>
      <c r="Z64" s="10">
        <v>313.69</v>
      </c>
      <c r="AA64" s="10">
        <v>315.95999999999998</v>
      </c>
      <c r="AB64" s="95">
        <v>1358300</v>
      </c>
      <c r="AC64" s="10">
        <v>315.95999999999998</v>
      </c>
      <c r="AD64" s="2">
        <f t="shared" si="0"/>
        <v>5.2200000000000273</v>
      </c>
      <c r="AE64" s="138">
        <f t="shared" si="1"/>
        <v>4.4506612410986079E-3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42586</v>
      </c>
      <c r="X65" s="10">
        <v>320.14999999999998</v>
      </c>
      <c r="Y65" s="10">
        <v>320.45</v>
      </c>
      <c r="Z65" s="10">
        <v>314.01</v>
      </c>
      <c r="AA65" s="10">
        <v>314.56</v>
      </c>
      <c r="AB65" s="95">
        <v>2002300</v>
      </c>
      <c r="AC65" s="10">
        <v>314.56</v>
      </c>
      <c r="AD65" s="2">
        <f t="shared" si="0"/>
        <v>6.4399999999999977</v>
      </c>
      <c r="AE65" s="138">
        <f t="shared" si="1"/>
        <v>-2.1099147320594924E-2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42585</v>
      </c>
      <c r="X66" s="10">
        <v>321.77</v>
      </c>
      <c r="Y66" s="10">
        <v>324.3</v>
      </c>
      <c r="Z66" s="10">
        <v>310.06</v>
      </c>
      <c r="AA66" s="10">
        <v>321.33999999999997</v>
      </c>
      <c r="AB66" s="95">
        <v>6040500</v>
      </c>
      <c r="AC66" s="10">
        <v>321.33999999999997</v>
      </c>
      <c r="AD66" s="2">
        <f t="shared" si="0"/>
        <v>14.240000000000009</v>
      </c>
      <c r="AE66" s="138">
        <f t="shared" si="1"/>
        <v>-2.6566901941777132E-2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42584</v>
      </c>
      <c r="X67" s="10">
        <v>302.88</v>
      </c>
      <c r="Y67" s="10">
        <v>333.65</v>
      </c>
      <c r="Z67" s="10">
        <v>297.66000000000003</v>
      </c>
      <c r="AA67" s="10">
        <v>330.11</v>
      </c>
      <c r="AB67" s="95">
        <v>7800000</v>
      </c>
      <c r="AC67" s="10">
        <v>330.11</v>
      </c>
      <c r="AD67" s="2">
        <f>Y67-Z67</f>
        <v>35.989999999999952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3">
        <v>42408</v>
      </c>
      <c r="C69" s="384">
        <v>5</v>
      </c>
      <c r="D69" s="385">
        <v>251.5</v>
      </c>
      <c r="E69" s="385">
        <v>256.52</v>
      </c>
      <c r="F69" s="385">
        <f>C69*(E69-D69)</f>
        <v>25.099999999999909</v>
      </c>
      <c r="G69" s="385">
        <f>D69*C69</f>
        <v>1257.5</v>
      </c>
      <c r="H69" s="386">
        <f>(E69-D69)/D69</f>
        <v>1.9960238568588397E-2</v>
      </c>
      <c r="I69" s="386"/>
    </row>
    <row r="70" spans="2:31" x14ac:dyDescent="0.25">
      <c r="B70" s="383">
        <v>42422</v>
      </c>
      <c r="C70" s="384">
        <v>5</v>
      </c>
      <c r="D70" s="385">
        <v>251.5</v>
      </c>
      <c r="E70" s="385">
        <v>265.83</v>
      </c>
      <c r="F70" s="385">
        <f t="shared" ref="F70:F79" si="8">C70*(E70-D70)</f>
        <v>71.64999999999992</v>
      </c>
      <c r="G70" s="385">
        <f t="shared" ref="G70:G80" si="9">D70*C70</f>
        <v>1257.5</v>
      </c>
      <c r="H70" s="386">
        <f t="shared" ref="H70:H79" si="10">(E70-D70)/D70</f>
        <v>5.6978131212723597E-2</v>
      </c>
      <c r="I70" s="386"/>
    </row>
    <row r="71" spans="2:31" x14ac:dyDescent="0.25">
      <c r="B71" s="383">
        <v>42431</v>
      </c>
      <c r="C71" s="384">
        <v>5</v>
      </c>
      <c r="D71" s="385">
        <v>251.5</v>
      </c>
      <c r="E71" s="385">
        <v>273.66000000000003</v>
      </c>
      <c r="F71" s="385">
        <f t="shared" si="8"/>
        <v>110.80000000000013</v>
      </c>
      <c r="G71" s="385">
        <f t="shared" si="9"/>
        <v>1257.5</v>
      </c>
      <c r="H71" s="386">
        <f t="shared" si="10"/>
        <v>8.8111332007952389E-2</v>
      </c>
      <c r="I71" s="386"/>
    </row>
    <row r="72" spans="2:31" x14ac:dyDescent="0.25">
      <c r="B72" s="383">
        <v>42433</v>
      </c>
      <c r="C72" s="384">
        <v>5</v>
      </c>
      <c r="D72" s="385">
        <v>251.5</v>
      </c>
      <c r="E72" s="385">
        <v>263.94</v>
      </c>
      <c r="F72" s="385">
        <f t="shared" si="8"/>
        <v>62.199999999999989</v>
      </c>
      <c r="G72" s="385">
        <f t="shared" si="9"/>
        <v>1257.5</v>
      </c>
      <c r="H72" s="386">
        <f t="shared" si="10"/>
        <v>4.9463220675944324E-2</v>
      </c>
      <c r="I72" s="386"/>
    </row>
    <row r="73" spans="2:31" x14ac:dyDescent="0.25">
      <c r="B73" s="383">
        <v>42439</v>
      </c>
      <c r="C73" s="384">
        <v>5</v>
      </c>
      <c r="D73" s="385">
        <v>251.5</v>
      </c>
      <c r="E73" s="385">
        <v>251.97</v>
      </c>
      <c r="F73" s="385">
        <f t="shared" si="8"/>
        <v>2.3499999999999943</v>
      </c>
      <c r="G73" s="385">
        <f t="shared" si="9"/>
        <v>1257.5</v>
      </c>
      <c r="H73" s="387">
        <f t="shared" si="10"/>
        <v>1.8687872763419437E-3</v>
      </c>
      <c r="I73" s="387"/>
    </row>
    <row r="74" spans="2:31" x14ac:dyDescent="0.25">
      <c r="B74" s="383">
        <v>42444</v>
      </c>
      <c r="C74" s="384">
        <v>5</v>
      </c>
      <c r="D74" s="385">
        <v>251.5</v>
      </c>
      <c r="E74" s="385">
        <v>250.33</v>
      </c>
      <c r="F74" s="385">
        <f t="shared" si="8"/>
        <v>-5.8499999999999375</v>
      </c>
      <c r="G74" s="385">
        <f t="shared" si="9"/>
        <v>1257.5</v>
      </c>
      <c r="H74" s="387">
        <f t="shared" si="10"/>
        <v>-4.6520874751490556E-3</v>
      </c>
      <c r="I74" s="387"/>
    </row>
    <row r="75" spans="2:31" x14ac:dyDescent="0.25">
      <c r="B75" s="383">
        <v>42446</v>
      </c>
      <c r="C75" s="384">
        <v>15</v>
      </c>
      <c r="D75" s="385">
        <v>245.5333</v>
      </c>
      <c r="E75" s="385">
        <v>246.31</v>
      </c>
      <c r="F75" s="385">
        <f t="shared" si="8"/>
        <v>11.650500000000079</v>
      </c>
      <c r="G75" s="385">
        <f t="shared" si="9"/>
        <v>3682.9994999999999</v>
      </c>
      <c r="H75" s="387">
        <f t="shared" si="10"/>
        <v>3.1633183767741701E-3</v>
      </c>
      <c r="I75" s="387"/>
    </row>
    <row r="76" spans="2:31" x14ac:dyDescent="0.25">
      <c r="B76" s="383">
        <v>42447</v>
      </c>
      <c r="C76" s="384">
        <v>10</v>
      </c>
      <c r="D76" s="385">
        <v>243.50800000000001</v>
      </c>
      <c r="E76" s="385">
        <v>250.78</v>
      </c>
      <c r="F76" s="385">
        <f t="shared" si="8"/>
        <v>72.719999999999914</v>
      </c>
      <c r="G76" s="385">
        <f t="shared" si="9"/>
        <v>2435.08</v>
      </c>
      <c r="H76" s="387">
        <f t="shared" si="10"/>
        <v>2.9863495244509385E-2</v>
      </c>
      <c r="I76" s="387" t="s">
        <v>197</v>
      </c>
    </row>
    <row r="77" spans="2:31" x14ac:dyDescent="0.25">
      <c r="B77" s="383">
        <v>42458</v>
      </c>
      <c r="C77" s="384">
        <v>10</v>
      </c>
      <c r="D77" s="385">
        <v>243.50800000000001</v>
      </c>
      <c r="E77" s="385">
        <v>254.68</v>
      </c>
      <c r="F77" s="385">
        <f t="shared" si="8"/>
        <v>111.71999999999997</v>
      </c>
      <c r="G77" s="385">
        <f t="shared" si="9"/>
        <v>2435.08</v>
      </c>
      <c r="H77" s="387">
        <f t="shared" si="10"/>
        <v>4.587939615946908E-2</v>
      </c>
      <c r="I77" s="387"/>
    </row>
    <row r="78" spans="2:31" x14ac:dyDescent="0.25">
      <c r="B78" s="383">
        <v>42460</v>
      </c>
      <c r="C78" s="384">
        <v>5</v>
      </c>
      <c r="D78" s="385">
        <v>225.80199999999999</v>
      </c>
      <c r="E78" s="385">
        <v>260.32</v>
      </c>
      <c r="F78" s="385">
        <f t="shared" si="8"/>
        <v>172.59</v>
      </c>
      <c r="G78" s="385">
        <f t="shared" si="9"/>
        <v>1129.01</v>
      </c>
      <c r="H78" s="387">
        <f t="shared" si="10"/>
        <v>0.15286844226357607</v>
      </c>
      <c r="I78" s="387"/>
    </row>
    <row r="79" spans="2:31" x14ac:dyDescent="0.25">
      <c r="B79" s="383">
        <v>42469</v>
      </c>
      <c r="C79" s="384">
        <v>5</v>
      </c>
      <c r="D79" s="385">
        <v>225.80199999999999</v>
      </c>
      <c r="E79" s="385">
        <v>270.83</v>
      </c>
      <c r="F79" s="385">
        <f t="shared" si="8"/>
        <v>225.13999999999996</v>
      </c>
      <c r="G79" s="385">
        <f t="shared" si="9"/>
        <v>1129.01</v>
      </c>
      <c r="H79" s="387">
        <f t="shared" si="10"/>
        <v>0.1994136455832986</v>
      </c>
      <c r="I79" s="387"/>
    </row>
    <row r="80" spans="2:31" x14ac:dyDescent="0.25">
      <c r="B80" s="383">
        <v>42482</v>
      </c>
      <c r="C80" s="384">
        <v>0</v>
      </c>
      <c r="D80" s="385">
        <v>0</v>
      </c>
      <c r="E80" s="385">
        <v>0</v>
      </c>
      <c r="F80" s="385">
        <v>285.70999999999998</v>
      </c>
      <c r="G80" s="385">
        <f t="shared" si="9"/>
        <v>0</v>
      </c>
      <c r="H80" s="387"/>
      <c r="I80" s="387"/>
    </row>
    <row r="81" spans="2:9" x14ac:dyDescent="0.25">
      <c r="B81" s="384"/>
      <c r="C81" s="384"/>
      <c r="D81" s="385"/>
      <c r="E81" s="385"/>
      <c r="F81" s="385"/>
      <c r="G81" s="385"/>
      <c r="H81" s="387"/>
      <c r="I81" s="387"/>
    </row>
    <row r="82" spans="2:9" x14ac:dyDescent="0.25">
      <c r="B82" s="384"/>
      <c r="C82" s="384"/>
      <c r="D82" s="385"/>
      <c r="E82" s="385"/>
      <c r="F82" s="385"/>
      <c r="G82" s="385"/>
      <c r="H82" s="387"/>
      <c r="I82" s="387"/>
    </row>
  </sheetData>
  <mergeCells count="1">
    <mergeCell ref="O42:P42"/>
  </mergeCells>
  <conditionalFormatting sqref="N19 F25:F35">
    <cfRule type="expression" dxfId="853" priority="58">
      <formula>F19&gt;0</formula>
    </cfRule>
    <cfRule type="expression" dxfId="852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851" priority="47">
      <formula>H25&gt;0</formula>
    </cfRule>
    <cfRule type="expression" dxfId="850" priority="48">
      <formula>H25&lt;0</formula>
    </cfRule>
  </conditionalFormatting>
  <conditionalFormatting sqref="M39">
    <cfRule type="expression" dxfId="849" priority="45">
      <formula>M39&gt;0</formula>
    </cfRule>
    <cfRule type="expression" dxfId="848" priority="46">
      <formula>M39&lt;0</formula>
    </cfRule>
  </conditionalFormatting>
  <conditionalFormatting sqref="F61:F67">
    <cfRule type="expression" dxfId="847" priority="43">
      <formula>F61&gt;0</formula>
    </cfRule>
    <cfRule type="expression" dxfId="846" priority="44">
      <formula>F61&lt;0</formula>
    </cfRule>
  </conditionalFormatting>
  <conditionalFormatting sqref="H61:H67">
    <cfRule type="expression" dxfId="845" priority="41">
      <formula>H61&gt;0</formula>
    </cfRule>
    <cfRule type="expression" dxfId="844" priority="42">
      <formula>H61&lt;0</formula>
    </cfRule>
  </conditionalFormatting>
  <conditionalFormatting sqref="F21:F24">
    <cfRule type="expression" dxfId="843" priority="39">
      <formula>F21&gt;0</formula>
    </cfRule>
    <cfRule type="expression" dxfId="842" priority="40">
      <formula>F21&lt;0</formula>
    </cfRule>
  </conditionalFormatting>
  <conditionalFormatting sqref="H21:H24">
    <cfRule type="expression" dxfId="841" priority="37">
      <formula>H21&gt;0</formula>
    </cfRule>
    <cfRule type="expression" dxfId="840" priority="38">
      <formula>H21&lt;0</formula>
    </cfRule>
  </conditionalFormatting>
  <conditionalFormatting sqref="I25:I28">
    <cfRule type="expression" dxfId="839" priority="31">
      <formula>I25&gt;0</formula>
    </cfRule>
    <cfRule type="expression" dxfId="838" priority="32">
      <formula>I25&lt;0</formula>
    </cfRule>
  </conditionalFormatting>
  <conditionalFormatting sqref="I21:I24">
    <cfRule type="expression" dxfId="837" priority="29">
      <formula>I21&gt;0</formula>
    </cfRule>
    <cfRule type="expression" dxfId="836" priority="30">
      <formula>I21&lt;0</formula>
    </cfRule>
  </conditionalFormatting>
  <conditionalFormatting sqref="H29">
    <cfRule type="expression" dxfId="835" priority="27">
      <formula>H29&gt;0</formula>
    </cfRule>
    <cfRule type="expression" dxfId="834" priority="28">
      <formula>H29&lt;0</formula>
    </cfRule>
  </conditionalFormatting>
  <conditionalFormatting sqref="H30">
    <cfRule type="expression" dxfId="833" priority="25">
      <formula>H30&gt;0</formula>
    </cfRule>
    <cfRule type="expression" dxfId="832" priority="26">
      <formula>H30&lt;0</formula>
    </cfRule>
  </conditionalFormatting>
  <conditionalFormatting sqref="H31">
    <cfRule type="expression" dxfId="831" priority="23">
      <formula>H31&gt;0</formula>
    </cfRule>
    <cfRule type="expression" dxfId="830" priority="24">
      <formula>H31&lt;0</formula>
    </cfRule>
  </conditionalFormatting>
  <conditionalFormatting sqref="Q7">
    <cfRule type="expression" dxfId="829" priority="21">
      <formula>Q7&gt;0</formula>
    </cfRule>
    <cfRule type="expression" dxfId="828" priority="22">
      <formula>Q7&lt;0</formula>
    </cfRule>
  </conditionalFormatting>
  <conditionalFormatting sqref="Q8">
    <cfRule type="expression" dxfId="827" priority="19">
      <formula>Q8&gt;0</formula>
    </cfRule>
    <cfRule type="expression" dxfId="826" priority="20">
      <formula>Q8&lt;0</formula>
    </cfRule>
  </conditionalFormatting>
  <conditionalFormatting sqref="F73:F82">
    <cfRule type="expression" dxfId="825" priority="17">
      <formula>F73&gt;0</formula>
    </cfRule>
    <cfRule type="expression" dxfId="824" priority="18">
      <formula>F73&lt;0</formula>
    </cfRule>
  </conditionalFormatting>
  <conditionalFormatting sqref="H73:H76">
    <cfRule type="expression" dxfId="823" priority="15">
      <formula>H73&gt;0</formula>
    </cfRule>
    <cfRule type="expression" dxfId="822" priority="16">
      <formula>H73&lt;0</formula>
    </cfRule>
  </conditionalFormatting>
  <conditionalFormatting sqref="F69:F72">
    <cfRule type="expression" dxfId="821" priority="13">
      <formula>F69&gt;0</formula>
    </cfRule>
    <cfRule type="expression" dxfId="820" priority="14">
      <formula>F69&lt;0</formula>
    </cfRule>
  </conditionalFormatting>
  <conditionalFormatting sqref="H69:H72">
    <cfRule type="expression" dxfId="819" priority="11">
      <formula>H69&gt;0</formula>
    </cfRule>
    <cfRule type="expression" dxfId="818" priority="12">
      <formula>H69&lt;0</formula>
    </cfRule>
  </conditionalFormatting>
  <conditionalFormatting sqref="I73:I76">
    <cfRule type="expression" dxfId="817" priority="9">
      <formula>I73&gt;0</formula>
    </cfRule>
    <cfRule type="expression" dxfId="816" priority="10">
      <formula>I73&lt;0</formula>
    </cfRule>
  </conditionalFormatting>
  <conditionalFormatting sqref="I69:I72">
    <cfRule type="expression" dxfId="815" priority="7">
      <formula>I69&gt;0</formula>
    </cfRule>
    <cfRule type="expression" dxfId="814" priority="8">
      <formula>I69&lt;0</formula>
    </cfRule>
  </conditionalFormatting>
  <conditionalFormatting sqref="H77">
    <cfRule type="expression" dxfId="813" priority="5">
      <formula>H77&gt;0</formula>
    </cfRule>
    <cfRule type="expression" dxfId="812" priority="6">
      <formula>H77&lt;0</formula>
    </cfRule>
  </conditionalFormatting>
  <conditionalFormatting sqref="H78">
    <cfRule type="expression" dxfId="811" priority="3">
      <formula>H78&gt;0</formula>
    </cfRule>
    <cfRule type="expression" dxfId="810" priority="4">
      <formula>H78&lt;0</formula>
    </cfRule>
  </conditionalFormatting>
  <conditionalFormatting sqref="H79">
    <cfRule type="expression" dxfId="809" priority="1">
      <formula>H79&gt;0</formula>
    </cfRule>
    <cfRule type="expression" dxfId="808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5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42676</v>
      </c>
      <c r="X2" s="10">
        <v>37.119999999999997</v>
      </c>
      <c r="Y2" s="10">
        <v>37.56</v>
      </c>
      <c r="Z2" s="10">
        <v>36.35</v>
      </c>
      <c r="AA2" s="10">
        <v>36.67</v>
      </c>
      <c r="AB2" s="95">
        <v>5929200</v>
      </c>
      <c r="AC2" s="10">
        <v>36.67</v>
      </c>
      <c r="AD2" s="2">
        <f>Y2-Z2</f>
        <v>1.2100000000000009</v>
      </c>
      <c r="AE2" s="138">
        <f>AC2/AC3-1</f>
        <v>-1.3186221743810456E-2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36.67</v>
      </c>
      <c r="W3" s="133">
        <v>42675</v>
      </c>
      <c r="X3" s="10">
        <v>36.54</v>
      </c>
      <c r="Y3" s="10">
        <v>37.32</v>
      </c>
      <c r="Z3" s="10">
        <v>36.51</v>
      </c>
      <c r="AA3" s="10">
        <v>37.159999999999997</v>
      </c>
      <c r="AB3" s="95">
        <v>6488900</v>
      </c>
      <c r="AC3" s="10">
        <v>37.159999999999997</v>
      </c>
      <c r="AD3" s="2">
        <f t="shared" ref="AD3:AD66" si="0">Y3-Z3</f>
        <v>0.81000000000000227</v>
      </c>
      <c r="AE3" s="138">
        <f t="shared" ref="AE3:AE66" si="1">AC3/AC4-1</f>
        <v>1.8082191780821821E-2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36.67</v>
      </c>
      <c r="R4" s="557">
        <v>-1.32E-2</v>
      </c>
      <c r="T4" s="1"/>
      <c r="W4" s="133">
        <v>42674</v>
      </c>
      <c r="X4" s="10">
        <v>37.29</v>
      </c>
      <c r="Y4" s="10">
        <v>37.479999999999997</v>
      </c>
      <c r="Z4" s="10">
        <v>36.479999999999997</v>
      </c>
      <c r="AA4" s="10">
        <v>36.5</v>
      </c>
      <c r="AB4" s="95">
        <v>5458100</v>
      </c>
      <c r="AC4" s="10">
        <v>36.5</v>
      </c>
      <c r="AD4" s="2">
        <f t="shared" si="0"/>
        <v>1</v>
      </c>
      <c r="AE4" s="138">
        <f t="shared" si="1"/>
        <v>-1.8553374563054503E-2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42671</v>
      </c>
      <c r="X5" s="10">
        <v>37.86</v>
      </c>
      <c r="Y5" s="10">
        <v>38.75</v>
      </c>
      <c r="Z5" s="10">
        <v>36.67</v>
      </c>
      <c r="AA5" s="10">
        <v>37.19</v>
      </c>
      <c r="AB5" s="95">
        <v>7760300</v>
      </c>
      <c r="AC5" s="10">
        <v>37.19</v>
      </c>
      <c r="AD5" s="2">
        <f t="shared" si="0"/>
        <v>2.0799999999999983</v>
      </c>
      <c r="AE5" s="138">
        <f t="shared" si="1"/>
        <v>-2.1830615465544545E-2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42670</v>
      </c>
      <c r="X6" s="10">
        <v>38.24</v>
      </c>
      <c r="Y6" s="10">
        <v>38.380000000000003</v>
      </c>
      <c r="Z6" s="10">
        <v>37.61</v>
      </c>
      <c r="AA6" s="10">
        <v>38.020000000000003</v>
      </c>
      <c r="AB6" s="95">
        <v>4515800</v>
      </c>
      <c r="AC6" s="10">
        <v>38.020000000000003</v>
      </c>
      <c r="AD6" s="2">
        <f t="shared" si="0"/>
        <v>0.77000000000000313</v>
      </c>
      <c r="AE6" s="138">
        <f t="shared" si="1"/>
        <v>-1.5756302521007237E-3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184</v>
      </c>
      <c r="Q7" s="2">
        <f>Q10+Q8</f>
        <v>439.77999999999975</v>
      </c>
      <c r="R7">
        <v>0</v>
      </c>
      <c r="W7" s="133">
        <v>42669</v>
      </c>
      <c r="X7" s="10">
        <v>38.479999999999997</v>
      </c>
      <c r="Y7" s="10">
        <v>38.770000000000003</v>
      </c>
      <c r="Z7" s="10">
        <v>37.65</v>
      </c>
      <c r="AA7" s="10">
        <v>38.08</v>
      </c>
      <c r="AB7" s="95">
        <v>7047100</v>
      </c>
      <c r="AC7" s="10">
        <v>38.08</v>
      </c>
      <c r="AD7" s="2">
        <f t="shared" si="0"/>
        <v>1.1200000000000045</v>
      </c>
      <c r="AE7" s="138">
        <f t="shared" si="1"/>
        <v>-1.5511892450879028E-2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42668</v>
      </c>
      <c r="X8" s="10">
        <v>37.69</v>
      </c>
      <c r="Y8" s="10">
        <v>39.39</v>
      </c>
      <c r="Z8" s="10">
        <v>37.619999999999997</v>
      </c>
      <c r="AA8" s="10">
        <v>38.68</v>
      </c>
      <c r="AB8" s="95">
        <v>9299300</v>
      </c>
      <c r="AC8" s="10">
        <v>38.68</v>
      </c>
      <c r="AD8" s="2">
        <f t="shared" si="0"/>
        <v>1.7700000000000031</v>
      </c>
      <c r="AE8" s="138">
        <f t="shared" si="1"/>
        <v>2.9818956336528091E-2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219</v>
      </c>
      <c r="Q9" s="138">
        <f>IF(Q2=0, 0, Q8/Q6)</f>
        <v>0</v>
      </c>
      <c r="T9" s="158"/>
      <c r="W9" s="133">
        <v>42667</v>
      </c>
      <c r="X9" s="10">
        <v>37.25</v>
      </c>
      <c r="Y9" s="10">
        <v>37.89</v>
      </c>
      <c r="Z9" s="10">
        <v>37.020000000000003</v>
      </c>
      <c r="AA9" s="10">
        <v>37.56</v>
      </c>
      <c r="AB9" s="95">
        <v>3149700</v>
      </c>
      <c r="AC9" s="10">
        <v>37.56</v>
      </c>
      <c r="AD9" s="2">
        <f t="shared" si="0"/>
        <v>0.86999999999999744</v>
      </c>
      <c r="AE9" s="138">
        <f t="shared" si="1"/>
        <v>1.4586709886547755E-2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218</v>
      </c>
      <c r="P10" s="34"/>
      <c r="Q10" s="2">
        <f>M35</f>
        <v>439.77999999999975</v>
      </c>
      <c r="W10" s="133">
        <v>42664</v>
      </c>
      <c r="X10" s="10">
        <v>37.57</v>
      </c>
      <c r="Y10" s="10">
        <v>37.71</v>
      </c>
      <c r="Z10" s="10">
        <v>36.82</v>
      </c>
      <c r="AA10" s="10">
        <v>37.020000000000003</v>
      </c>
      <c r="AB10" s="95">
        <v>6171000</v>
      </c>
      <c r="AC10" s="10">
        <v>37.020000000000003</v>
      </c>
      <c r="AD10" s="2">
        <f t="shared" si="0"/>
        <v>0.89000000000000057</v>
      </c>
      <c r="AE10" s="138">
        <f t="shared" si="1"/>
        <v>-1.5687317202871531E-2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42663</v>
      </c>
      <c r="X11" s="10">
        <v>37.299999999999997</v>
      </c>
      <c r="Y11" s="10">
        <v>37.880000000000003</v>
      </c>
      <c r="Z11" s="10">
        <v>37.17</v>
      </c>
      <c r="AA11" s="10">
        <v>37.61</v>
      </c>
      <c r="AB11" s="95">
        <v>3596700</v>
      </c>
      <c r="AC11" s="10">
        <v>37.61</v>
      </c>
      <c r="AD11" s="2">
        <f t="shared" si="0"/>
        <v>0.71000000000000085</v>
      </c>
      <c r="AE11" s="138">
        <f t="shared" si="1"/>
        <v>1.1021505376344054E-2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42662</v>
      </c>
      <c r="X12" s="10">
        <v>37.79</v>
      </c>
      <c r="Y12" s="10">
        <v>37.99</v>
      </c>
      <c r="Z12" s="10">
        <v>37.17</v>
      </c>
      <c r="AA12" s="10">
        <v>37.200000000000003</v>
      </c>
      <c r="AB12" s="95">
        <v>3861000</v>
      </c>
      <c r="AC12" s="10">
        <v>37.200000000000003</v>
      </c>
      <c r="AD12" s="2">
        <f t="shared" si="0"/>
        <v>0.82000000000000028</v>
      </c>
      <c r="AE12" s="138">
        <f t="shared" si="1"/>
        <v>-5.0815726129980199E-3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42661</v>
      </c>
      <c r="X13" s="10">
        <v>36.950000000000003</v>
      </c>
      <c r="Y13" s="10">
        <v>37.47</v>
      </c>
      <c r="Z13" s="10">
        <v>36.69</v>
      </c>
      <c r="AA13" s="10">
        <v>37.39</v>
      </c>
      <c r="AB13" s="95">
        <v>5793500</v>
      </c>
      <c r="AC13" s="10">
        <v>37.39</v>
      </c>
      <c r="AD13" s="2">
        <f t="shared" si="0"/>
        <v>0.78000000000000114</v>
      </c>
      <c r="AE13" s="138">
        <f t="shared" si="1"/>
        <v>2.6070252469813537E-2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42660</v>
      </c>
      <c r="X14" s="10">
        <v>36.69</v>
      </c>
      <c r="Y14" s="10">
        <v>36.799999999999997</v>
      </c>
      <c r="Z14" s="10">
        <v>36.090000000000003</v>
      </c>
      <c r="AA14" s="10">
        <v>36.44</v>
      </c>
      <c r="AB14" s="95">
        <v>6709100</v>
      </c>
      <c r="AC14" s="10">
        <v>36.44</v>
      </c>
      <c r="AD14" s="2">
        <f t="shared" si="0"/>
        <v>0.70999999999999375</v>
      </c>
      <c r="AE14" s="138">
        <f t="shared" si="1"/>
        <v>-1.3702384214854257E-3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42657</v>
      </c>
      <c r="X15" s="10">
        <v>38</v>
      </c>
      <c r="Y15" s="10">
        <v>38.130000000000003</v>
      </c>
      <c r="Z15" s="10">
        <v>36.47</v>
      </c>
      <c r="AA15" s="10">
        <v>36.49</v>
      </c>
      <c r="AB15" s="95">
        <v>5773100</v>
      </c>
      <c r="AC15" s="10">
        <v>36.49</v>
      </c>
      <c r="AD15" s="2">
        <f t="shared" si="0"/>
        <v>1.6600000000000037</v>
      </c>
      <c r="AE15" s="138">
        <f t="shared" si="1"/>
        <v>-3.6694825765575478E-2</v>
      </c>
    </row>
    <row r="16" spans="1:40" x14ac:dyDescent="0.25">
      <c r="G16" s="1"/>
      <c r="W16" s="133">
        <v>42656</v>
      </c>
      <c r="X16" s="10">
        <v>36.840000000000003</v>
      </c>
      <c r="Y16" s="10">
        <v>38.270000000000003</v>
      </c>
      <c r="Z16" s="10">
        <v>36.770000000000003</v>
      </c>
      <c r="AA16" s="10">
        <v>37.880000000000003</v>
      </c>
      <c r="AB16" s="95">
        <v>6493400</v>
      </c>
      <c r="AC16" s="10">
        <v>37.880000000000003</v>
      </c>
      <c r="AD16" s="2">
        <f t="shared" si="0"/>
        <v>1.5</v>
      </c>
      <c r="AE16" s="138">
        <f t="shared" si="1"/>
        <v>2.1850553007823015E-2</v>
      </c>
    </row>
    <row r="17" spans="1:31" x14ac:dyDescent="0.25">
      <c r="G17" s="1"/>
      <c r="W17" s="133">
        <v>42655</v>
      </c>
      <c r="X17" s="10">
        <v>38.22</v>
      </c>
      <c r="Y17" s="10">
        <v>38.35</v>
      </c>
      <c r="Z17" s="10">
        <v>36.9</v>
      </c>
      <c r="AA17" s="10">
        <v>37.07</v>
      </c>
      <c r="AB17" s="95">
        <v>7198700</v>
      </c>
      <c r="AC17" s="10">
        <v>37.07</v>
      </c>
      <c r="AD17" s="2">
        <f t="shared" si="0"/>
        <v>1.4500000000000028</v>
      </c>
      <c r="AE17" s="138">
        <f t="shared" si="1"/>
        <v>-3.2367528060558648E-2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42654</v>
      </c>
      <c r="X18" s="10">
        <v>38.69</v>
      </c>
      <c r="Y18" s="10">
        <v>39.28</v>
      </c>
      <c r="Z18" s="10">
        <v>38.11</v>
      </c>
      <c r="AA18" s="10">
        <v>38.31</v>
      </c>
      <c r="AB18" s="95">
        <v>8497500</v>
      </c>
      <c r="AC18" s="10">
        <v>38.31</v>
      </c>
      <c r="AD18" s="2">
        <f t="shared" si="0"/>
        <v>1.1700000000000017</v>
      </c>
      <c r="AE18" s="138">
        <f t="shared" si="1"/>
        <v>-1.4406997684589529E-2</v>
      </c>
    </row>
    <row r="19" spans="1:31" x14ac:dyDescent="0.25">
      <c r="N19" s="2"/>
      <c r="W19" s="133">
        <v>42653</v>
      </c>
      <c r="X19" s="10">
        <v>40.32</v>
      </c>
      <c r="Y19" s="10">
        <v>40.450000000000003</v>
      </c>
      <c r="Z19" s="10">
        <v>38.71</v>
      </c>
      <c r="AA19" s="10">
        <v>38.869999999999997</v>
      </c>
      <c r="AB19" s="95">
        <v>17944300</v>
      </c>
      <c r="AC19" s="10">
        <v>38.869999999999997</v>
      </c>
      <c r="AD19" s="2">
        <f t="shared" si="0"/>
        <v>1.740000000000002</v>
      </c>
      <c r="AE19" s="138">
        <f t="shared" si="1"/>
        <v>8.1524763494713381E-2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5" t="s">
        <v>158</v>
      </c>
      <c r="W20" s="133">
        <v>42650</v>
      </c>
      <c r="X20" s="10">
        <v>36.81</v>
      </c>
      <c r="Y20" s="10">
        <v>36.840000000000003</v>
      </c>
      <c r="Z20" s="10">
        <v>35.58</v>
      </c>
      <c r="AA20" s="10">
        <v>35.94</v>
      </c>
      <c r="AB20" s="95">
        <v>10871200</v>
      </c>
      <c r="AC20" s="10">
        <v>35.94</v>
      </c>
      <c r="AD20" s="2">
        <f t="shared" si="0"/>
        <v>1.2600000000000051</v>
      </c>
      <c r="AE20" s="138">
        <f t="shared" si="1"/>
        <v>-2.442996742671022E-2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42649</v>
      </c>
      <c r="X21" s="10">
        <v>37.75</v>
      </c>
      <c r="Y21" s="10">
        <v>37.799999999999997</v>
      </c>
      <c r="Z21" s="10">
        <v>36.43</v>
      </c>
      <c r="AA21" s="10">
        <v>36.840000000000003</v>
      </c>
      <c r="AB21" s="95">
        <v>10539000</v>
      </c>
      <c r="AC21" s="10">
        <v>36.840000000000003</v>
      </c>
      <c r="AD21" s="2">
        <f t="shared" si="0"/>
        <v>1.3699999999999974</v>
      </c>
      <c r="AE21" s="138">
        <f t="shared" si="1"/>
        <v>-3.1291085984748834E-2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42648</v>
      </c>
      <c r="X22" s="10">
        <v>38.08</v>
      </c>
      <c r="Y22" s="10">
        <v>38.46</v>
      </c>
      <c r="Z22" s="10">
        <v>37.82</v>
      </c>
      <c r="AA22" s="10">
        <v>38.03</v>
      </c>
      <c r="AB22" s="95">
        <v>5565200</v>
      </c>
      <c r="AC22" s="10">
        <v>38.03</v>
      </c>
      <c r="AD22" s="2">
        <f t="shared" si="0"/>
        <v>0.64000000000000057</v>
      </c>
      <c r="AE22" s="138">
        <f t="shared" si="1"/>
        <v>1.5801948907032681E-3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42647</v>
      </c>
      <c r="X23" s="10">
        <v>38.07</v>
      </c>
      <c r="Y23" s="10">
        <v>38.35</v>
      </c>
      <c r="Z23" s="10">
        <v>37.619999999999997</v>
      </c>
      <c r="AA23" s="10">
        <v>37.97</v>
      </c>
      <c r="AB23" s="95">
        <v>6046500</v>
      </c>
      <c r="AC23" s="10">
        <v>37.97</v>
      </c>
      <c r="AD23" s="2">
        <f t="shared" si="0"/>
        <v>0.73000000000000398</v>
      </c>
      <c r="AE23" s="138">
        <f t="shared" si="1"/>
        <v>-6.020942408377028E-3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42646</v>
      </c>
      <c r="X24" s="10">
        <v>38.1</v>
      </c>
      <c r="Y24" s="10">
        <v>38.22</v>
      </c>
      <c r="Z24" s="10">
        <v>37.409999999999997</v>
      </c>
      <c r="AA24" s="10">
        <v>38.200000000000003</v>
      </c>
      <c r="AB24" s="95">
        <v>7093700</v>
      </c>
      <c r="AC24" s="10">
        <v>38.200000000000003</v>
      </c>
      <c r="AD24" s="2">
        <f t="shared" si="0"/>
        <v>0.81000000000000227</v>
      </c>
      <c r="AE24" s="138">
        <f t="shared" si="1"/>
        <v>2.0986358866736943E-3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42643</v>
      </c>
      <c r="X25" s="10">
        <v>38.33</v>
      </c>
      <c r="Y25" s="10">
        <v>38.83</v>
      </c>
      <c r="Z25" s="10">
        <v>37.85</v>
      </c>
      <c r="AA25" s="10">
        <v>38.119999999999997</v>
      </c>
      <c r="AB25" s="95">
        <v>7298700</v>
      </c>
      <c r="AC25" s="10">
        <v>38.119999999999997</v>
      </c>
      <c r="AD25" s="2">
        <f t="shared" si="0"/>
        <v>0.97999999999999687</v>
      </c>
      <c r="AE25" s="138">
        <f t="shared" si="1"/>
        <v>-9.0979984403432024E-3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42642</v>
      </c>
      <c r="X26" s="10">
        <v>40.17</v>
      </c>
      <c r="Y26" s="10">
        <v>40.22</v>
      </c>
      <c r="Z26" s="10">
        <v>37.65</v>
      </c>
      <c r="AA26" s="10">
        <v>38.47</v>
      </c>
      <c r="AB26" s="95">
        <v>19125100</v>
      </c>
      <c r="AC26" s="10">
        <v>38.47</v>
      </c>
      <c r="AD26" s="2">
        <f t="shared" si="0"/>
        <v>2.5700000000000003</v>
      </c>
      <c r="AE26" s="138">
        <f t="shared" si="1"/>
        <v>-4.351069119840878E-2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42641</v>
      </c>
      <c r="X27" s="10">
        <v>41.2</v>
      </c>
      <c r="Y27" s="10">
        <v>41.43</v>
      </c>
      <c r="Z27" s="10">
        <v>40.04</v>
      </c>
      <c r="AA27" s="10">
        <v>40.22</v>
      </c>
      <c r="AB27" s="95">
        <v>5648000</v>
      </c>
      <c r="AC27" s="10">
        <v>40.22</v>
      </c>
      <c r="AD27" s="2">
        <f t="shared" si="0"/>
        <v>1.3900000000000006</v>
      </c>
      <c r="AE27" s="138">
        <f t="shared" si="1"/>
        <v>-2.6385862987170272E-2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42640</v>
      </c>
      <c r="X28" s="10">
        <v>41.04</v>
      </c>
      <c r="Y28" s="10">
        <v>41.43</v>
      </c>
      <c r="Z28" s="10">
        <v>40.82</v>
      </c>
      <c r="AA28" s="10">
        <v>41.31</v>
      </c>
      <c r="AB28" s="95">
        <v>5547800</v>
      </c>
      <c r="AC28" s="10">
        <v>41.31</v>
      </c>
      <c r="AD28" s="2">
        <f t="shared" si="0"/>
        <v>0.60999999999999943</v>
      </c>
      <c r="AE28" s="138">
        <f t="shared" si="1"/>
        <v>3.1568722680914707E-3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42639</v>
      </c>
      <c r="X29" s="10">
        <v>41.79</v>
      </c>
      <c r="Y29" s="10">
        <v>41.9</v>
      </c>
      <c r="Z29" s="10">
        <v>41.13</v>
      </c>
      <c r="AA29" s="10">
        <v>41.18</v>
      </c>
      <c r="AB29" s="95">
        <v>6502300</v>
      </c>
      <c r="AC29" s="10">
        <v>41.18</v>
      </c>
      <c r="AD29" s="2">
        <f t="shared" si="0"/>
        <v>0.76999999999999602</v>
      </c>
      <c r="AE29" s="138">
        <f t="shared" si="1"/>
        <v>-2.0922491678554533E-2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42636</v>
      </c>
      <c r="X30" s="10">
        <v>42.69</v>
      </c>
      <c r="Y30" s="10">
        <v>42.69</v>
      </c>
      <c r="Z30" s="10">
        <v>41.95</v>
      </c>
      <c r="AA30" s="10">
        <v>42.06</v>
      </c>
      <c r="AB30" s="95">
        <v>5357600</v>
      </c>
      <c r="AC30" s="10">
        <v>42.06</v>
      </c>
      <c r="AD30" s="2">
        <f t="shared" si="0"/>
        <v>0.73999999999999488</v>
      </c>
      <c r="AE30" s="138">
        <f t="shared" si="1"/>
        <v>-1.2444235736088327E-2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42635</v>
      </c>
      <c r="X31" s="10">
        <v>42.42</v>
      </c>
      <c r="Y31" s="10">
        <v>43.72</v>
      </c>
      <c r="Z31" s="10">
        <v>42.29</v>
      </c>
      <c r="AA31" s="10">
        <v>42.59</v>
      </c>
      <c r="AB31" s="95">
        <v>7752600</v>
      </c>
      <c r="AC31" s="10">
        <v>42.59</v>
      </c>
      <c r="AD31" s="2">
        <f t="shared" si="0"/>
        <v>1.4299999999999997</v>
      </c>
      <c r="AE31" s="138">
        <f t="shared" si="1"/>
        <v>1.6225244571701491E-2</v>
      </c>
    </row>
    <row r="32" spans="1:31" x14ac:dyDescent="0.25">
      <c r="W32" s="133">
        <v>42634</v>
      </c>
      <c r="X32" s="10">
        <v>41.05</v>
      </c>
      <c r="Y32" s="10">
        <v>42.07</v>
      </c>
      <c r="Z32" s="10">
        <v>40.92</v>
      </c>
      <c r="AA32" s="10">
        <v>41.91</v>
      </c>
      <c r="AB32" s="95">
        <v>4165300</v>
      </c>
      <c r="AC32" s="10">
        <v>41.91</v>
      </c>
      <c r="AD32" s="2">
        <f t="shared" si="0"/>
        <v>1.1499999999999986</v>
      </c>
      <c r="AE32" s="138">
        <f t="shared" si="1"/>
        <v>1.5753756665050966E-2</v>
      </c>
    </row>
    <row r="33" spans="1:31" x14ac:dyDescent="0.25">
      <c r="W33" s="133">
        <v>42633</v>
      </c>
      <c r="X33" s="10">
        <v>41.56</v>
      </c>
      <c r="Y33" s="10">
        <v>42.04</v>
      </c>
      <c r="Z33" s="10">
        <v>41.13</v>
      </c>
      <c r="AA33" s="10">
        <v>41.26</v>
      </c>
      <c r="AB33" s="95">
        <v>5676800</v>
      </c>
      <c r="AC33" s="10">
        <v>41.26</v>
      </c>
      <c r="AD33" s="2">
        <f t="shared" si="0"/>
        <v>0.90999999999999659</v>
      </c>
      <c r="AE33" s="138">
        <f t="shared" si="1"/>
        <v>-5.5435044589058347E-3</v>
      </c>
    </row>
    <row r="34" spans="1:31" x14ac:dyDescent="0.25">
      <c r="W34" s="133">
        <v>42632</v>
      </c>
      <c r="X34" s="10">
        <v>41.97</v>
      </c>
      <c r="Y34" s="10">
        <v>42.06</v>
      </c>
      <c r="Z34" s="10">
        <v>41.25</v>
      </c>
      <c r="AA34" s="10">
        <v>41.49</v>
      </c>
      <c r="AB34" s="95">
        <v>3394400</v>
      </c>
      <c r="AC34" s="10">
        <v>41.49</v>
      </c>
      <c r="AD34" s="2">
        <f t="shared" si="0"/>
        <v>0.81000000000000227</v>
      </c>
      <c r="AE34" s="138">
        <f t="shared" si="1"/>
        <v>-7.1787508973437664E-3</v>
      </c>
    </row>
    <row r="35" spans="1:31" x14ac:dyDescent="0.25">
      <c r="L35" t="s">
        <v>218</v>
      </c>
      <c r="M35" s="2">
        <f>K53+M53-F53</f>
        <v>439.77999999999975</v>
      </c>
      <c r="W35" s="133">
        <v>42629</v>
      </c>
      <c r="X35" s="10">
        <v>41.44</v>
      </c>
      <c r="Y35" s="10">
        <v>41.86</v>
      </c>
      <c r="Z35" s="10">
        <v>40.93</v>
      </c>
      <c r="AA35" s="10">
        <v>41.79</v>
      </c>
      <c r="AB35" s="95">
        <v>8748100</v>
      </c>
      <c r="AC35" s="10">
        <v>41.79</v>
      </c>
      <c r="AD35" s="2">
        <f t="shared" si="0"/>
        <v>0.92999999999999972</v>
      </c>
      <c r="AE35" s="138">
        <f t="shared" si="1"/>
        <v>7.2306579898770984E-3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0" t="s">
        <v>7</v>
      </c>
      <c r="J36" s="390" t="s">
        <v>95</v>
      </c>
      <c r="K36" s="392" t="s">
        <v>61</v>
      </c>
      <c r="L36" s="390" t="s">
        <v>77</v>
      </c>
      <c r="M36" s="390" t="s">
        <v>38</v>
      </c>
      <c r="W36" s="133">
        <v>42628</v>
      </c>
      <c r="X36" s="10">
        <v>40.909999999999997</v>
      </c>
      <c r="Y36" s="10">
        <v>41.58</v>
      </c>
      <c r="Z36" s="10">
        <v>40.659999999999997</v>
      </c>
      <c r="AA36" s="10">
        <v>41.49</v>
      </c>
      <c r="AB36" s="95">
        <v>3759900</v>
      </c>
      <c r="AC36" s="10">
        <v>41.49</v>
      </c>
      <c r="AD36" s="2">
        <f t="shared" si="0"/>
        <v>0.92000000000000171</v>
      </c>
      <c r="AE36" s="138">
        <f t="shared" si="1"/>
        <v>1.5915768854064538E-2</v>
      </c>
    </row>
    <row r="37" spans="1:31" x14ac:dyDescent="0.25">
      <c r="A37" s="393" t="s">
        <v>213</v>
      </c>
      <c r="B37" s="383">
        <v>42502</v>
      </c>
      <c r="C37" s="384">
        <v>60</v>
      </c>
      <c r="D37" s="385">
        <v>38.25</v>
      </c>
      <c r="E37" s="385">
        <v>0</v>
      </c>
      <c r="F37" s="385">
        <f>C37*D37 + E37</f>
        <v>2295</v>
      </c>
      <c r="G37" s="383">
        <v>42528</v>
      </c>
      <c r="H37" s="388">
        <v>30</v>
      </c>
      <c r="I37" s="385">
        <v>45.25</v>
      </c>
      <c r="J37" s="385">
        <v>0.03</v>
      </c>
      <c r="K37" s="385">
        <f>H37*I37 - J37</f>
        <v>1357.47</v>
      </c>
      <c r="L37" s="384"/>
      <c r="M37" s="384"/>
      <c r="W37" s="133">
        <v>42627</v>
      </c>
      <c r="X37" s="10">
        <v>41.29</v>
      </c>
      <c r="Y37" s="10">
        <v>41.55</v>
      </c>
      <c r="Z37" s="10">
        <v>40.549999999999997</v>
      </c>
      <c r="AA37" s="10">
        <v>40.840000000000003</v>
      </c>
      <c r="AB37" s="95">
        <v>4460200</v>
      </c>
      <c r="AC37" s="10">
        <v>40.840000000000003</v>
      </c>
      <c r="AD37" s="2">
        <f t="shared" si="0"/>
        <v>1</v>
      </c>
      <c r="AE37" s="138">
        <f t="shared" si="1"/>
        <v>-1.7110730872645918E-3</v>
      </c>
    </row>
    <row r="38" spans="1:31" x14ac:dyDescent="0.25">
      <c r="A38" s="394" t="s">
        <v>71</v>
      </c>
      <c r="B38" s="395"/>
      <c r="C38" s="384"/>
      <c r="D38" s="385"/>
      <c r="E38" s="385"/>
      <c r="F38" s="385"/>
      <c r="G38" s="383">
        <v>42544</v>
      </c>
      <c r="H38" s="388">
        <v>30</v>
      </c>
      <c r="I38" s="385">
        <v>45.91</v>
      </c>
      <c r="J38" s="385">
        <v>-0.01</v>
      </c>
      <c r="K38" s="385">
        <f>H38*I38 - J38</f>
        <v>1377.31</v>
      </c>
      <c r="L38" s="384"/>
      <c r="M38" s="384"/>
      <c r="W38" s="133">
        <v>42626</v>
      </c>
      <c r="X38" s="10">
        <v>41.09</v>
      </c>
      <c r="Y38" s="10">
        <v>41.17</v>
      </c>
      <c r="Z38" s="10">
        <v>40.5</v>
      </c>
      <c r="AA38" s="10">
        <v>40.909999999999997</v>
      </c>
      <c r="AB38" s="95">
        <v>5426800</v>
      </c>
      <c r="AC38" s="10">
        <v>40.909999999999997</v>
      </c>
      <c r="AD38" s="2">
        <f t="shared" si="0"/>
        <v>0.67000000000000171</v>
      </c>
      <c r="AE38" s="138">
        <f t="shared" si="1"/>
        <v>-1.0162109847568379E-2</v>
      </c>
    </row>
    <row r="39" spans="1:31" x14ac:dyDescent="0.25">
      <c r="A39" s="384"/>
      <c r="B39" s="395"/>
      <c r="C39" s="384"/>
      <c r="D39" s="385"/>
      <c r="E39" s="385"/>
      <c r="F39" s="385"/>
      <c r="G39" s="383"/>
      <c r="H39" s="388"/>
      <c r="I39" s="385"/>
      <c r="J39" s="385"/>
      <c r="K39" s="385"/>
      <c r="L39" s="384"/>
      <c r="M39" s="384"/>
      <c r="W39" s="133">
        <v>42625</v>
      </c>
      <c r="X39" s="10">
        <v>40.03</v>
      </c>
      <c r="Y39" s="10">
        <v>41.57</v>
      </c>
      <c r="Z39" s="10">
        <v>40</v>
      </c>
      <c r="AA39" s="10">
        <v>41.33</v>
      </c>
      <c r="AB39" s="95">
        <v>8180000</v>
      </c>
      <c r="AC39" s="10">
        <v>41.33</v>
      </c>
      <c r="AD39" s="2">
        <f t="shared" si="0"/>
        <v>1.5700000000000003</v>
      </c>
      <c r="AE39" s="138">
        <f t="shared" si="1"/>
        <v>3.6099273000752108E-2</v>
      </c>
    </row>
    <row r="40" spans="1:31" x14ac:dyDescent="0.25">
      <c r="A40" s="384"/>
      <c r="B40" s="383"/>
      <c r="C40" s="384"/>
      <c r="D40" s="385"/>
      <c r="E40" s="385"/>
      <c r="F40" s="385"/>
      <c r="G40" s="383"/>
      <c r="H40" s="388"/>
      <c r="I40" s="385"/>
      <c r="J40" s="385"/>
      <c r="K40" s="385"/>
      <c r="L40" s="384"/>
      <c r="M40" s="384"/>
      <c r="W40" s="133">
        <v>42622</v>
      </c>
      <c r="X40" s="10">
        <v>40.39</v>
      </c>
      <c r="Y40" s="10">
        <v>40.39</v>
      </c>
      <c r="Z40" s="10">
        <v>39.75</v>
      </c>
      <c r="AA40" s="10">
        <v>39.89</v>
      </c>
      <c r="AB40" s="95">
        <v>5738700</v>
      </c>
      <c r="AC40" s="10">
        <v>39.89</v>
      </c>
      <c r="AD40" s="2">
        <f t="shared" si="0"/>
        <v>0.64000000000000057</v>
      </c>
      <c r="AE40" s="138">
        <f t="shared" si="1"/>
        <v>-1.6761153561745123E-2</v>
      </c>
    </row>
    <row r="41" spans="1:31" x14ac:dyDescent="0.25">
      <c r="A41" s="384"/>
      <c r="B41" s="395"/>
      <c r="C41" s="384"/>
      <c r="D41" s="385"/>
      <c r="E41" s="385"/>
      <c r="F41" s="385"/>
      <c r="G41" s="383"/>
      <c r="H41" s="388"/>
      <c r="I41" s="385"/>
      <c r="J41" s="385"/>
      <c r="K41" s="385"/>
      <c r="L41" s="384"/>
      <c r="M41" s="384"/>
      <c r="W41" s="133">
        <v>42621</v>
      </c>
      <c r="X41" s="10">
        <v>40.5</v>
      </c>
      <c r="Y41" s="10">
        <v>40.78</v>
      </c>
      <c r="Z41" s="10">
        <v>39.97</v>
      </c>
      <c r="AA41" s="10">
        <v>40.57</v>
      </c>
      <c r="AB41" s="95">
        <v>4767100</v>
      </c>
      <c r="AC41" s="10">
        <v>40.57</v>
      </c>
      <c r="AD41" s="2">
        <f t="shared" si="0"/>
        <v>0.81000000000000227</v>
      </c>
      <c r="AE41" s="138">
        <f t="shared" si="1"/>
        <v>6.450012403869998E-3</v>
      </c>
    </row>
    <row r="42" spans="1:31" ht="20.25" thickBot="1" x14ac:dyDescent="0.35">
      <c r="A42" s="384"/>
      <c r="B42" s="395"/>
      <c r="C42" s="384"/>
      <c r="D42" s="385"/>
      <c r="E42" s="385"/>
      <c r="F42" s="385"/>
      <c r="G42" s="383"/>
      <c r="H42" s="388"/>
      <c r="I42" s="385"/>
      <c r="J42" s="385"/>
      <c r="K42" s="385"/>
      <c r="L42" s="384"/>
      <c r="M42" s="384"/>
      <c r="O42" s="588" t="s">
        <v>78</v>
      </c>
      <c r="P42" s="588"/>
      <c r="T42" s="112" t="s">
        <v>113</v>
      </c>
      <c r="U42" s="9"/>
      <c r="W42" s="133">
        <v>42620</v>
      </c>
      <c r="X42" s="10">
        <v>40.840000000000003</v>
      </c>
      <c r="Y42" s="10">
        <v>40.880000000000003</v>
      </c>
      <c r="Z42" s="10">
        <v>40.21</v>
      </c>
      <c r="AA42" s="10">
        <v>40.31</v>
      </c>
      <c r="AB42" s="95">
        <v>6903900</v>
      </c>
      <c r="AC42" s="10">
        <v>40.31</v>
      </c>
      <c r="AD42" s="2">
        <f t="shared" si="0"/>
        <v>0.67000000000000171</v>
      </c>
      <c r="AE42" s="138">
        <f t="shared" si="1"/>
        <v>-2.2277227722771187E-3</v>
      </c>
    </row>
    <row r="43" spans="1:31" ht="15.75" thickTop="1" x14ac:dyDescent="0.25">
      <c r="A43" s="384"/>
      <c r="B43" s="383"/>
      <c r="C43" s="384"/>
      <c r="D43" s="385"/>
      <c r="E43" s="385"/>
      <c r="F43" s="385"/>
      <c r="G43" s="383"/>
      <c r="H43" s="388"/>
      <c r="I43" s="385"/>
      <c r="J43" s="385"/>
      <c r="K43" s="385"/>
      <c r="L43" s="384"/>
      <c r="M43" s="384"/>
      <c r="O43" s="83">
        <v>1.1000000000000001</v>
      </c>
      <c r="P43" s="83">
        <f>O43*$Q$4</f>
        <v>40.337000000000003</v>
      </c>
      <c r="Q43" s="2"/>
      <c r="T43" s="139" t="s">
        <v>98</v>
      </c>
      <c r="U43" s="370">
        <v>37.159999999999997</v>
      </c>
      <c r="W43" s="133">
        <v>42619</v>
      </c>
      <c r="X43" s="10">
        <v>40</v>
      </c>
      <c r="Y43" s="10">
        <v>40.93</v>
      </c>
      <c r="Z43" s="10">
        <v>39.9</v>
      </c>
      <c r="AA43" s="10">
        <v>40.4</v>
      </c>
      <c r="AB43" s="95">
        <v>9142800</v>
      </c>
      <c r="AC43" s="10">
        <v>40.4</v>
      </c>
      <c r="AD43" s="2">
        <f t="shared" si="0"/>
        <v>1.0300000000000011</v>
      </c>
      <c r="AE43" s="138">
        <f t="shared" si="1"/>
        <v>1.075806855141348E-2</v>
      </c>
    </row>
    <row r="44" spans="1:31" x14ac:dyDescent="0.25">
      <c r="A44" s="384"/>
      <c r="B44" s="383"/>
      <c r="C44" s="384"/>
      <c r="D44" s="385"/>
      <c r="E44" s="385"/>
      <c r="F44" s="385"/>
      <c r="G44" s="383"/>
      <c r="H44" s="388"/>
      <c r="I44" s="385"/>
      <c r="J44" s="385"/>
      <c r="K44" s="385"/>
      <c r="L44" s="384"/>
      <c r="M44" s="384"/>
      <c r="O44" s="83">
        <v>1.0900000000000001</v>
      </c>
      <c r="P44" s="83">
        <f t="shared" ref="P44:P63" si="3">O44*$Q$4</f>
        <v>39.970300000000002</v>
      </c>
      <c r="Q44" s="2"/>
      <c r="T44" s="108" t="s">
        <v>99</v>
      </c>
      <c r="U44" s="371">
        <v>37.119999999999997</v>
      </c>
      <c r="W44" s="133">
        <v>42615</v>
      </c>
      <c r="X44" s="10">
        <v>42.01</v>
      </c>
      <c r="Y44" s="10">
        <v>42.09</v>
      </c>
      <c r="Z44" s="10">
        <v>39.82</v>
      </c>
      <c r="AA44" s="10">
        <v>39.97</v>
      </c>
      <c r="AB44" s="95">
        <v>17238000</v>
      </c>
      <c r="AC44" s="10">
        <v>39.97</v>
      </c>
      <c r="AD44" s="2">
        <f t="shared" si="0"/>
        <v>2.2700000000000031</v>
      </c>
      <c r="AE44" s="138">
        <f t="shared" si="1"/>
        <v>-4.6517175572519109E-2</v>
      </c>
    </row>
    <row r="45" spans="1:31" x14ac:dyDescent="0.25">
      <c r="A45" s="384"/>
      <c r="B45" s="383"/>
      <c r="C45" s="384"/>
      <c r="D45" s="385"/>
      <c r="E45" s="385"/>
      <c r="F45" s="385"/>
      <c r="G45" s="383"/>
      <c r="H45" s="384"/>
      <c r="I45" s="384"/>
      <c r="J45" s="384"/>
      <c r="K45" s="385"/>
      <c r="L45" s="384"/>
      <c r="M45" s="384"/>
      <c r="O45" s="83">
        <v>1.08</v>
      </c>
      <c r="P45" s="83">
        <f t="shared" si="3"/>
        <v>39.603600000000007</v>
      </c>
      <c r="Q45" s="2"/>
      <c r="T45" s="108" t="s">
        <v>100</v>
      </c>
      <c r="U45" s="371" t="s">
        <v>570</v>
      </c>
      <c r="W45" s="133">
        <v>42614</v>
      </c>
      <c r="X45" s="10">
        <v>42.52</v>
      </c>
      <c r="Y45" s="10">
        <v>42.63</v>
      </c>
      <c r="Z45" s="10">
        <v>41.55</v>
      </c>
      <c r="AA45" s="10">
        <v>41.92</v>
      </c>
      <c r="AB45" s="95">
        <v>5691700</v>
      </c>
      <c r="AC45" s="10">
        <v>41.92</v>
      </c>
      <c r="AD45" s="2">
        <f t="shared" si="0"/>
        <v>1.0800000000000054</v>
      </c>
      <c r="AE45" s="138">
        <f t="shared" si="1"/>
        <v>-1.0387157695939564E-2</v>
      </c>
    </row>
    <row r="46" spans="1:31" x14ac:dyDescent="0.25">
      <c r="A46" s="384"/>
      <c r="B46" s="383"/>
      <c r="C46" s="384"/>
      <c r="D46" s="385"/>
      <c r="E46" s="385"/>
      <c r="F46" s="385"/>
      <c r="G46" s="383"/>
      <c r="H46" s="384"/>
      <c r="I46" s="384"/>
      <c r="J46" s="384"/>
      <c r="K46" s="385"/>
      <c r="L46" s="384"/>
      <c r="M46" s="384"/>
      <c r="O46" s="83">
        <v>1.07</v>
      </c>
      <c r="P46" s="83">
        <f t="shared" si="3"/>
        <v>39.236900000000006</v>
      </c>
      <c r="Q46" s="2"/>
      <c r="T46" s="108" t="s">
        <v>101</v>
      </c>
      <c r="U46" s="371" t="s">
        <v>571</v>
      </c>
      <c r="W46" s="133">
        <v>42613</v>
      </c>
      <c r="X46" s="10">
        <v>42.56</v>
      </c>
      <c r="Y46" s="10">
        <v>42.63</v>
      </c>
      <c r="Z46" s="10">
        <v>41.87</v>
      </c>
      <c r="AA46" s="10">
        <v>42.36</v>
      </c>
      <c r="AB46" s="95">
        <v>6204900</v>
      </c>
      <c r="AC46" s="10">
        <v>42.36</v>
      </c>
      <c r="AD46" s="2">
        <f t="shared" si="0"/>
        <v>0.76000000000000512</v>
      </c>
      <c r="AE46" s="138">
        <f t="shared" si="1"/>
        <v>-9.1228070175438658E-3</v>
      </c>
    </row>
    <row r="47" spans="1:31" x14ac:dyDescent="0.25">
      <c r="A47" s="384"/>
      <c r="B47" s="383"/>
      <c r="C47" s="384"/>
      <c r="D47" s="385"/>
      <c r="E47" s="385"/>
      <c r="F47" s="385"/>
      <c r="G47" s="383"/>
      <c r="H47" s="384"/>
      <c r="I47" s="384"/>
      <c r="J47" s="384"/>
      <c r="K47" s="385"/>
      <c r="L47" s="384"/>
      <c r="M47" s="384"/>
      <c r="O47" s="83">
        <v>1.06</v>
      </c>
      <c r="P47" s="83">
        <f t="shared" si="3"/>
        <v>38.870200000000004</v>
      </c>
      <c r="Q47" s="2"/>
      <c r="T47" s="108" t="s">
        <v>102</v>
      </c>
      <c r="U47" s="371">
        <v>52.53</v>
      </c>
      <c r="W47" s="133">
        <v>42612</v>
      </c>
      <c r="X47" s="10">
        <v>43.25</v>
      </c>
      <c r="Y47" s="10">
        <v>44.1</v>
      </c>
      <c r="Z47" s="10">
        <v>42.59</v>
      </c>
      <c r="AA47" s="10">
        <v>42.75</v>
      </c>
      <c r="AB47" s="95">
        <v>4960800</v>
      </c>
      <c r="AC47" s="10">
        <v>42.75</v>
      </c>
      <c r="AD47" s="2">
        <f t="shared" si="0"/>
        <v>1.509999999999998</v>
      </c>
      <c r="AE47" s="138">
        <f t="shared" si="1"/>
        <v>-1.0874595094863437E-2</v>
      </c>
    </row>
    <row r="48" spans="1:31" x14ac:dyDescent="0.25">
      <c r="A48" s="384"/>
      <c r="B48" s="383"/>
      <c r="C48" s="384"/>
      <c r="D48" s="385"/>
      <c r="E48" s="385"/>
      <c r="F48" s="385"/>
      <c r="G48" s="383"/>
      <c r="H48" s="384"/>
      <c r="I48" s="385"/>
      <c r="J48" s="384"/>
      <c r="K48" s="385"/>
      <c r="L48" s="384"/>
      <c r="M48" s="384"/>
      <c r="O48" s="83">
        <v>1.05</v>
      </c>
      <c r="P48" s="83">
        <f t="shared" si="3"/>
        <v>38.503500000000003</v>
      </c>
      <c r="Q48" s="2"/>
      <c r="T48" s="108" t="s">
        <v>103</v>
      </c>
      <c r="U48" s="371">
        <v>1.4604699999999999</v>
      </c>
      <c r="W48" s="133">
        <v>42611</v>
      </c>
      <c r="X48" s="10">
        <v>43.99</v>
      </c>
      <c r="Y48" s="10">
        <v>44.24</v>
      </c>
      <c r="Z48" s="10">
        <v>42.47</v>
      </c>
      <c r="AA48" s="10">
        <v>43.22</v>
      </c>
      <c r="AB48" s="95">
        <v>11697600</v>
      </c>
      <c r="AC48" s="10">
        <v>43.22</v>
      </c>
      <c r="AD48" s="2">
        <f t="shared" si="0"/>
        <v>1.7700000000000031</v>
      </c>
      <c r="AE48" s="138">
        <f t="shared" si="1"/>
        <v>4.415524052986175E-3</v>
      </c>
    </row>
    <row r="49" spans="1:31" x14ac:dyDescent="0.25">
      <c r="A49" s="384"/>
      <c r="B49" s="383"/>
      <c r="C49" s="384"/>
      <c r="D49" s="385"/>
      <c r="E49" s="385"/>
      <c r="F49" s="385"/>
      <c r="G49" s="383"/>
      <c r="H49" s="384"/>
      <c r="I49" s="384"/>
      <c r="J49" s="384"/>
      <c r="K49" s="385"/>
      <c r="L49" s="384"/>
      <c r="M49" s="384"/>
      <c r="O49" s="83">
        <v>1.04</v>
      </c>
      <c r="P49" s="83">
        <f t="shared" si="3"/>
        <v>38.136800000000001</v>
      </c>
      <c r="Q49" s="2"/>
      <c r="T49" s="108" t="s">
        <v>104</v>
      </c>
      <c r="U49" s="371" t="s">
        <v>572</v>
      </c>
      <c r="W49" s="133">
        <v>42608</v>
      </c>
      <c r="X49" s="10">
        <v>43.11</v>
      </c>
      <c r="Y49" s="10">
        <v>43.98</v>
      </c>
      <c r="Z49" s="10">
        <v>42.63</v>
      </c>
      <c r="AA49" s="10">
        <v>43.03</v>
      </c>
      <c r="AB49" s="95">
        <v>8349600</v>
      </c>
      <c r="AC49" s="10">
        <v>43.03</v>
      </c>
      <c r="AD49" s="2">
        <f t="shared" si="0"/>
        <v>1.3499999999999943</v>
      </c>
      <c r="AE49" s="138">
        <f t="shared" si="1"/>
        <v>4.2007001166861624E-3</v>
      </c>
    </row>
    <row r="50" spans="1:31" x14ac:dyDescent="0.25">
      <c r="A50" s="384"/>
      <c r="B50" s="384"/>
      <c r="C50" s="384"/>
      <c r="D50" s="385"/>
      <c r="E50" s="385"/>
      <c r="F50" s="385"/>
      <c r="G50" s="383"/>
      <c r="H50" s="384"/>
      <c r="I50" s="384"/>
      <c r="J50" s="384"/>
      <c r="K50" s="385"/>
      <c r="L50" s="384"/>
      <c r="M50" s="384"/>
      <c r="O50" s="83">
        <v>1.03</v>
      </c>
      <c r="P50" s="83">
        <f t="shared" si="3"/>
        <v>37.770099999999999</v>
      </c>
      <c r="Q50" s="2"/>
      <c r="T50" s="108"/>
      <c r="U50" s="371"/>
      <c r="W50" s="133">
        <v>42607</v>
      </c>
      <c r="X50" s="10">
        <v>44.65</v>
      </c>
      <c r="Y50" s="10">
        <v>45.11</v>
      </c>
      <c r="Z50" s="10">
        <v>42.33</v>
      </c>
      <c r="AA50" s="10">
        <v>42.85</v>
      </c>
      <c r="AB50" s="95">
        <v>17728700</v>
      </c>
      <c r="AC50" s="10">
        <v>42.85</v>
      </c>
      <c r="AD50" s="2">
        <f t="shared" si="0"/>
        <v>2.7800000000000011</v>
      </c>
      <c r="AE50" s="138">
        <f t="shared" si="1"/>
        <v>-6.9524913093857998E-3</v>
      </c>
    </row>
    <row r="51" spans="1:31" x14ac:dyDescent="0.25">
      <c r="A51" s="384"/>
      <c r="B51" s="384"/>
      <c r="C51" s="384"/>
      <c r="D51" s="385"/>
      <c r="E51" s="385"/>
      <c r="F51" s="385"/>
      <c r="G51" s="383"/>
      <c r="H51" s="384"/>
      <c r="I51" s="384"/>
      <c r="J51" s="384"/>
      <c r="K51" s="385"/>
      <c r="L51" s="384"/>
      <c r="M51" s="384"/>
      <c r="O51" s="83">
        <v>1.02</v>
      </c>
      <c r="P51" s="83">
        <f t="shared" si="3"/>
        <v>37.403400000000005</v>
      </c>
      <c r="Q51" s="2"/>
      <c r="T51" s="108" t="s">
        <v>105</v>
      </c>
      <c r="U51" s="371" t="s">
        <v>573</v>
      </c>
      <c r="W51" s="133">
        <v>42606</v>
      </c>
      <c r="X51" s="10">
        <v>45.5</v>
      </c>
      <c r="Y51" s="10">
        <v>45.99</v>
      </c>
      <c r="Z51" s="10">
        <v>42.78</v>
      </c>
      <c r="AA51" s="10">
        <v>43.15</v>
      </c>
      <c r="AB51" s="95">
        <v>17938600</v>
      </c>
      <c r="AC51" s="10">
        <v>43.15</v>
      </c>
      <c r="AD51" s="2">
        <f t="shared" si="0"/>
        <v>3.2100000000000009</v>
      </c>
      <c r="AE51" s="138">
        <f t="shared" si="1"/>
        <v>-5.4142919772029785E-2</v>
      </c>
    </row>
    <row r="52" spans="1:31" x14ac:dyDescent="0.25">
      <c r="A52" s="384"/>
      <c r="B52" s="384"/>
      <c r="C52" s="384"/>
      <c r="D52" s="385"/>
      <c r="E52" s="385"/>
      <c r="F52" s="385"/>
      <c r="G52" s="383"/>
      <c r="H52" s="384"/>
      <c r="I52" s="384"/>
      <c r="J52" s="384"/>
      <c r="K52" s="385"/>
      <c r="L52" s="384"/>
      <c r="M52" s="384"/>
      <c r="O52" s="83">
        <v>1.01</v>
      </c>
      <c r="P52" s="83">
        <f t="shared" si="3"/>
        <v>37.036700000000003</v>
      </c>
      <c r="Q52" s="2"/>
      <c r="T52" s="108" t="s">
        <v>106</v>
      </c>
      <c r="U52" s="371" t="s">
        <v>376</v>
      </c>
      <c r="W52" s="133">
        <v>42605</v>
      </c>
      <c r="X52" s="10">
        <v>47.45</v>
      </c>
      <c r="Y52" s="10">
        <v>47.59</v>
      </c>
      <c r="Z52" s="10">
        <v>45.53</v>
      </c>
      <c r="AA52" s="10">
        <v>45.62</v>
      </c>
      <c r="AB52" s="95">
        <v>13105600</v>
      </c>
      <c r="AC52" s="10">
        <v>45.62</v>
      </c>
      <c r="AD52" s="2">
        <f t="shared" si="0"/>
        <v>2.0600000000000023</v>
      </c>
      <c r="AE52" s="138">
        <f t="shared" si="1"/>
        <v>-4.759916492693117E-2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36.67</v>
      </c>
      <c r="Q53" s="2"/>
      <c r="T53" s="108" t="s">
        <v>107</v>
      </c>
      <c r="U53" s="372">
        <v>5947007</v>
      </c>
      <c r="W53" s="133">
        <v>42604</v>
      </c>
      <c r="X53" s="10">
        <v>48.54</v>
      </c>
      <c r="Y53" s="10">
        <v>49.09</v>
      </c>
      <c r="Z53" s="10">
        <v>47.57</v>
      </c>
      <c r="AA53" s="10">
        <v>47.9</v>
      </c>
      <c r="AB53" s="95">
        <v>7281900</v>
      </c>
      <c r="AC53" s="10">
        <v>47.9</v>
      </c>
      <c r="AD53" s="2">
        <f t="shared" si="0"/>
        <v>1.5200000000000031</v>
      </c>
      <c r="AE53" s="138">
        <f t="shared" si="1"/>
        <v>-1.5618577887381746E-2</v>
      </c>
    </row>
    <row r="54" spans="1:31" x14ac:dyDescent="0.25">
      <c r="O54" s="83">
        <v>0.99</v>
      </c>
      <c r="P54" s="83">
        <f t="shared" si="3"/>
        <v>36.3033</v>
      </c>
      <c r="Q54" s="2"/>
      <c r="T54" s="108" t="s">
        <v>110</v>
      </c>
      <c r="U54" s="372">
        <v>7219660</v>
      </c>
      <c r="W54" s="133">
        <v>42601</v>
      </c>
      <c r="X54" s="10">
        <v>48.99</v>
      </c>
      <c r="Y54" s="10">
        <v>49.2</v>
      </c>
      <c r="Z54" s="10">
        <v>48.1</v>
      </c>
      <c r="AA54" s="10">
        <v>48.66</v>
      </c>
      <c r="AB54" s="95">
        <v>5148800</v>
      </c>
      <c r="AC54" s="10">
        <v>48.66</v>
      </c>
      <c r="AD54" s="2">
        <f t="shared" si="0"/>
        <v>1.1000000000000014</v>
      </c>
      <c r="AE54" s="138">
        <f t="shared" si="1"/>
        <v>-1.3381995133819991E-2</v>
      </c>
    </row>
    <row r="55" spans="1:31" x14ac:dyDescent="0.25">
      <c r="B55" s="191" t="s">
        <v>114</v>
      </c>
      <c r="C55" s="191" t="s">
        <v>149</v>
      </c>
      <c r="D55" s="192" t="s">
        <v>148</v>
      </c>
      <c r="E55" s="194" t="s">
        <v>150</v>
      </c>
      <c r="F55" s="195" t="s">
        <v>65</v>
      </c>
      <c r="G55" s="229" t="s">
        <v>154</v>
      </c>
      <c r="H55" s="195" t="s">
        <v>88</v>
      </c>
      <c r="I55" s="195" t="s">
        <v>158</v>
      </c>
      <c r="O55" s="83">
        <v>0.98</v>
      </c>
      <c r="P55" s="83">
        <f t="shared" si="3"/>
        <v>35.936599999999999</v>
      </c>
      <c r="Q55" s="2"/>
      <c r="T55" s="108" t="s">
        <v>108</v>
      </c>
      <c r="U55" s="371" t="s">
        <v>574</v>
      </c>
      <c r="W55" s="133">
        <v>42600</v>
      </c>
      <c r="X55" s="10">
        <v>49</v>
      </c>
      <c r="Y55" s="10">
        <v>49.42</v>
      </c>
      <c r="Z55" s="10">
        <v>48.86</v>
      </c>
      <c r="AA55" s="10">
        <v>49.32</v>
      </c>
      <c r="AB55" s="95">
        <v>2983900</v>
      </c>
      <c r="AC55" s="10">
        <v>49.32</v>
      </c>
      <c r="AD55" s="2">
        <f t="shared" si="0"/>
        <v>0.56000000000000227</v>
      </c>
      <c r="AE55" s="138">
        <f t="shared" si="1"/>
        <v>8.5889570552146743E-3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35.569900000000004</v>
      </c>
      <c r="T56" s="108" t="s">
        <v>111</v>
      </c>
      <c r="U56" s="371">
        <v>23.21</v>
      </c>
      <c r="W56" s="133">
        <v>42599</v>
      </c>
      <c r="X56" s="10">
        <v>48.76</v>
      </c>
      <c r="Y56" s="10">
        <v>49.16</v>
      </c>
      <c r="Z56" s="10">
        <v>48.32</v>
      </c>
      <c r="AA56" s="10">
        <v>48.9</v>
      </c>
      <c r="AB56" s="95">
        <v>2591800</v>
      </c>
      <c r="AC56" s="10">
        <v>48.9</v>
      </c>
      <c r="AD56" s="2">
        <f t="shared" si="0"/>
        <v>0.83999999999999631</v>
      </c>
      <c r="AE56" s="138">
        <f t="shared" si="1"/>
        <v>7.6241500103029214E-3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35.203200000000002</v>
      </c>
      <c r="T57" s="108" t="s">
        <v>112</v>
      </c>
      <c r="U57" s="371">
        <v>1.58</v>
      </c>
      <c r="W57" s="133">
        <v>42598</v>
      </c>
      <c r="X57" s="10">
        <v>48.71</v>
      </c>
      <c r="Y57" s="10">
        <v>49.02</v>
      </c>
      <c r="Z57" s="10">
        <v>48.49</v>
      </c>
      <c r="AA57" s="10">
        <v>48.53</v>
      </c>
      <c r="AB57" s="95">
        <v>2225300</v>
      </c>
      <c r="AC57" s="10">
        <v>48.53</v>
      </c>
      <c r="AD57" s="2">
        <f t="shared" si="0"/>
        <v>0.53000000000000114</v>
      </c>
      <c r="AE57" s="138">
        <f t="shared" si="1"/>
        <v>-4.5128205128205368E-3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34.836500000000001</v>
      </c>
      <c r="T58" s="108" t="s">
        <v>109</v>
      </c>
      <c r="U58" s="371" t="s">
        <v>123</v>
      </c>
      <c r="W58" s="133">
        <v>42597</v>
      </c>
      <c r="X58" s="10">
        <v>48.72</v>
      </c>
      <c r="Y58" s="10">
        <v>48.9</v>
      </c>
      <c r="Z58" s="10">
        <v>48.5</v>
      </c>
      <c r="AA58" s="10">
        <v>48.75</v>
      </c>
      <c r="AB58" s="95">
        <v>3320800</v>
      </c>
      <c r="AC58" s="10">
        <v>48.75</v>
      </c>
      <c r="AD58" s="2">
        <f t="shared" si="0"/>
        <v>0.39999999999999858</v>
      </c>
      <c r="AE58" s="138">
        <f t="shared" si="1"/>
        <v>5.9843169624431702E-3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34.469799999999999</v>
      </c>
      <c r="W59" s="133">
        <v>42594</v>
      </c>
      <c r="X59" s="10">
        <v>48.4</v>
      </c>
      <c r="Y59" s="10">
        <v>48.52</v>
      </c>
      <c r="Z59" s="10">
        <v>47.73</v>
      </c>
      <c r="AA59" s="10">
        <v>48.46</v>
      </c>
      <c r="AB59" s="95">
        <v>3623200</v>
      </c>
      <c r="AC59" s="10">
        <v>48.46</v>
      </c>
      <c r="AD59" s="2">
        <f t="shared" si="0"/>
        <v>0.79000000000000625</v>
      </c>
      <c r="AE59" s="138">
        <f t="shared" si="1"/>
        <v>-5.1324163416136548E-3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34.103100000000005</v>
      </c>
      <c r="W60" s="133">
        <v>42593</v>
      </c>
      <c r="X60" s="10">
        <v>49.09</v>
      </c>
      <c r="Y60" s="10">
        <v>49.4</v>
      </c>
      <c r="Z60" s="10">
        <v>48.56</v>
      </c>
      <c r="AA60" s="10">
        <v>48.71</v>
      </c>
      <c r="AB60" s="95">
        <v>3496800</v>
      </c>
      <c r="AC60" s="10">
        <v>48.71</v>
      </c>
      <c r="AD60" s="2">
        <f t="shared" si="0"/>
        <v>0.83999999999999631</v>
      </c>
      <c r="AE60" s="138">
        <f t="shared" si="1"/>
        <v>-1.6396802623488416E-3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33.736400000000003</v>
      </c>
      <c r="W61" s="133">
        <v>42592</v>
      </c>
      <c r="X61" s="10">
        <v>49.3</v>
      </c>
      <c r="Y61" s="10">
        <v>49.91</v>
      </c>
      <c r="Z61" s="10">
        <v>48.01</v>
      </c>
      <c r="AA61" s="10">
        <v>48.79</v>
      </c>
      <c r="AB61" s="95">
        <v>7499900</v>
      </c>
      <c r="AC61" s="10">
        <v>48.79</v>
      </c>
      <c r="AD61" s="2">
        <f t="shared" si="0"/>
        <v>1.8999999999999986</v>
      </c>
      <c r="AE61" s="138">
        <f t="shared" si="1"/>
        <v>-2.2636217948717952E-2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33.369700000000002</v>
      </c>
      <c r="W62" s="133">
        <v>42591</v>
      </c>
      <c r="X62" s="10">
        <v>48.6</v>
      </c>
      <c r="Y62" s="10">
        <v>50.4</v>
      </c>
      <c r="Z62" s="10">
        <v>48.6</v>
      </c>
      <c r="AA62" s="10">
        <v>49.92</v>
      </c>
      <c r="AB62" s="95">
        <v>7814200</v>
      </c>
      <c r="AC62" s="10">
        <v>49.92</v>
      </c>
      <c r="AD62" s="2">
        <f t="shared" si="0"/>
        <v>1.7999999999999972</v>
      </c>
      <c r="AE62" s="138">
        <f t="shared" si="1"/>
        <v>2.8642077065732519E-2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33.003</v>
      </c>
      <c r="W63" s="133">
        <v>42590</v>
      </c>
      <c r="X63" s="10">
        <v>48.42</v>
      </c>
      <c r="Y63" s="10">
        <v>49.32</v>
      </c>
      <c r="Z63" s="10">
        <v>48.24</v>
      </c>
      <c r="AA63" s="10">
        <v>48.53</v>
      </c>
      <c r="AB63" s="95">
        <v>6708700</v>
      </c>
      <c r="AC63" s="10">
        <v>48.53</v>
      </c>
      <c r="AD63" s="2">
        <f t="shared" si="0"/>
        <v>1.0799999999999983</v>
      </c>
      <c r="AE63" s="138">
        <f t="shared" si="1"/>
        <v>1.4444903012793553E-3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42587</v>
      </c>
      <c r="X64" s="10">
        <v>48.98</v>
      </c>
      <c r="Y64" s="10">
        <v>49.11</v>
      </c>
      <c r="Z64" s="10">
        <v>48.3</v>
      </c>
      <c r="AA64" s="10">
        <v>48.46</v>
      </c>
      <c r="AB64" s="95">
        <v>4747200</v>
      </c>
      <c r="AC64" s="10">
        <v>48.46</v>
      </c>
      <c r="AD64" s="2">
        <f t="shared" si="0"/>
        <v>0.81000000000000227</v>
      </c>
      <c r="AE64" s="138">
        <f t="shared" si="1"/>
        <v>-1.8537590113284486E-3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42586</v>
      </c>
      <c r="X65" s="10">
        <v>48.31</v>
      </c>
      <c r="Y65" s="10">
        <v>49.19</v>
      </c>
      <c r="Z65" s="10">
        <v>48.25</v>
      </c>
      <c r="AA65" s="10">
        <v>48.55</v>
      </c>
      <c r="AB65" s="95">
        <v>11709900</v>
      </c>
      <c r="AC65" s="10">
        <v>48.55</v>
      </c>
      <c r="AD65" s="2">
        <f t="shared" si="0"/>
        <v>0.93999999999999773</v>
      </c>
      <c r="AE65" s="138">
        <f t="shared" si="1"/>
        <v>2.8919644701508318E-3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42585</v>
      </c>
      <c r="X66" s="10">
        <v>46.33</v>
      </c>
      <c r="Y66" s="10">
        <v>48.54</v>
      </c>
      <c r="Z66" s="10">
        <v>46.3</v>
      </c>
      <c r="AA66" s="10">
        <v>48.41</v>
      </c>
      <c r="AB66" s="95">
        <v>7782500</v>
      </c>
      <c r="AC66" s="10">
        <v>48.41</v>
      </c>
      <c r="AD66" s="2">
        <f t="shared" si="0"/>
        <v>2.240000000000002</v>
      </c>
      <c r="AE66" s="138">
        <f t="shared" si="1"/>
        <v>4.040404040404022E-2</v>
      </c>
    </row>
    <row r="67" spans="2:31" x14ac:dyDescent="0.25">
      <c r="W67" s="133">
        <v>42584</v>
      </c>
      <c r="X67" s="10">
        <v>46.4</v>
      </c>
      <c r="Y67" s="10">
        <v>46.74</v>
      </c>
      <c r="Z67" s="10">
        <v>45.68</v>
      </c>
      <c r="AA67" s="10">
        <v>46.53</v>
      </c>
      <c r="AB67" s="95">
        <v>4814300</v>
      </c>
      <c r="AC67" s="10">
        <v>46.53</v>
      </c>
      <c r="AD67" s="2">
        <f>Y67-Z67</f>
        <v>1.0600000000000023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807" priority="25">
      <formula>N19&gt;0</formula>
    </cfRule>
    <cfRule type="expression" dxfId="806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805" priority="19">
      <formula>F21&gt;0</formula>
    </cfRule>
    <cfRule type="expression" dxfId="804" priority="20">
      <formula>F21&lt;0</formula>
    </cfRule>
  </conditionalFormatting>
  <conditionalFormatting sqref="H21:H31">
    <cfRule type="expression" dxfId="803" priority="17">
      <formula>H21&gt;0</formula>
    </cfRule>
    <cfRule type="expression" dxfId="802" priority="18">
      <formula>H21&lt;0</formula>
    </cfRule>
  </conditionalFormatting>
  <conditionalFormatting sqref="I21:I31">
    <cfRule type="expression" dxfId="801" priority="15">
      <formula>I21&gt;0</formula>
    </cfRule>
    <cfRule type="expression" dxfId="800" priority="16">
      <formula>I21&lt;0</formula>
    </cfRule>
  </conditionalFormatting>
  <conditionalFormatting sqref="Q8">
    <cfRule type="expression" dxfId="799" priority="7">
      <formula>Q8&gt;0</formula>
    </cfRule>
    <cfRule type="expression" dxfId="798" priority="8">
      <formula>Q8&lt;0</formula>
    </cfRule>
  </conditionalFormatting>
  <conditionalFormatting sqref="Q7">
    <cfRule type="expression" dxfId="797" priority="9">
      <formula>Q7&gt;0</formula>
    </cfRule>
    <cfRule type="expression" dxfId="796" priority="10">
      <formula>Q7&lt;0</formula>
    </cfRule>
  </conditionalFormatting>
  <conditionalFormatting sqref="F56:F66">
    <cfRule type="expression" dxfId="795" priority="5">
      <formula>F56&gt;0</formula>
    </cfRule>
    <cfRule type="expression" dxfId="794" priority="6">
      <formula>F56&lt;0</formula>
    </cfRule>
  </conditionalFormatting>
  <conditionalFormatting sqref="H56:H66">
    <cfRule type="expression" dxfId="793" priority="3">
      <formula>H56&gt;0</formula>
    </cfRule>
    <cfRule type="expression" dxfId="792" priority="4">
      <formula>H56&lt;0</formula>
    </cfRule>
  </conditionalFormatting>
  <conditionalFormatting sqref="I56:I66">
    <cfRule type="expression" dxfId="791" priority="1">
      <formula>I56&gt;0</formula>
    </cfRule>
    <cfRule type="expression" dxfId="790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5.42578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227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42568</v>
      </c>
      <c r="U2" t="s">
        <v>275</v>
      </c>
      <c r="W2" s="133">
        <v>42676</v>
      </c>
      <c r="X2" s="10">
        <v>80.459999999999994</v>
      </c>
      <c r="Y2" s="10">
        <v>81.12</v>
      </c>
      <c r="Z2" s="10">
        <v>79.47</v>
      </c>
      <c r="AA2" s="10">
        <v>80.2</v>
      </c>
      <c r="AB2" s="95">
        <v>1147100</v>
      </c>
      <c r="AC2" s="10">
        <v>80.2</v>
      </c>
      <c r="AD2" s="2">
        <f>Y2-Z2</f>
        <v>1.6500000000000057</v>
      </c>
      <c r="AE2" s="138">
        <f>AC2/AC3-1</f>
        <v>-6.4420218037660737E-3</v>
      </c>
    </row>
    <row r="3" spans="1:40" x14ac:dyDescent="0.25">
      <c r="A3" s="23" t="s">
        <v>71</v>
      </c>
      <c r="B3" s="369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80.2</v>
      </c>
      <c r="W3" s="133">
        <v>42675</v>
      </c>
      <c r="X3" s="10">
        <v>81.17</v>
      </c>
      <c r="Y3" s="10">
        <v>81.790000000000006</v>
      </c>
      <c r="Z3" s="10">
        <v>79.91</v>
      </c>
      <c r="AA3" s="10">
        <v>80.72</v>
      </c>
      <c r="AB3" s="95">
        <v>1267600</v>
      </c>
      <c r="AC3" s="10">
        <v>80.72</v>
      </c>
      <c r="AD3" s="2">
        <f t="shared" ref="AD3:AD66" si="0">Y3-Z3</f>
        <v>1.8800000000000097</v>
      </c>
      <c r="AE3" s="138">
        <f t="shared" ref="AE3:AE66" si="1">AC3/AC4-1</f>
        <v>-6.645335958651355E-3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80.2</v>
      </c>
      <c r="R4" s="557">
        <v>-6.4000000000000003E-3</v>
      </c>
      <c r="T4" s="1"/>
      <c r="W4" s="133">
        <v>42674</v>
      </c>
      <c r="X4" s="10">
        <v>80.81</v>
      </c>
      <c r="Y4" s="10">
        <v>81.739999999999995</v>
      </c>
      <c r="Z4" s="10">
        <v>80.75</v>
      </c>
      <c r="AA4" s="10">
        <v>81.260000000000005</v>
      </c>
      <c r="AB4" s="95">
        <v>716800</v>
      </c>
      <c r="AC4" s="10">
        <v>81.260000000000005</v>
      </c>
      <c r="AD4" s="2">
        <f t="shared" si="0"/>
        <v>0.98999999999999488</v>
      </c>
      <c r="AE4" s="138">
        <f t="shared" si="1"/>
        <v>1.0570824524313016E-2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42671</v>
      </c>
      <c r="X5" s="10">
        <v>79.91</v>
      </c>
      <c r="Y5" s="10">
        <v>82.29</v>
      </c>
      <c r="Z5" s="10">
        <v>79.91</v>
      </c>
      <c r="AA5" s="10">
        <v>80.41</v>
      </c>
      <c r="AB5" s="95">
        <v>861300</v>
      </c>
      <c r="AC5" s="10">
        <v>80.41</v>
      </c>
      <c r="AD5" s="2">
        <f t="shared" si="0"/>
        <v>2.3800000000000097</v>
      </c>
      <c r="AE5" s="138">
        <f t="shared" si="1"/>
        <v>3.118762475049941E-3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42670</v>
      </c>
      <c r="X6" s="10">
        <v>82.63</v>
      </c>
      <c r="Y6" s="10">
        <v>83.39</v>
      </c>
      <c r="Z6" s="10">
        <v>80</v>
      </c>
      <c r="AA6" s="10">
        <v>80.16</v>
      </c>
      <c r="AB6" s="95">
        <v>827900</v>
      </c>
      <c r="AC6" s="10">
        <v>80.16</v>
      </c>
      <c r="AD6" s="2">
        <f t="shared" si="0"/>
        <v>3.3900000000000006</v>
      </c>
      <c r="AE6" s="138">
        <f t="shared" si="1"/>
        <v>-2.7892311423720506E-2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184</v>
      </c>
      <c r="Q7" s="2">
        <f>Q10+Q8</f>
        <v>668.15000000000146</v>
      </c>
      <c r="R7">
        <v>0</v>
      </c>
      <c r="W7" s="133">
        <v>42669</v>
      </c>
      <c r="X7" s="10">
        <v>80.349999999999994</v>
      </c>
      <c r="Y7" s="10">
        <v>83.26</v>
      </c>
      <c r="Z7" s="10">
        <v>80.2</v>
      </c>
      <c r="AA7" s="10">
        <v>82.46</v>
      </c>
      <c r="AB7" s="95">
        <v>1149900</v>
      </c>
      <c r="AC7" s="10">
        <v>82.46</v>
      </c>
      <c r="AD7" s="2">
        <f t="shared" si="0"/>
        <v>3.0600000000000023</v>
      </c>
      <c r="AE7" s="138" t="e">
        <f t="shared" si="1"/>
        <v>#DIV/0!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42669</v>
      </c>
      <c r="X8" s="10" t="s">
        <v>141</v>
      </c>
      <c r="Y8" s="10"/>
      <c r="Z8" s="10"/>
      <c r="AA8" s="10"/>
      <c r="AB8" s="95"/>
      <c r="AC8" s="10"/>
      <c r="AD8" s="2">
        <f t="shared" si="0"/>
        <v>0</v>
      </c>
      <c r="AE8" s="138">
        <f t="shared" si="1"/>
        <v>-1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219</v>
      </c>
      <c r="Q9" s="138">
        <f>IF(Q2=0, 0, Q8/Q6)</f>
        <v>0</v>
      </c>
      <c r="T9" s="158"/>
      <c r="W9" s="133">
        <v>42668</v>
      </c>
      <c r="X9" s="10">
        <v>78.98</v>
      </c>
      <c r="Y9" s="10">
        <v>81.17</v>
      </c>
      <c r="Z9" s="10">
        <v>78.650000000000006</v>
      </c>
      <c r="AA9" s="10">
        <v>81.16</v>
      </c>
      <c r="AB9" s="95">
        <v>845400</v>
      </c>
      <c r="AC9" s="10">
        <v>80.900000000000006</v>
      </c>
      <c r="AD9" s="2">
        <f t="shared" si="0"/>
        <v>2.519999999999996</v>
      </c>
      <c r="AE9" s="138">
        <f t="shared" si="1"/>
        <v>1.8122325698464836E-2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218</v>
      </c>
      <c r="P10" s="34"/>
      <c r="Q10" s="2">
        <f>M82</f>
        <v>668.15000000000146</v>
      </c>
      <c r="W10" s="133">
        <v>42667</v>
      </c>
      <c r="X10" s="10">
        <v>80.349999999999994</v>
      </c>
      <c r="Y10" s="10">
        <v>80.739999999999995</v>
      </c>
      <c r="Z10" s="10">
        <v>79.42</v>
      </c>
      <c r="AA10" s="10">
        <v>79.72</v>
      </c>
      <c r="AB10" s="95">
        <v>899100</v>
      </c>
      <c r="AC10" s="10">
        <v>79.459999999999994</v>
      </c>
      <c r="AD10" s="2">
        <f t="shared" si="0"/>
        <v>1.3199999999999932</v>
      </c>
      <c r="AE10" s="138">
        <f t="shared" si="1"/>
        <v>-3.6363636363636598E-3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181</v>
      </c>
      <c r="P11" s="34"/>
      <c r="Q11" s="138">
        <f>VALUE(TRIM(CLEAN(MID(U55, FIND("(", U55)+1, 5))))</f>
        <v>1.29E-2</v>
      </c>
      <c r="W11" s="133">
        <v>42664</v>
      </c>
      <c r="X11" s="10">
        <v>80.17</v>
      </c>
      <c r="Y11" s="10">
        <v>81.62</v>
      </c>
      <c r="Z11" s="10">
        <v>79.459999999999994</v>
      </c>
      <c r="AA11" s="10">
        <v>80.010000000000005</v>
      </c>
      <c r="AB11" s="95">
        <v>893000</v>
      </c>
      <c r="AC11" s="10">
        <v>79.75</v>
      </c>
      <c r="AD11" s="2">
        <f t="shared" si="0"/>
        <v>2.1600000000000108</v>
      </c>
      <c r="AE11" s="138">
        <f t="shared" si="1"/>
        <v>-1.1404487417875364E-2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42663</v>
      </c>
      <c r="X12" s="10">
        <v>80.89</v>
      </c>
      <c r="Y12" s="10">
        <v>81.67</v>
      </c>
      <c r="Z12" s="10">
        <v>80.73</v>
      </c>
      <c r="AA12" s="10">
        <v>80.930000000000007</v>
      </c>
      <c r="AB12" s="95">
        <v>884400</v>
      </c>
      <c r="AC12" s="10">
        <v>80.67</v>
      </c>
      <c r="AD12" s="2">
        <f t="shared" si="0"/>
        <v>0.93999999999999773</v>
      </c>
      <c r="AE12" s="138">
        <f t="shared" si="1"/>
        <v>3.7202380952372494E-4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42662</v>
      </c>
      <c r="X13" s="10">
        <v>80.459999999999994</v>
      </c>
      <c r="Y13" s="10">
        <v>81.92</v>
      </c>
      <c r="Z13" s="10">
        <v>79.98</v>
      </c>
      <c r="AA13" s="10">
        <v>80.900000000000006</v>
      </c>
      <c r="AB13" s="95">
        <v>643100</v>
      </c>
      <c r="AC13" s="10">
        <v>80.64</v>
      </c>
      <c r="AD13" s="2">
        <f t="shared" si="0"/>
        <v>1.9399999999999977</v>
      </c>
      <c r="AE13" s="138">
        <f t="shared" si="1"/>
        <v>6.2390816071873356E-3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42661</v>
      </c>
      <c r="X14" s="10">
        <v>80</v>
      </c>
      <c r="Y14" s="10">
        <v>81.36</v>
      </c>
      <c r="Z14" s="10">
        <v>80</v>
      </c>
      <c r="AA14" s="10">
        <v>80.400000000000006</v>
      </c>
      <c r="AB14" s="95">
        <v>662400</v>
      </c>
      <c r="AC14" s="10">
        <v>80.14</v>
      </c>
      <c r="AD14" s="2">
        <f t="shared" si="0"/>
        <v>1.3599999999999994</v>
      </c>
      <c r="AE14" s="138">
        <f t="shared" si="1"/>
        <v>9.0657265172500168E-3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42660</v>
      </c>
      <c r="X15" s="10">
        <v>80.83</v>
      </c>
      <c r="Y15" s="10">
        <v>81.459999999999994</v>
      </c>
      <c r="Z15" s="10">
        <v>79.36</v>
      </c>
      <c r="AA15" s="10">
        <v>79.680000000000007</v>
      </c>
      <c r="AB15" s="95">
        <v>822500</v>
      </c>
      <c r="AC15" s="10">
        <v>79.42</v>
      </c>
      <c r="AD15" s="2">
        <f t="shared" si="0"/>
        <v>2.0999999999999943</v>
      </c>
      <c r="AE15" s="138">
        <f t="shared" si="1"/>
        <v>-1.6957544250526091E-2</v>
      </c>
    </row>
    <row r="16" spans="1:40" x14ac:dyDescent="0.25">
      <c r="G16" s="1"/>
      <c r="H16" s="72"/>
      <c r="W16" s="133">
        <v>42657</v>
      </c>
      <c r="X16" s="10">
        <v>81.819999999999993</v>
      </c>
      <c r="Y16" s="10">
        <v>82.89</v>
      </c>
      <c r="Z16" s="10">
        <v>80.91</v>
      </c>
      <c r="AA16" s="10">
        <v>81.05</v>
      </c>
      <c r="AB16" s="95">
        <v>819500</v>
      </c>
      <c r="AC16" s="10">
        <v>80.790000000000006</v>
      </c>
      <c r="AD16" s="2">
        <f t="shared" si="0"/>
        <v>1.980000000000004</v>
      </c>
      <c r="AE16" s="138">
        <f t="shared" si="1"/>
        <v>0</v>
      </c>
    </row>
    <row r="17" spans="1:31" x14ac:dyDescent="0.25">
      <c r="G17" s="1"/>
      <c r="H17" s="72"/>
      <c r="W17" s="133">
        <v>42656</v>
      </c>
      <c r="X17" s="10">
        <v>80.400000000000006</v>
      </c>
      <c r="Y17" s="10">
        <v>81.59</v>
      </c>
      <c r="Z17" s="10">
        <v>80.38</v>
      </c>
      <c r="AA17" s="10">
        <v>81.05</v>
      </c>
      <c r="AB17" s="95">
        <v>1230000</v>
      </c>
      <c r="AC17" s="10">
        <v>80.790000000000006</v>
      </c>
      <c r="AD17" s="2">
        <f t="shared" si="0"/>
        <v>1.210000000000008</v>
      </c>
      <c r="AE17" s="138">
        <f t="shared" si="1"/>
        <v>-1.2376237623745734E-4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/>
      <c r="M18" s="18">
        <f t="shared" si="2"/>
        <v>0</v>
      </c>
      <c r="W18" s="133">
        <v>42655</v>
      </c>
      <c r="X18" s="10">
        <v>80.400000000000006</v>
      </c>
      <c r="Y18" s="10">
        <v>81.69</v>
      </c>
      <c r="Z18" s="10">
        <v>80.3</v>
      </c>
      <c r="AA18" s="10">
        <v>81.06</v>
      </c>
      <c r="AB18" s="95">
        <v>951300</v>
      </c>
      <c r="AC18" s="10">
        <v>80.8</v>
      </c>
      <c r="AD18" s="2">
        <f t="shared" si="0"/>
        <v>1.3900000000000006</v>
      </c>
      <c r="AE18" s="138">
        <f t="shared" si="1"/>
        <v>8.2355877214872475E-3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>SumByColor($A$19,M2:M17)</f>
        <v>0</v>
      </c>
      <c r="N19" s="2"/>
      <c r="W19" s="133">
        <v>42654</v>
      </c>
      <c r="X19" s="10">
        <v>80.98</v>
      </c>
      <c r="Y19" s="10">
        <v>82.28</v>
      </c>
      <c r="Z19" s="10">
        <v>80.19</v>
      </c>
      <c r="AA19" s="10">
        <v>80.400000000000006</v>
      </c>
      <c r="AB19" s="95">
        <v>1311100</v>
      </c>
      <c r="AC19" s="10">
        <v>80.14</v>
      </c>
      <c r="AD19" s="2">
        <f t="shared" si="0"/>
        <v>2.0900000000000034</v>
      </c>
      <c r="AE19" s="138">
        <f t="shared" si="1"/>
        <v>-1.4268142681426732E-2</v>
      </c>
    </row>
    <row r="20" spans="1:31" x14ac:dyDescent="0.25">
      <c r="W20" s="133">
        <v>42653</v>
      </c>
      <c r="X20" s="10">
        <v>80.290000000000006</v>
      </c>
      <c r="Y20" s="10">
        <v>81.97</v>
      </c>
      <c r="Z20" s="10">
        <v>80.290000000000006</v>
      </c>
      <c r="AA20" s="10">
        <v>81.56</v>
      </c>
      <c r="AB20" s="95">
        <v>810300</v>
      </c>
      <c r="AC20" s="10">
        <v>81.3</v>
      </c>
      <c r="AD20" s="2">
        <f t="shared" si="0"/>
        <v>1.6799999999999926</v>
      </c>
      <c r="AE20" s="138">
        <f t="shared" si="1"/>
        <v>1.8669339681744113E-2</v>
      </c>
    </row>
    <row r="21" spans="1:31" x14ac:dyDescent="0.25">
      <c r="W21" s="133">
        <v>42650</v>
      </c>
      <c r="X21" s="10">
        <v>82.03</v>
      </c>
      <c r="Y21" s="10">
        <v>82.24</v>
      </c>
      <c r="Z21" s="10">
        <v>79.61</v>
      </c>
      <c r="AA21" s="10">
        <v>80.069999999999993</v>
      </c>
      <c r="AB21" s="95">
        <v>1324100</v>
      </c>
      <c r="AC21" s="10">
        <v>79.81</v>
      </c>
      <c r="AD21" s="2">
        <f t="shared" si="0"/>
        <v>2.6299999999999955</v>
      </c>
      <c r="AE21" s="138">
        <f t="shared" si="1"/>
        <v>-1.7964808662482956E-2</v>
      </c>
    </row>
    <row r="22" spans="1:31" x14ac:dyDescent="0.25">
      <c r="W22" s="133">
        <v>42649</v>
      </c>
      <c r="X22" s="10">
        <v>81.36</v>
      </c>
      <c r="Y22" s="10">
        <v>82.29</v>
      </c>
      <c r="Z22" s="10">
        <v>80.42</v>
      </c>
      <c r="AA22" s="10">
        <v>81.53</v>
      </c>
      <c r="AB22" s="95">
        <v>1347200</v>
      </c>
      <c r="AC22" s="10">
        <v>81.27</v>
      </c>
      <c r="AD22" s="2">
        <f t="shared" si="0"/>
        <v>1.8700000000000045</v>
      </c>
      <c r="AE22" s="138">
        <f t="shared" si="1"/>
        <v>1.2319822594553109E-3</v>
      </c>
    </row>
    <row r="23" spans="1:31" x14ac:dyDescent="0.25">
      <c r="W23" s="133">
        <v>42648</v>
      </c>
      <c r="X23" s="10">
        <v>78.37</v>
      </c>
      <c r="Y23" s="10">
        <v>82.11</v>
      </c>
      <c r="Z23" s="10">
        <v>78.290000000000006</v>
      </c>
      <c r="AA23" s="10">
        <v>81.430000000000007</v>
      </c>
      <c r="AB23" s="95">
        <v>2803600</v>
      </c>
      <c r="AC23" s="10">
        <v>81.17</v>
      </c>
      <c r="AD23" s="2">
        <f t="shared" si="0"/>
        <v>3.8199999999999932</v>
      </c>
      <c r="AE23" s="138">
        <f t="shared" si="1"/>
        <v>4.6409694469511598E-2</v>
      </c>
    </row>
    <row r="24" spans="1:31" x14ac:dyDescent="0.25">
      <c r="B24" s="551" t="s">
        <v>114</v>
      </c>
      <c r="C24" s="551" t="s">
        <v>149</v>
      </c>
      <c r="D24" s="552" t="s">
        <v>148</v>
      </c>
      <c r="E24" s="553" t="s">
        <v>150</v>
      </c>
      <c r="F24" s="554" t="s">
        <v>65</v>
      </c>
      <c r="G24" s="555" t="s">
        <v>154</v>
      </c>
      <c r="H24" s="554" t="s">
        <v>88</v>
      </c>
      <c r="I24" s="554" t="s">
        <v>158</v>
      </c>
      <c r="W24" s="133">
        <v>42647</v>
      </c>
      <c r="X24" s="10">
        <v>76.19</v>
      </c>
      <c r="Y24" s="10">
        <v>78.180000000000007</v>
      </c>
      <c r="Z24" s="10">
        <v>75.89</v>
      </c>
      <c r="AA24" s="10">
        <v>77.819999999999993</v>
      </c>
      <c r="AB24" s="95">
        <v>1545500</v>
      </c>
      <c r="AC24" s="10">
        <v>77.569999999999993</v>
      </c>
      <c r="AD24" s="2">
        <f t="shared" si="0"/>
        <v>2.2900000000000063</v>
      </c>
      <c r="AE24" s="138">
        <f t="shared" si="1"/>
        <v>2.7689454160042315E-2</v>
      </c>
    </row>
    <row r="25" spans="1:31" x14ac:dyDescent="0.25">
      <c r="B25" s="383">
        <v>42516</v>
      </c>
      <c r="C25" s="384">
        <v>20</v>
      </c>
      <c r="D25" s="385">
        <v>96.2</v>
      </c>
      <c r="E25" s="385">
        <v>97</v>
      </c>
      <c r="F25" s="385">
        <f t="shared" ref="F25:F33" si="3">C25*(E25-D25)</f>
        <v>15.999999999999943</v>
      </c>
      <c r="G25" s="385">
        <f t="shared" ref="G25:G33" si="4">D25*C25</f>
        <v>1924</v>
      </c>
      <c r="H25" s="386">
        <f t="shared" ref="H25:H33" si="5">(E25-D25)/D25</f>
        <v>8.316008316008287E-3</v>
      </c>
      <c r="I25" s="386"/>
      <c r="W25" s="133">
        <v>42646</v>
      </c>
      <c r="X25" s="10">
        <v>74.290000000000006</v>
      </c>
      <c r="Y25" s="10">
        <v>75.81</v>
      </c>
      <c r="Z25" s="10">
        <v>74.23</v>
      </c>
      <c r="AA25" s="10">
        <v>75.72</v>
      </c>
      <c r="AB25" s="95">
        <v>1118900</v>
      </c>
      <c r="AC25" s="10">
        <v>75.48</v>
      </c>
      <c r="AD25" s="2">
        <f t="shared" si="0"/>
        <v>1.5799999999999983</v>
      </c>
      <c r="AE25" s="138">
        <f t="shared" si="1"/>
        <v>1.6018306636155666E-2</v>
      </c>
    </row>
    <row r="26" spans="1:31" x14ac:dyDescent="0.25">
      <c r="B26" s="383">
        <v>42522</v>
      </c>
      <c r="C26" s="384">
        <v>20</v>
      </c>
      <c r="D26" s="385">
        <v>96.2</v>
      </c>
      <c r="E26" s="385">
        <v>98.73</v>
      </c>
      <c r="F26" s="385">
        <f t="shared" si="3"/>
        <v>50.600000000000023</v>
      </c>
      <c r="G26" s="385">
        <f t="shared" si="4"/>
        <v>1924</v>
      </c>
      <c r="H26" s="386">
        <f t="shared" si="5"/>
        <v>2.6299376299376311E-2</v>
      </c>
      <c r="I26" s="386"/>
      <c r="W26" s="133">
        <v>42643</v>
      </c>
      <c r="X26" s="10">
        <v>73.69</v>
      </c>
      <c r="Y26" s="10">
        <v>74.78</v>
      </c>
      <c r="Z26" s="10">
        <v>72.650000000000006</v>
      </c>
      <c r="AA26" s="10">
        <v>74.53</v>
      </c>
      <c r="AB26" s="95">
        <v>1315300</v>
      </c>
      <c r="AC26" s="10">
        <v>74.290000000000006</v>
      </c>
      <c r="AD26" s="2">
        <f t="shared" si="0"/>
        <v>2.1299999999999955</v>
      </c>
      <c r="AE26" s="138">
        <f t="shared" si="1"/>
        <v>1.8648018648018683E-2</v>
      </c>
    </row>
    <row r="27" spans="1:31" x14ac:dyDescent="0.25">
      <c r="B27" s="383">
        <v>42527</v>
      </c>
      <c r="C27" s="384">
        <v>45</v>
      </c>
      <c r="D27" s="385">
        <v>90.305599999999998</v>
      </c>
      <c r="E27" s="385">
        <v>86.39</v>
      </c>
      <c r="F27" s="385">
        <f t="shared" si="3"/>
        <v>-176.20199999999988</v>
      </c>
      <c r="G27" s="385">
        <f t="shared" si="4"/>
        <v>4063.752</v>
      </c>
      <c r="H27" s="386">
        <f t="shared" si="5"/>
        <v>-4.3359437288495929E-2</v>
      </c>
      <c r="I27" s="387"/>
      <c r="W27" s="133">
        <v>42642</v>
      </c>
      <c r="X27" s="10">
        <v>74.790000000000006</v>
      </c>
      <c r="Y27" s="10">
        <v>75.459999999999994</v>
      </c>
      <c r="Z27" s="10">
        <v>72.73</v>
      </c>
      <c r="AA27" s="10">
        <v>73.16</v>
      </c>
      <c r="AB27" s="95">
        <v>1445600</v>
      </c>
      <c r="AC27" s="10">
        <v>72.930000000000007</v>
      </c>
      <c r="AD27" s="2">
        <f t="shared" si="0"/>
        <v>2.7299999999999898</v>
      </c>
      <c r="AE27" s="138">
        <f t="shared" si="1"/>
        <v>-2.3171711759978453E-2</v>
      </c>
    </row>
    <row r="28" spans="1:31" x14ac:dyDescent="0.25">
      <c r="B28" s="383">
        <v>42529</v>
      </c>
      <c r="C28" s="384">
        <v>25</v>
      </c>
      <c r="D28" s="385">
        <v>91.3596</v>
      </c>
      <c r="E28" s="385">
        <v>89.31</v>
      </c>
      <c r="F28" s="385">
        <f t="shared" si="3"/>
        <v>-51.239999999999952</v>
      </c>
      <c r="G28" s="385">
        <f t="shared" si="4"/>
        <v>2283.9899999999998</v>
      </c>
      <c r="H28" s="386">
        <f t="shared" si="5"/>
        <v>-2.2434423968581276E-2</v>
      </c>
      <c r="I28" s="386"/>
      <c r="W28" s="133">
        <v>42641</v>
      </c>
      <c r="X28" s="10">
        <v>74.95</v>
      </c>
      <c r="Y28" s="10">
        <v>75.569999999999993</v>
      </c>
      <c r="Z28" s="10">
        <v>73.84</v>
      </c>
      <c r="AA28" s="10">
        <v>74.900000000000006</v>
      </c>
      <c r="AB28" s="95">
        <v>1322600</v>
      </c>
      <c r="AC28" s="10">
        <v>74.66</v>
      </c>
      <c r="AD28" s="2">
        <f t="shared" si="0"/>
        <v>1.7299999999999898</v>
      </c>
      <c r="AE28" s="138">
        <f t="shared" si="1"/>
        <v>2.8206850235055203E-3</v>
      </c>
    </row>
    <row r="29" spans="1:31" x14ac:dyDescent="0.25">
      <c r="B29" s="383">
        <v>42534</v>
      </c>
      <c r="C29" s="384">
        <v>25</v>
      </c>
      <c r="D29" s="385">
        <v>91.3596</v>
      </c>
      <c r="E29" s="385">
        <v>85.51</v>
      </c>
      <c r="F29" s="385">
        <f t="shared" si="3"/>
        <v>-146.2399999999999</v>
      </c>
      <c r="G29" s="385">
        <f t="shared" si="4"/>
        <v>2283.9899999999998</v>
      </c>
      <c r="H29" s="386">
        <f t="shared" si="5"/>
        <v>-6.402830134983073E-2</v>
      </c>
      <c r="I29" s="386"/>
      <c r="W29" s="133">
        <v>42640</v>
      </c>
      <c r="X29" s="10">
        <v>76.260000000000005</v>
      </c>
      <c r="Y29" s="10">
        <v>76.31</v>
      </c>
      <c r="Z29" s="10">
        <v>74.14</v>
      </c>
      <c r="AA29" s="10">
        <v>74.69</v>
      </c>
      <c r="AB29" s="95">
        <v>1815700</v>
      </c>
      <c r="AC29" s="10">
        <v>74.45</v>
      </c>
      <c r="AD29" s="2">
        <f t="shared" si="0"/>
        <v>2.1700000000000017</v>
      </c>
      <c r="AE29" s="138">
        <f t="shared" si="1"/>
        <v>-2.1296174576048266E-2</v>
      </c>
    </row>
    <row r="30" spans="1:31" x14ac:dyDescent="0.25">
      <c r="B30" s="383">
        <v>42535</v>
      </c>
      <c r="C30" s="384">
        <v>50</v>
      </c>
      <c r="D30" s="385">
        <v>87.0548</v>
      </c>
      <c r="E30" s="385">
        <v>83.87</v>
      </c>
      <c r="F30" s="385">
        <f t="shared" si="3"/>
        <v>-159.23999999999978</v>
      </c>
      <c r="G30" s="385">
        <f t="shared" si="4"/>
        <v>4352.74</v>
      </c>
      <c r="H30" s="386">
        <f t="shared" si="5"/>
        <v>-3.6583852929419118E-2</v>
      </c>
      <c r="I30" s="386"/>
      <c r="W30" s="133">
        <v>42639</v>
      </c>
      <c r="X30" s="10">
        <v>78.569999999999993</v>
      </c>
      <c r="Y30" s="10">
        <v>78.63</v>
      </c>
      <c r="Z30" s="10">
        <v>76.23</v>
      </c>
      <c r="AA30" s="10">
        <v>76.31</v>
      </c>
      <c r="AB30" s="95">
        <v>1057100</v>
      </c>
      <c r="AC30" s="10">
        <v>76.069999999999993</v>
      </c>
      <c r="AD30" s="2">
        <f t="shared" si="0"/>
        <v>2.3999999999999915</v>
      </c>
      <c r="AE30" s="138">
        <f t="shared" si="1"/>
        <v>-3.3663617886178887E-2</v>
      </c>
    </row>
    <row r="31" spans="1:31" x14ac:dyDescent="0.25">
      <c r="B31" s="383">
        <v>42541</v>
      </c>
      <c r="C31" s="384">
        <v>25</v>
      </c>
      <c r="D31" s="385">
        <v>87.521600000000007</v>
      </c>
      <c r="E31" s="385">
        <v>86.01</v>
      </c>
      <c r="F31" s="385">
        <f t="shared" si="3"/>
        <v>-37.790000000000035</v>
      </c>
      <c r="G31" s="385">
        <f t="shared" si="4"/>
        <v>2188.04</v>
      </c>
      <c r="H31" s="386">
        <f t="shared" si="5"/>
        <v>-1.7271165060967823E-2</v>
      </c>
      <c r="I31" s="386"/>
      <c r="W31" s="133">
        <v>42636</v>
      </c>
      <c r="X31" s="10">
        <v>76.94</v>
      </c>
      <c r="Y31" s="10">
        <v>79.08</v>
      </c>
      <c r="Z31" s="10">
        <v>76.8</v>
      </c>
      <c r="AA31" s="10">
        <v>78.97</v>
      </c>
      <c r="AB31" s="95">
        <v>1438300</v>
      </c>
      <c r="AC31" s="10">
        <v>78.72</v>
      </c>
      <c r="AD31" s="2">
        <f t="shared" si="0"/>
        <v>2.2800000000000011</v>
      </c>
      <c r="AE31" s="138">
        <f t="shared" si="1"/>
        <v>2.2072189041807411E-2</v>
      </c>
    </row>
    <row r="32" spans="1:31" x14ac:dyDescent="0.25">
      <c r="B32" s="383">
        <v>42546</v>
      </c>
      <c r="C32" s="384">
        <v>25</v>
      </c>
      <c r="D32" s="385">
        <v>87.521600000000007</v>
      </c>
      <c r="E32" s="385">
        <v>82.02</v>
      </c>
      <c r="F32" s="385">
        <f t="shared" si="3"/>
        <v>-137.54000000000025</v>
      </c>
      <c r="G32" s="385">
        <f t="shared" si="4"/>
        <v>2188.04</v>
      </c>
      <c r="H32" s="386">
        <f t="shared" si="5"/>
        <v>-6.285991115336112E-2</v>
      </c>
      <c r="I32" s="386"/>
      <c r="W32" s="133">
        <v>42635</v>
      </c>
      <c r="X32" s="10">
        <v>76.459999999999994</v>
      </c>
      <c r="Y32" s="10">
        <v>78.13</v>
      </c>
      <c r="Z32" s="10">
        <v>76.34</v>
      </c>
      <c r="AA32" s="10">
        <v>77.27</v>
      </c>
      <c r="AB32" s="95">
        <v>1857500</v>
      </c>
      <c r="AC32" s="10">
        <v>77.02</v>
      </c>
      <c r="AD32" s="2">
        <f t="shared" si="0"/>
        <v>1.789999999999992</v>
      </c>
      <c r="AE32" s="138">
        <f t="shared" si="1"/>
        <v>1.9187508270477771E-2</v>
      </c>
    </row>
    <row r="33" spans="2:31" x14ac:dyDescent="0.25">
      <c r="B33" s="383">
        <v>42548</v>
      </c>
      <c r="C33" s="384">
        <v>75</v>
      </c>
      <c r="D33" s="385">
        <v>81.493899999999996</v>
      </c>
      <c r="E33" s="385">
        <v>79.260000000000005</v>
      </c>
      <c r="F33" s="385">
        <f t="shared" si="3"/>
        <v>-167.54249999999934</v>
      </c>
      <c r="G33" s="385">
        <f t="shared" si="4"/>
        <v>6112.0424999999996</v>
      </c>
      <c r="H33" s="386">
        <f t="shared" si="5"/>
        <v>-2.7411867636718715E-2</v>
      </c>
      <c r="I33" s="386"/>
      <c r="W33" s="133">
        <v>42634</v>
      </c>
      <c r="X33" s="10">
        <v>76</v>
      </c>
      <c r="Y33" s="10">
        <v>76.72</v>
      </c>
      <c r="Z33" s="10">
        <v>74.89</v>
      </c>
      <c r="AA33" s="10">
        <v>75.81</v>
      </c>
      <c r="AB33" s="95">
        <v>1408800</v>
      </c>
      <c r="AC33" s="10">
        <v>75.569999999999993</v>
      </c>
      <c r="AD33" s="2">
        <f t="shared" si="0"/>
        <v>1.8299999999999983</v>
      </c>
      <c r="AE33" s="138">
        <f t="shared" si="1"/>
        <v>3.8522848034006074E-3</v>
      </c>
    </row>
    <row r="34" spans="2:31" x14ac:dyDescent="0.25">
      <c r="B34" s="383">
        <v>42549</v>
      </c>
      <c r="C34" s="384">
        <v>75</v>
      </c>
      <c r="D34" s="385">
        <v>81.493899999999996</v>
      </c>
      <c r="E34" s="385">
        <v>80.72</v>
      </c>
      <c r="F34" s="385">
        <f t="shared" ref="F34:F35" si="6">C34*(E34-D34)</f>
        <v>-58.042499999999819</v>
      </c>
      <c r="G34" s="385">
        <f t="shared" ref="G34:G35" si="7">D34*C34</f>
        <v>6112.0424999999996</v>
      </c>
      <c r="H34" s="386">
        <f t="shared" ref="H34:H35" si="8">(E34-D34)/D34</f>
        <v>-9.4964162961890114E-3</v>
      </c>
      <c r="I34" s="386"/>
      <c r="W34" s="133">
        <v>42633</v>
      </c>
      <c r="X34" s="10">
        <v>77.39</v>
      </c>
      <c r="Y34" s="10">
        <v>77.97</v>
      </c>
      <c r="Z34" s="10">
        <v>75.2</v>
      </c>
      <c r="AA34" s="10">
        <v>75.52</v>
      </c>
      <c r="AB34" s="95">
        <v>1214800</v>
      </c>
      <c r="AC34" s="10">
        <v>75.28</v>
      </c>
      <c r="AD34" s="2">
        <f t="shared" si="0"/>
        <v>2.769999999999996</v>
      </c>
      <c r="AE34" s="138">
        <f t="shared" si="1"/>
        <v>-2.1702404158544519E-2</v>
      </c>
    </row>
    <row r="35" spans="2:31" x14ac:dyDescent="0.25">
      <c r="B35" s="383">
        <v>42552</v>
      </c>
      <c r="C35" s="384">
        <v>55</v>
      </c>
      <c r="D35" s="385">
        <v>80.590500000000006</v>
      </c>
      <c r="E35" s="385">
        <v>84.15</v>
      </c>
      <c r="F35" s="385">
        <f t="shared" si="6"/>
        <v>195.77249999999998</v>
      </c>
      <c r="G35" s="385">
        <f t="shared" si="7"/>
        <v>4432.4775</v>
      </c>
      <c r="H35" s="386">
        <f t="shared" si="8"/>
        <v>4.4167736892065435E-2</v>
      </c>
      <c r="I35" s="386"/>
      <c r="W35" s="133">
        <v>42632</v>
      </c>
      <c r="X35" s="10">
        <v>77.91</v>
      </c>
      <c r="Y35" s="10">
        <v>78.73</v>
      </c>
      <c r="Z35" s="10">
        <v>77.05</v>
      </c>
      <c r="AA35" s="10">
        <v>77.2</v>
      </c>
      <c r="AB35" s="95">
        <v>1572000</v>
      </c>
      <c r="AC35" s="10">
        <v>76.95</v>
      </c>
      <c r="AD35" s="2">
        <f t="shared" si="0"/>
        <v>1.6800000000000068</v>
      </c>
      <c r="AE35" s="138">
        <f t="shared" si="1"/>
        <v>-7.3529411764704511E-3</v>
      </c>
    </row>
    <row r="36" spans="2:31" x14ac:dyDescent="0.25">
      <c r="B36" s="383">
        <v>42556</v>
      </c>
      <c r="C36" s="384">
        <v>55</v>
      </c>
      <c r="D36" s="385">
        <v>80.590500000000006</v>
      </c>
      <c r="E36" s="385">
        <v>81.290000000000006</v>
      </c>
      <c r="F36" s="385">
        <f t="shared" ref="F36" si="9">C36*(E36-D36)</f>
        <v>38.472500000000025</v>
      </c>
      <c r="G36" s="385">
        <f t="shared" ref="G36" si="10">D36*C36</f>
        <v>4432.4775</v>
      </c>
      <c r="H36" s="386">
        <f t="shared" ref="H36" si="11">(E36-D36)/D36</f>
        <v>8.6796830891978632E-3</v>
      </c>
      <c r="I36" s="386"/>
      <c r="W36" s="133">
        <v>42629</v>
      </c>
      <c r="X36" s="10">
        <v>78.75</v>
      </c>
      <c r="Y36" s="10">
        <v>79.3</v>
      </c>
      <c r="Z36" s="10">
        <v>77.36</v>
      </c>
      <c r="AA36" s="10">
        <v>77.77</v>
      </c>
      <c r="AB36" s="95">
        <v>2228400</v>
      </c>
      <c r="AC36" s="10">
        <v>77.52</v>
      </c>
      <c r="AD36" s="2">
        <f t="shared" si="0"/>
        <v>1.9399999999999977</v>
      </c>
      <c r="AE36" s="138">
        <f t="shared" si="1"/>
        <v>-1.5619047619047643E-2</v>
      </c>
    </row>
    <row r="37" spans="2:31" x14ac:dyDescent="0.25">
      <c r="B37" s="383">
        <v>42563</v>
      </c>
      <c r="C37" s="384">
        <v>55</v>
      </c>
      <c r="D37" s="385">
        <v>80.590500000000006</v>
      </c>
      <c r="E37" s="385">
        <v>89.07</v>
      </c>
      <c r="F37" s="385">
        <f t="shared" ref="F37" si="12">C37*(E37-D37)</f>
        <v>466.37249999999932</v>
      </c>
      <c r="G37" s="385">
        <f t="shared" ref="G37" si="13">D37*C37</f>
        <v>4432.4775</v>
      </c>
      <c r="H37" s="386">
        <f t="shared" ref="H37" si="14">(E37-D37)/D37</f>
        <v>0.10521711616133399</v>
      </c>
      <c r="I37" s="386"/>
      <c r="W37" s="133">
        <v>42628</v>
      </c>
      <c r="X37" s="10">
        <v>78.69</v>
      </c>
      <c r="Y37" s="10">
        <v>79.930000000000007</v>
      </c>
      <c r="Z37" s="10">
        <v>78.59</v>
      </c>
      <c r="AA37" s="10">
        <v>79</v>
      </c>
      <c r="AB37" s="95">
        <v>1354200</v>
      </c>
      <c r="AC37" s="10">
        <v>78.75</v>
      </c>
      <c r="AD37" s="2">
        <f t="shared" si="0"/>
        <v>1.3400000000000034</v>
      </c>
      <c r="AE37" s="138">
        <f t="shared" si="1"/>
        <v>-2.4068913098556077E-3</v>
      </c>
    </row>
    <row r="38" spans="2:31" x14ac:dyDescent="0.25">
      <c r="B38" s="383">
        <v>42566</v>
      </c>
      <c r="C38" s="384">
        <v>55</v>
      </c>
      <c r="D38" s="385">
        <v>80.590500000000006</v>
      </c>
      <c r="E38" s="385">
        <v>90.34</v>
      </c>
      <c r="F38" s="385">
        <f t="shared" ref="F38:F39" si="15">C38*(E38-D38)</f>
        <v>536.22249999999985</v>
      </c>
      <c r="G38" s="385">
        <f t="shared" ref="G38:G39" si="16">D38*C38</f>
        <v>4432.4775</v>
      </c>
      <c r="H38" s="386">
        <f t="shared" ref="H38:H39" si="17">(E38-D38)/D38</f>
        <v>0.12097579739547462</v>
      </c>
      <c r="I38" s="386"/>
      <c r="W38" s="133">
        <v>42627</v>
      </c>
      <c r="X38" s="10">
        <v>79.03</v>
      </c>
      <c r="Y38" s="10">
        <v>80.44</v>
      </c>
      <c r="Z38" s="10">
        <v>78.72</v>
      </c>
      <c r="AA38" s="10">
        <v>79.19</v>
      </c>
      <c r="AB38" s="95">
        <v>2247700</v>
      </c>
      <c r="AC38" s="10">
        <v>78.94</v>
      </c>
      <c r="AD38" s="2">
        <f t="shared" si="0"/>
        <v>1.7199999999999989</v>
      </c>
      <c r="AE38" s="138">
        <f t="shared" si="1"/>
        <v>2.7947154471543723E-3</v>
      </c>
    </row>
    <row r="39" spans="2:31" ht="20.25" thickBot="1" x14ac:dyDescent="0.35">
      <c r="B39" s="383">
        <v>42569</v>
      </c>
      <c r="C39" s="384">
        <v>50</v>
      </c>
      <c r="D39" s="385">
        <v>79.449799999999996</v>
      </c>
      <c r="E39" s="385">
        <v>92.26</v>
      </c>
      <c r="F39" s="385">
        <f t="shared" si="15"/>
        <v>640.51000000000045</v>
      </c>
      <c r="G39" s="385">
        <f t="shared" si="16"/>
        <v>3972.49</v>
      </c>
      <c r="H39" s="386">
        <f t="shared" si="17"/>
        <v>0.16123640336413697</v>
      </c>
      <c r="I39" s="386"/>
      <c r="T39" s="112" t="s">
        <v>113</v>
      </c>
      <c r="U39" s="9"/>
      <c r="W39" s="133">
        <v>42626</v>
      </c>
      <c r="X39" s="10">
        <v>77.11</v>
      </c>
      <c r="Y39" s="10">
        <v>79.16</v>
      </c>
      <c r="Z39" s="10">
        <v>77.09</v>
      </c>
      <c r="AA39" s="10">
        <v>78.97</v>
      </c>
      <c r="AB39" s="95">
        <v>1620200</v>
      </c>
      <c r="AC39" s="10">
        <v>78.72</v>
      </c>
      <c r="AD39" s="2">
        <f t="shared" si="0"/>
        <v>2.0699999999999932</v>
      </c>
      <c r="AE39" s="138">
        <f t="shared" si="1"/>
        <v>5.4924000510920834E-3</v>
      </c>
    </row>
    <row r="40" spans="2:31" ht="15.75" thickTop="1" x14ac:dyDescent="0.25">
      <c r="B40" s="383">
        <v>42570</v>
      </c>
      <c r="C40" s="384">
        <v>50</v>
      </c>
      <c r="D40" s="385">
        <v>79.449799999999996</v>
      </c>
      <c r="E40" s="385">
        <v>90.39</v>
      </c>
      <c r="F40" s="385">
        <f t="shared" ref="F40" si="18">C40*(E40-D40)</f>
        <v>547.01000000000022</v>
      </c>
      <c r="G40" s="385">
        <f t="shared" ref="G40" si="19">D40*C40</f>
        <v>3972.49</v>
      </c>
      <c r="H40" s="386">
        <f t="shared" ref="H40" si="20">(E40-D40)/D40</f>
        <v>0.13769952850730907</v>
      </c>
      <c r="I40" s="386"/>
      <c r="T40" s="139" t="s">
        <v>98</v>
      </c>
      <c r="U40" s="370">
        <v>80.72</v>
      </c>
      <c r="W40" s="133">
        <v>42625</v>
      </c>
      <c r="X40" s="10">
        <v>76.599999999999994</v>
      </c>
      <c r="Y40" s="10">
        <v>78.930000000000007</v>
      </c>
      <c r="Z40" s="10">
        <v>76.099999999999994</v>
      </c>
      <c r="AA40" s="10">
        <v>78.540000000000006</v>
      </c>
      <c r="AB40" s="95">
        <v>1753800</v>
      </c>
      <c r="AC40" s="10">
        <v>78.290000000000006</v>
      </c>
      <c r="AD40" s="2">
        <f t="shared" si="0"/>
        <v>2.8300000000000125</v>
      </c>
      <c r="AE40" s="138">
        <f t="shared" si="1"/>
        <v>2.1395955642530939E-2</v>
      </c>
    </row>
    <row r="41" spans="2:31" x14ac:dyDescent="0.25">
      <c r="B41" s="383">
        <v>42571</v>
      </c>
      <c r="C41" s="384">
        <v>50</v>
      </c>
      <c r="D41" s="385">
        <v>79.449799999999996</v>
      </c>
      <c r="E41" s="385">
        <v>89.55</v>
      </c>
      <c r="F41" s="385">
        <f t="shared" ref="F41" si="21">C41*(E41-D41)</f>
        <v>505.01000000000005</v>
      </c>
      <c r="G41" s="385">
        <f t="shared" ref="G41" si="22">D41*C41</f>
        <v>3972.49</v>
      </c>
      <c r="H41" s="386">
        <f t="shared" ref="H41" si="23">(E41-D41)/D41</f>
        <v>0.12712681466787834</v>
      </c>
      <c r="I41" s="386"/>
      <c r="T41" s="108" t="s">
        <v>99</v>
      </c>
      <c r="U41" s="371">
        <v>80.459999999999994</v>
      </c>
      <c r="W41" s="133">
        <v>42622</v>
      </c>
      <c r="X41" s="10">
        <v>80.69</v>
      </c>
      <c r="Y41" s="10">
        <v>80.95</v>
      </c>
      <c r="Z41" s="10">
        <v>76.88</v>
      </c>
      <c r="AA41" s="10">
        <v>76.900000000000006</v>
      </c>
      <c r="AB41" s="95">
        <v>2449900</v>
      </c>
      <c r="AC41" s="10">
        <v>76.650000000000006</v>
      </c>
      <c r="AD41" s="2">
        <f t="shared" si="0"/>
        <v>4.0700000000000074</v>
      </c>
      <c r="AE41" s="138">
        <f t="shared" si="1"/>
        <v>-5.9624585940375452E-2</v>
      </c>
    </row>
    <row r="42" spans="2:31" ht="20.25" thickBot="1" x14ac:dyDescent="0.35">
      <c r="B42" s="383">
        <v>42572</v>
      </c>
      <c r="C42" s="384">
        <v>50</v>
      </c>
      <c r="D42" s="385">
        <v>79.449799999999996</v>
      </c>
      <c r="E42" s="385">
        <v>87.46</v>
      </c>
      <c r="F42" s="385">
        <f t="shared" ref="F42" si="24">C42*(E42-D42)</f>
        <v>400.50999999999988</v>
      </c>
      <c r="G42" s="385">
        <f t="shared" ref="G42" si="25">D42*C42</f>
        <v>3972.49</v>
      </c>
      <c r="H42" s="386">
        <f t="shared" ref="H42" si="26">(E42-D42)/D42</f>
        <v>0.1008208957102472</v>
      </c>
      <c r="I42" s="386"/>
      <c r="O42" s="588" t="s">
        <v>78</v>
      </c>
      <c r="P42" s="588"/>
      <c r="T42" s="108" t="s">
        <v>100</v>
      </c>
      <c r="U42" s="371" t="s">
        <v>575</v>
      </c>
      <c r="W42" s="133">
        <v>42621</v>
      </c>
      <c r="X42" s="10">
        <v>82.4</v>
      </c>
      <c r="Y42" s="10">
        <v>82.42</v>
      </c>
      <c r="Z42" s="10">
        <v>81.510000000000005</v>
      </c>
      <c r="AA42" s="10">
        <v>81.77</v>
      </c>
      <c r="AB42" s="95">
        <v>757900</v>
      </c>
      <c r="AC42" s="10">
        <v>81.510000000000005</v>
      </c>
      <c r="AD42" s="2">
        <f t="shared" si="0"/>
        <v>0.90999999999999659</v>
      </c>
      <c r="AE42" s="138">
        <f t="shared" si="1"/>
        <v>-8.6353685234735744E-3</v>
      </c>
    </row>
    <row r="43" spans="2:31" ht="15.75" thickTop="1" x14ac:dyDescent="0.25">
      <c r="B43" s="383">
        <v>42575</v>
      </c>
      <c r="C43" s="384">
        <v>50</v>
      </c>
      <c r="D43" s="385">
        <v>79.449799999999996</v>
      </c>
      <c r="E43" s="385">
        <v>89.53</v>
      </c>
      <c r="F43" s="385">
        <f t="shared" ref="F43" si="27">C43*(E43-D43)</f>
        <v>504.01000000000022</v>
      </c>
      <c r="G43" s="385">
        <f t="shared" ref="G43" si="28">D43*C43</f>
        <v>3972.49</v>
      </c>
      <c r="H43" s="386">
        <f t="shared" ref="H43" si="29">(E43-D43)/D43</f>
        <v>0.12687508338598719</v>
      </c>
      <c r="I43" s="386"/>
      <c r="O43" s="83">
        <v>1.1000000000000001</v>
      </c>
      <c r="P43" s="83">
        <f>O43*$Q$4</f>
        <v>88.220000000000013</v>
      </c>
      <c r="Q43" s="2"/>
      <c r="T43" s="108" t="s">
        <v>101</v>
      </c>
      <c r="U43" s="371" t="s">
        <v>576</v>
      </c>
      <c r="W43" s="133">
        <v>42620</v>
      </c>
      <c r="X43" s="10">
        <v>81.38</v>
      </c>
      <c r="Y43" s="10">
        <v>82.57</v>
      </c>
      <c r="Z43" s="10">
        <v>80.819999999999993</v>
      </c>
      <c r="AA43" s="10">
        <v>82.48</v>
      </c>
      <c r="AB43" s="95">
        <v>743100</v>
      </c>
      <c r="AC43" s="10">
        <v>82.22</v>
      </c>
      <c r="AD43" s="2">
        <f t="shared" si="0"/>
        <v>1.75</v>
      </c>
      <c r="AE43" s="138">
        <f t="shared" si="1"/>
        <v>1.7070757050964724E-2</v>
      </c>
    </row>
    <row r="44" spans="2:31" x14ac:dyDescent="0.25">
      <c r="B44" s="383">
        <v>42576</v>
      </c>
      <c r="C44" s="384">
        <v>50</v>
      </c>
      <c r="D44" s="385">
        <v>79.449799999999996</v>
      </c>
      <c r="E44" s="385">
        <v>88.86</v>
      </c>
      <c r="F44" s="385">
        <f t="shared" ref="F44" si="30">C44*(E44-D44)</f>
        <v>470.51000000000016</v>
      </c>
      <c r="G44" s="385">
        <f t="shared" ref="G44" si="31">D44*C44</f>
        <v>3972.49</v>
      </c>
      <c r="H44" s="386">
        <f t="shared" ref="H44" si="32">(E44-D44)/D44</f>
        <v>0.11844208544263174</v>
      </c>
      <c r="I44" s="386"/>
      <c r="O44" s="83">
        <v>1.0900000000000001</v>
      </c>
      <c r="P44" s="83">
        <f t="shared" ref="P44:P63" si="33">O44*$Q$4</f>
        <v>87.418000000000006</v>
      </c>
      <c r="Q44" s="2"/>
      <c r="T44" s="108" t="s">
        <v>102</v>
      </c>
      <c r="U44" s="371">
        <v>108.17</v>
      </c>
      <c r="W44" s="133">
        <v>42619</v>
      </c>
      <c r="X44" s="10">
        <v>82.09</v>
      </c>
      <c r="Y44" s="10">
        <v>82.2</v>
      </c>
      <c r="Z44" s="10">
        <v>80.599999999999994</v>
      </c>
      <c r="AA44" s="10">
        <v>81.099999999999994</v>
      </c>
      <c r="AB44" s="95">
        <v>1803600</v>
      </c>
      <c r="AC44" s="10">
        <v>80.84</v>
      </c>
      <c r="AD44" s="2">
        <f t="shared" si="0"/>
        <v>1.6000000000000085</v>
      </c>
      <c r="AE44" s="138">
        <f t="shared" si="1"/>
        <v>-1.1010521164668385E-2</v>
      </c>
    </row>
    <row r="45" spans="2:31" x14ac:dyDescent="0.25">
      <c r="B45" s="383">
        <v>42577</v>
      </c>
      <c r="C45" s="384">
        <v>50</v>
      </c>
      <c r="D45" s="385">
        <v>79.449799999999996</v>
      </c>
      <c r="E45" s="385">
        <v>89.46</v>
      </c>
      <c r="F45" s="385">
        <f t="shared" ref="F45:F46" si="34">C45*(E45-D45)</f>
        <v>500.50999999999988</v>
      </c>
      <c r="G45" s="385">
        <f t="shared" ref="G45:G46" si="35">D45*C45</f>
        <v>3972.49</v>
      </c>
      <c r="H45" s="386">
        <f t="shared" ref="H45:H46" si="36">(E45-D45)/D45</f>
        <v>0.12599402389936787</v>
      </c>
      <c r="I45" s="386"/>
      <c r="O45" s="83">
        <v>1.08</v>
      </c>
      <c r="P45" s="83">
        <f t="shared" si="33"/>
        <v>86.616000000000014</v>
      </c>
      <c r="Q45" s="2"/>
      <c r="T45" s="108" t="s">
        <v>103</v>
      </c>
      <c r="U45" s="371">
        <v>1.0796300000000001</v>
      </c>
      <c r="W45" s="133">
        <v>42615</v>
      </c>
      <c r="X45" s="10">
        <v>81.39</v>
      </c>
      <c r="Y45" s="10">
        <v>83.34</v>
      </c>
      <c r="Z45" s="10">
        <v>80.849999999999994</v>
      </c>
      <c r="AA45" s="10">
        <v>82</v>
      </c>
      <c r="AB45" s="95">
        <v>1133900</v>
      </c>
      <c r="AC45" s="10">
        <v>81.739999999999995</v>
      </c>
      <c r="AD45" s="2">
        <f t="shared" si="0"/>
        <v>2.4900000000000091</v>
      </c>
      <c r="AE45" s="138">
        <f t="shared" si="1"/>
        <v>1.7046161503048385E-2</v>
      </c>
    </row>
    <row r="46" spans="2:31" x14ac:dyDescent="0.25">
      <c r="B46" s="383">
        <v>42580</v>
      </c>
      <c r="C46" s="384">
        <v>30</v>
      </c>
      <c r="D46" s="385">
        <v>73.937700000000007</v>
      </c>
      <c r="E46" s="385">
        <v>87.72</v>
      </c>
      <c r="F46" s="385">
        <f t="shared" si="34"/>
        <v>413.46899999999977</v>
      </c>
      <c r="G46" s="385">
        <f t="shared" si="35"/>
        <v>2218.1310000000003</v>
      </c>
      <c r="H46" s="386">
        <f t="shared" si="36"/>
        <v>0.18640422950673324</v>
      </c>
      <c r="I46" s="386"/>
      <c r="O46" s="83">
        <v>1.07</v>
      </c>
      <c r="P46" s="83">
        <f t="shared" si="33"/>
        <v>85.814000000000007</v>
      </c>
      <c r="Q46" s="2"/>
      <c r="T46" s="108" t="s">
        <v>104</v>
      </c>
      <c r="U46" s="371" t="s">
        <v>334</v>
      </c>
      <c r="W46" s="133">
        <v>42614</v>
      </c>
      <c r="X46" s="10">
        <v>81.349999999999994</v>
      </c>
      <c r="Y46" s="10">
        <v>82.23</v>
      </c>
      <c r="Z46" s="10">
        <v>78.86</v>
      </c>
      <c r="AA46" s="10">
        <v>80.63</v>
      </c>
      <c r="AB46" s="95">
        <v>1619500</v>
      </c>
      <c r="AC46" s="10">
        <v>80.37</v>
      </c>
      <c r="AD46" s="2">
        <f t="shared" si="0"/>
        <v>3.3700000000000045</v>
      </c>
      <c r="AE46" s="138">
        <f t="shared" si="1"/>
        <v>-1.6519823788546217E-2</v>
      </c>
    </row>
    <row r="47" spans="2:31" x14ac:dyDescent="0.25">
      <c r="B47" s="383">
        <v>42580</v>
      </c>
      <c r="C47" s="384">
        <v>0</v>
      </c>
      <c r="D47" s="385"/>
      <c r="E47" s="385"/>
      <c r="F47" s="385">
        <v>420.99</v>
      </c>
      <c r="G47" s="385"/>
      <c r="H47" s="386"/>
      <c r="I47" s="386"/>
      <c r="O47" s="83">
        <v>1.06</v>
      </c>
      <c r="P47" s="83">
        <f t="shared" si="33"/>
        <v>85.012</v>
      </c>
      <c r="Q47" s="2"/>
      <c r="T47" s="108"/>
      <c r="U47" s="371"/>
      <c r="W47" s="133">
        <v>42613</v>
      </c>
      <c r="X47" s="10">
        <v>79.97</v>
      </c>
      <c r="Y47" s="10">
        <v>82.38</v>
      </c>
      <c r="Z47" s="10">
        <v>79.94</v>
      </c>
      <c r="AA47" s="10">
        <v>81.98</v>
      </c>
      <c r="AB47" s="95">
        <v>1780900</v>
      </c>
      <c r="AC47" s="10">
        <v>81.72</v>
      </c>
      <c r="AD47" s="2">
        <f t="shared" si="0"/>
        <v>2.4399999999999977</v>
      </c>
      <c r="AE47" s="138">
        <f t="shared" si="1"/>
        <v>2.5731140956445353E-2</v>
      </c>
    </row>
    <row r="48" spans="2:31" x14ac:dyDescent="0.25">
      <c r="B48" s="384"/>
      <c r="C48" s="384"/>
      <c r="D48" s="385"/>
      <c r="E48" s="385"/>
      <c r="F48" s="385"/>
      <c r="G48" s="384"/>
      <c r="H48" s="384"/>
      <c r="I48" s="384"/>
      <c r="O48" s="83">
        <v>1.05</v>
      </c>
      <c r="P48" s="83">
        <f t="shared" si="33"/>
        <v>84.210000000000008</v>
      </c>
      <c r="Q48" s="2"/>
      <c r="T48" s="108" t="s">
        <v>105</v>
      </c>
      <c r="U48" s="371" t="s">
        <v>577</v>
      </c>
      <c r="W48" s="133">
        <v>42612</v>
      </c>
      <c r="X48" s="10">
        <v>78.37</v>
      </c>
      <c r="Y48" s="10">
        <v>81.13</v>
      </c>
      <c r="Z48" s="10">
        <v>78.2</v>
      </c>
      <c r="AA48" s="10">
        <v>79.930000000000007</v>
      </c>
      <c r="AB48" s="95">
        <v>2071800</v>
      </c>
      <c r="AC48" s="10">
        <v>79.67</v>
      </c>
      <c r="AD48" s="2">
        <f t="shared" si="0"/>
        <v>2.9299999999999926</v>
      </c>
      <c r="AE48" s="138">
        <f t="shared" si="1"/>
        <v>-3.128128128128127E-3</v>
      </c>
    </row>
    <row r="49" spans="2:31" x14ac:dyDescent="0.25">
      <c r="B49" s="551" t="s">
        <v>114</v>
      </c>
      <c r="C49" s="551" t="s">
        <v>149</v>
      </c>
      <c r="D49" s="552" t="s">
        <v>148</v>
      </c>
      <c r="E49" s="553" t="s">
        <v>150</v>
      </c>
      <c r="F49" s="554" t="s">
        <v>65</v>
      </c>
      <c r="G49" s="555" t="s">
        <v>154</v>
      </c>
      <c r="H49" s="554" t="s">
        <v>88</v>
      </c>
      <c r="I49" s="554" t="s">
        <v>158</v>
      </c>
      <c r="O49" s="83">
        <v>1.04</v>
      </c>
      <c r="P49" s="83">
        <f t="shared" si="33"/>
        <v>83.408000000000001</v>
      </c>
      <c r="Q49" s="2"/>
      <c r="T49" s="108" t="s">
        <v>106</v>
      </c>
      <c r="U49" s="371" t="s">
        <v>578</v>
      </c>
      <c r="W49" s="133">
        <v>42611</v>
      </c>
      <c r="X49" s="10">
        <v>80.349999999999994</v>
      </c>
      <c r="Y49" s="10">
        <v>82.29</v>
      </c>
      <c r="Z49" s="10">
        <v>79.180000000000007</v>
      </c>
      <c r="AA49" s="10">
        <v>80.180000000000007</v>
      </c>
      <c r="AB49" s="95">
        <v>1589800</v>
      </c>
      <c r="AC49" s="10">
        <v>79.92</v>
      </c>
      <c r="AD49" s="2">
        <f t="shared" si="0"/>
        <v>3.1099999999999994</v>
      </c>
      <c r="AE49" s="138">
        <f t="shared" si="1"/>
        <v>-5.8464983206866217E-3</v>
      </c>
    </row>
    <row r="50" spans="2:31" x14ac:dyDescent="0.25">
      <c r="B50" s="383">
        <v>42608</v>
      </c>
      <c r="C50" s="384">
        <v>25</v>
      </c>
      <c r="D50" s="385">
        <v>78.95</v>
      </c>
      <c r="E50" s="385">
        <v>80.650000000000006</v>
      </c>
      <c r="F50" s="385">
        <f t="shared" ref="F50:F51" si="37">C50*(E50-D50)</f>
        <v>42.500000000000071</v>
      </c>
      <c r="G50" s="385">
        <f t="shared" ref="G50:G51" si="38">D50*C50</f>
        <v>1973.75</v>
      </c>
      <c r="H50" s="386">
        <f t="shared" ref="H50:H51" si="39">(E50-D50)/D50</f>
        <v>2.1532615579480718E-2</v>
      </c>
      <c r="I50" s="386"/>
      <c r="O50" s="83">
        <v>1.03</v>
      </c>
      <c r="P50" s="83">
        <f t="shared" si="33"/>
        <v>82.606000000000009</v>
      </c>
      <c r="Q50" s="2"/>
      <c r="T50" s="108" t="s">
        <v>107</v>
      </c>
      <c r="U50" s="372">
        <v>1147143</v>
      </c>
      <c r="W50" s="133">
        <v>42608</v>
      </c>
      <c r="X50" s="10">
        <v>82.29</v>
      </c>
      <c r="Y50" s="10">
        <v>82.45</v>
      </c>
      <c r="Z50" s="10">
        <v>78.709999999999994</v>
      </c>
      <c r="AA50" s="10">
        <v>80.650000000000006</v>
      </c>
      <c r="AB50" s="95">
        <v>5141800</v>
      </c>
      <c r="AC50" s="10">
        <v>80.39</v>
      </c>
      <c r="AD50" s="2">
        <f t="shared" si="0"/>
        <v>3.7400000000000091</v>
      </c>
      <c r="AE50" s="138">
        <f t="shared" si="1"/>
        <v>-3.3425514007454638E-2</v>
      </c>
    </row>
    <row r="51" spans="2:31" x14ac:dyDescent="0.25">
      <c r="B51" s="383">
        <v>42609</v>
      </c>
      <c r="C51" s="384">
        <v>25</v>
      </c>
      <c r="D51" s="385">
        <v>78.95</v>
      </c>
      <c r="E51" s="385">
        <v>80.180000000000007</v>
      </c>
      <c r="F51" s="385">
        <f t="shared" si="37"/>
        <v>30.750000000000099</v>
      </c>
      <c r="G51" s="385">
        <f t="shared" si="38"/>
        <v>1973.75</v>
      </c>
      <c r="H51" s="386">
        <f t="shared" si="39"/>
        <v>1.5579480683977251E-2</v>
      </c>
      <c r="I51" s="386"/>
      <c r="O51" s="83">
        <v>1.02</v>
      </c>
      <c r="P51" s="83">
        <f t="shared" si="33"/>
        <v>81.804000000000002</v>
      </c>
      <c r="Q51" s="2"/>
      <c r="T51" s="108" t="s">
        <v>110</v>
      </c>
      <c r="U51" s="372">
        <v>1487160</v>
      </c>
      <c r="W51" s="133">
        <v>42607</v>
      </c>
      <c r="X51" s="10">
        <v>85.3</v>
      </c>
      <c r="Y51" s="10">
        <v>87.73</v>
      </c>
      <c r="Z51" s="10">
        <v>78.709999999999994</v>
      </c>
      <c r="AA51" s="10">
        <v>83.44</v>
      </c>
      <c r="AB51" s="95">
        <v>10811000</v>
      </c>
      <c r="AC51" s="10">
        <v>83.17</v>
      </c>
      <c r="AD51" s="2">
        <f t="shared" si="0"/>
        <v>9.0200000000000102</v>
      </c>
      <c r="AE51" s="138">
        <f t="shared" si="1"/>
        <v>-0.12627376825296766</v>
      </c>
    </row>
    <row r="52" spans="2:31" x14ac:dyDescent="0.25">
      <c r="B52" s="383">
        <v>42613</v>
      </c>
      <c r="C52" s="384">
        <v>25</v>
      </c>
      <c r="D52" s="385">
        <v>78.95</v>
      </c>
      <c r="E52" s="385">
        <v>81.98</v>
      </c>
      <c r="F52" s="385">
        <f t="shared" ref="F52" si="40">C52*(E52-D52)</f>
        <v>75.750000000000028</v>
      </c>
      <c r="G52" s="385">
        <f t="shared" ref="G52" si="41">D52*C52</f>
        <v>1973.75</v>
      </c>
      <c r="H52" s="386">
        <f t="shared" ref="H52" si="42">(E52-D52)/D52</f>
        <v>3.8378720709309699E-2</v>
      </c>
      <c r="I52" s="386"/>
      <c r="O52" s="83">
        <v>1.01</v>
      </c>
      <c r="P52" s="83">
        <f t="shared" si="33"/>
        <v>81.00200000000001</v>
      </c>
      <c r="Q52" s="2"/>
      <c r="T52" s="108" t="s">
        <v>108</v>
      </c>
      <c r="U52" s="371" t="s">
        <v>579</v>
      </c>
      <c r="W52" s="133">
        <v>42606</v>
      </c>
      <c r="X52" s="10">
        <v>94.74</v>
      </c>
      <c r="Y52" s="10">
        <v>96.2</v>
      </c>
      <c r="Z52" s="10">
        <v>94.32</v>
      </c>
      <c r="AA52" s="10">
        <v>95.5</v>
      </c>
      <c r="AB52" s="95">
        <v>2402200</v>
      </c>
      <c r="AC52" s="10">
        <v>95.19</v>
      </c>
      <c r="AD52" s="2">
        <f t="shared" si="0"/>
        <v>1.8800000000000097</v>
      </c>
      <c r="AE52" s="138">
        <f t="shared" si="1"/>
        <v>5.2803886366037389E-3</v>
      </c>
    </row>
    <row r="53" spans="2:31" x14ac:dyDescent="0.25">
      <c r="B53" s="383">
        <v>42619</v>
      </c>
      <c r="C53" s="384">
        <v>25</v>
      </c>
      <c r="D53" s="385">
        <v>78.95</v>
      </c>
      <c r="E53" s="385">
        <v>81.099999999999994</v>
      </c>
      <c r="F53" s="385">
        <f t="shared" ref="F53" si="43">C53*(E53-D53)</f>
        <v>53.749999999999787</v>
      </c>
      <c r="G53" s="385">
        <f t="shared" ref="G53" si="44">D53*C53</f>
        <v>1973.75</v>
      </c>
      <c r="H53" s="386">
        <f t="shared" ref="H53" si="45">(E53-D53)/D53</f>
        <v>2.7232425585813697E-2</v>
      </c>
      <c r="I53" s="386"/>
      <c r="O53" s="83">
        <v>1</v>
      </c>
      <c r="P53" s="83">
        <f t="shared" si="33"/>
        <v>80.2</v>
      </c>
      <c r="Q53" s="2"/>
      <c r="T53" s="108" t="s">
        <v>111</v>
      </c>
      <c r="U53" s="371">
        <v>12.22</v>
      </c>
      <c r="W53" s="133">
        <v>42605</v>
      </c>
      <c r="X53" s="10">
        <v>92.59</v>
      </c>
      <c r="Y53" s="10">
        <v>95.3</v>
      </c>
      <c r="Z53" s="10">
        <v>92.59</v>
      </c>
      <c r="AA53" s="10">
        <v>94.99</v>
      </c>
      <c r="AB53" s="95">
        <v>1932500</v>
      </c>
      <c r="AC53" s="10">
        <v>94.69</v>
      </c>
      <c r="AD53" s="2">
        <f t="shared" si="0"/>
        <v>2.7099999999999937</v>
      </c>
      <c r="AE53" s="138">
        <f t="shared" si="1"/>
        <v>2.8009988057757118E-2</v>
      </c>
    </row>
    <row r="54" spans="2:31" x14ac:dyDescent="0.25">
      <c r="B54" s="383">
        <v>42620</v>
      </c>
      <c r="C54" s="384">
        <v>25</v>
      </c>
      <c r="D54" s="385">
        <v>78.95</v>
      </c>
      <c r="E54" s="385">
        <v>82.48</v>
      </c>
      <c r="F54" s="385">
        <f t="shared" ref="F54" si="46">C54*(E54-D54)</f>
        <v>88.250000000000028</v>
      </c>
      <c r="G54" s="385">
        <f t="shared" ref="G54" si="47">D54*C54</f>
        <v>1973.75</v>
      </c>
      <c r="H54" s="386">
        <f t="shared" ref="H54" si="48">(E54-D54)/D54</f>
        <v>4.4711842938568724E-2</v>
      </c>
      <c r="I54" s="386"/>
      <c r="O54" s="83">
        <v>0.99</v>
      </c>
      <c r="P54" s="83">
        <f t="shared" si="33"/>
        <v>79.397999999999996</v>
      </c>
      <c r="Q54" s="2"/>
      <c r="T54" s="108" t="s">
        <v>112</v>
      </c>
      <c r="U54" s="371">
        <v>6.56</v>
      </c>
      <c r="W54" s="133">
        <v>42604</v>
      </c>
      <c r="X54" s="10">
        <v>92.02</v>
      </c>
      <c r="Y54" s="10">
        <v>93.35</v>
      </c>
      <c r="Z54" s="10">
        <v>91.63</v>
      </c>
      <c r="AA54" s="10">
        <v>92.41</v>
      </c>
      <c r="AB54" s="95">
        <v>951800</v>
      </c>
      <c r="AC54" s="10">
        <v>92.11</v>
      </c>
      <c r="AD54" s="2">
        <f t="shared" si="0"/>
        <v>1.7199999999999989</v>
      </c>
      <c r="AE54" s="138">
        <f t="shared" si="1"/>
        <v>-6.900269541779025E-3</v>
      </c>
    </row>
    <row r="55" spans="2:31" x14ac:dyDescent="0.25">
      <c r="B55" s="383">
        <v>42621</v>
      </c>
      <c r="C55" s="384">
        <v>25</v>
      </c>
      <c r="D55" s="385">
        <v>78.95</v>
      </c>
      <c r="E55" s="385">
        <v>81.77</v>
      </c>
      <c r="F55" s="385">
        <f t="shared" ref="F55" si="49">C55*(E55-D55)</f>
        <v>70.499999999999829</v>
      </c>
      <c r="G55" s="385">
        <f t="shared" ref="G55" si="50">D55*C55</f>
        <v>1973.75</v>
      </c>
      <c r="H55" s="386">
        <f t="shared" ref="H55" si="51">(E55-D55)/D55</f>
        <v>3.5718809373020813E-2</v>
      </c>
      <c r="I55" s="386"/>
      <c r="O55" s="83">
        <v>0.98</v>
      </c>
      <c r="P55" s="83">
        <f t="shared" si="33"/>
        <v>78.596000000000004</v>
      </c>
      <c r="Q55" s="2"/>
      <c r="T55" s="108" t="s">
        <v>109</v>
      </c>
      <c r="U55" s="371" t="s">
        <v>442</v>
      </c>
      <c r="W55" s="133">
        <v>42601</v>
      </c>
      <c r="X55" s="10">
        <v>92.64</v>
      </c>
      <c r="Y55" s="10">
        <v>95.34</v>
      </c>
      <c r="Z55" s="10">
        <v>92.23</v>
      </c>
      <c r="AA55" s="10">
        <v>93.05</v>
      </c>
      <c r="AB55" s="95">
        <v>1046300</v>
      </c>
      <c r="AC55" s="10">
        <v>92.75</v>
      </c>
      <c r="AD55" s="2">
        <f t="shared" si="0"/>
        <v>3.1099999999999994</v>
      </c>
      <c r="AE55" s="138">
        <f t="shared" si="1"/>
        <v>1.1873920552676331E-3</v>
      </c>
    </row>
    <row r="56" spans="2:31" x14ac:dyDescent="0.25">
      <c r="B56" s="383">
        <v>42622</v>
      </c>
      <c r="C56" s="384">
        <v>25</v>
      </c>
      <c r="D56" s="385">
        <v>78.95</v>
      </c>
      <c r="E56" s="385">
        <v>76.900000000000006</v>
      </c>
      <c r="F56" s="385">
        <f t="shared" ref="F56" si="52">C56*(E56-D56)</f>
        <v>-51.249999999999929</v>
      </c>
      <c r="G56" s="385">
        <f t="shared" ref="G56" si="53">D56*C56</f>
        <v>1973.75</v>
      </c>
      <c r="H56" s="386">
        <f t="shared" ref="H56" si="54">(E56-D56)/D56</f>
        <v>-2.5965801139961966E-2</v>
      </c>
      <c r="I56" s="386"/>
      <c r="O56" s="83">
        <v>0.97</v>
      </c>
      <c r="P56" s="83">
        <f t="shared" si="33"/>
        <v>77.793999999999997</v>
      </c>
      <c r="W56" s="133">
        <v>42600</v>
      </c>
      <c r="X56" s="10">
        <v>90.68</v>
      </c>
      <c r="Y56" s="10">
        <v>93.06</v>
      </c>
      <c r="Z56" s="10">
        <v>90.17</v>
      </c>
      <c r="AA56" s="10">
        <v>92.94</v>
      </c>
      <c r="AB56" s="95">
        <v>985000</v>
      </c>
      <c r="AC56" s="10">
        <v>92.64</v>
      </c>
      <c r="AD56" s="2">
        <f t="shared" si="0"/>
        <v>2.8900000000000006</v>
      </c>
      <c r="AE56" s="138">
        <f t="shared" si="1"/>
        <v>2.1727142384471154E-2</v>
      </c>
    </row>
    <row r="57" spans="2:31" x14ac:dyDescent="0.25">
      <c r="B57" s="383">
        <v>42629</v>
      </c>
      <c r="C57" s="384">
        <v>25</v>
      </c>
      <c r="D57" s="385">
        <v>78.95</v>
      </c>
      <c r="E57" s="385">
        <v>77.77</v>
      </c>
      <c r="F57" s="385">
        <f t="shared" ref="F57" si="55">C57*(E57-D57)</f>
        <v>-29.500000000000171</v>
      </c>
      <c r="G57" s="385">
        <f t="shared" ref="G57" si="56">D57*C57</f>
        <v>1973.75</v>
      </c>
      <c r="H57" s="386">
        <f t="shared" ref="H57" si="57">(E57-D57)/D57</f>
        <v>-1.4946168461051384E-2</v>
      </c>
      <c r="I57" s="386"/>
      <c r="O57" s="83">
        <v>0.96</v>
      </c>
      <c r="P57" s="83">
        <f t="shared" si="33"/>
        <v>76.992000000000004</v>
      </c>
      <c r="W57" s="133">
        <v>42599</v>
      </c>
      <c r="X57" s="10">
        <v>92.57</v>
      </c>
      <c r="Y57" s="10">
        <v>92.67</v>
      </c>
      <c r="Z57" s="10">
        <v>90.07</v>
      </c>
      <c r="AA57" s="10">
        <v>90.96</v>
      </c>
      <c r="AB57" s="95">
        <v>1152800</v>
      </c>
      <c r="AC57" s="10">
        <v>90.67</v>
      </c>
      <c r="AD57" s="2">
        <f t="shared" si="0"/>
        <v>2.6000000000000085</v>
      </c>
      <c r="AE57" s="138">
        <f t="shared" si="1"/>
        <v>-1.5847172473678395E-2</v>
      </c>
    </row>
    <row r="58" spans="2:31" x14ac:dyDescent="0.25">
      <c r="B58" s="383">
        <v>42633</v>
      </c>
      <c r="C58" s="384">
        <v>25</v>
      </c>
      <c r="D58" s="385">
        <v>78.95</v>
      </c>
      <c r="E58" s="385">
        <v>75.52</v>
      </c>
      <c r="F58" s="385">
        <f t="shared" ref="F58" si="58">C58*(E58-D58)</f>
        <v>-85.750000000000171</v>
      </c>
      <c r="G58" s="385">
        <f t="shared" ref="G58" si="59">D58*C58</f>
        <v>1973.75</v>
      </c>
      <c r="H58" s="386">
        <f t="shared" ref="H58" si="60">(E58-D58)/D58</f>
        <v>-4.3445218492716993E-2</v>
      </c>
      <c r="I58" s="386"/>
      <c r="O58" s="83">
        <v>0.95</v>
      </c>
      <c r="P58" s="83">
        <f t="shared" si="33"/>
        <v>76.19</v>
      </c>
      <c r="W58" s="133">
        <v>42598</v>
      </c>
      <c r="X58" s="10">
        <v>92.28</v>
      </c>
      <c r="Y58" s="10">
        <v>93</v>
      </c>
      <c r="Z58" s="10">
        <v>89.37</v>
      </c>
      <c r="AA58" s="10">
        <v>92.43</v>
      </c>
      <c r="AB58" s="95">
        <v>956300</v>
      </c>
      <c r="AC58" s="10">
        <v>92.13</v>
      </c>
      <c r="AD58" s="2">
        <f t="shared" si="0"/>
        <v>3.6299999999999955</v>
      </c>
      <c r="AE58" s="138">
        <f t="shared" si="1"/>
        <v>-2.5982461838259807E-3</v>
      </c>
    </row>
    <row r="59" spans="2:31" x14ac:dyDescent="0.25">
      <c r="B59" s="383">
        <v>42635</v>
      </c>
      <c r="C59" s="384">
        <v>25</v>
      </c>
      <c r="D59" s="385">
        <v>78.95</v>
      </c>
      <c r="E59" s="385">
        <v>77.27</v>
      </c>
      <c r="F59" s="385">
        <f t="shared" ref="F59" si="61">C59*(E59-D59)</f>
        <v>-42.000000000000171</v>
      </c>
      <c r="G59" s="385">
        <f t="shared" ref="G59" si="62">D59*C59</f>
        <v>1973.75</v>
      </c>
      <c r="H59" s="386">
        <f t="shared" ref="H59" si="63">(E59-D59)/D59</f>
        <v>-2.1279290690310409E-2</v>
      </c>
      <c r="I59" s="386"/>
      <c r="O59" s="83">
        <v>0.94</v>
      </c>
      <c r="P59" s="83">
        <f t="shared" si="33"/>
        <v>75.388000000000005</v>
      </c>
      <c r="W59" s="133">
        <v>42597</v>
      </c>
      <c r="X59" s="10">
        <v>91.26</v>
      </c>
      <c r="Y59" s="10">
        <v>94.18</v>
      </c>
      <c r="Z59" s="10">
        <v>91.26</v>
      </c>
      <c r="AA59" s="10">
        <v>92.67</v>
      </c>
      <c r="AB59" s="95">
        <v>1646000</v>
      </c>
      <c r="AC59" s="10">
        <v>92.37</v>
      </c>
      <c r="AD59" s="2">
        <f t="shared" si="0"/>
        <v>2.9200000000000017</v>
      </c>
      <c r="AE59" s="138">
        <f t="shared" si="1"/>
        <v>1.5836357637743381E-2</v>
      </c>
    </row>
    <row r="60" spans="2:31" x14ac:dyDescent="0.25">
      <c r="B60" s="383">
        <v>42636</v>
      </c>
      <c r="C60" s="384">
        <v>25</v>
      </c>
      <c r="D60" s="385">
        <v>78.95</v>
      </c>
      <c r="E60" s="385">
        <v>78.97</v>
      </c>
      <c r="F60" s="385">
        <f t="shared" ref="F60" si="64">C60*(E60-D60)</f>
        <v>0.49999999999990052</v>
      </c>
      <c r="G60" s="385">
        <f t="shared" ref="G60" si="65">D60*C60</f>
        <v>1973.75</v>
      </c>
      <c r="H60" s="386">
        <f t="shared" ref="H60" si="66">(E60-D60)/D60</f>
        <v>2.533248891703106E-4</v>
      </c>
      <c r="I60" s="386"/>
      <c r="O60" s="83">
        <v>0.93</v>
      </c>
      <c r="P60" s="83">
        <f t="shared" si="33"/>
        <v>74.586000000000013</v>
      </c>
      <c r="W60" s="133">
        <v>42594</v>
      </c>
      <c r="X60" s="10">
        <v>90.1</v>
      </c>
      <c r="Y60" s="10">
        <v>91.5</v>
      </c>
      <c r="Z60" s="10">
        <v>89.85</v>
      </c>
      <c r="AA60" s="10">
        <v>91.22</v>
      </c>
      <c r="AB60" s="95">
        <v>709400</v>
      </c>
      <c r="AC60" s="10">
        <v>90.93</v>
      </c>
      <c r="AD60" s="2">
        <f t="shared" si="0"/>
        <v>1.6500000000000057</v>
      </c>
      <c r="AE60" s="138">
        <f t="shared" si="1"/>
        <v>6.6423115244105269E-3</v>
      </c>
    </row>
    <row r="61" spans="2:31" x14ac:dyDescent="0.25">
      <c r="B61" s="383">
        <v>42639</v>
      </c>
      <c r="C61" s="384">
        <v>55</v>
      </c>
      <c r="D61" s="385">
        <v>76.400000000000006</v>
      </c>
      <c r="E61" s="385">
        <v>76.31</v>
      </c>
      <c r="F61" s="385">
        <f t="shared" ref="F61" si="67">C61*(E61-D61)</f>
        <v>-4.9500000000001876</v>
      </c>
      <c r="G61" s="385">
        <f t="shared" ref="G61" si="68">D61*C61</f>
        <v>4202</v>
      </c>
      <c r="H61" s="386">
        <f t="shared" ref="H61" si="69">(E61-D61)/D61</f>
        <v>-1.1780104712042331E-3</v>
      </c>
      <c r="I61" s="386"/>
      <c r="O61" s="83">
        <v>0.92</v>
      </c>
      <c r="P61" s="83">
        <f t="shared" si="33"/>
        <v>73.784000000000006</v>
      </c>
      <c r="W61" s="133">
        <v>42593</v>
      </c>
      <c r="X61" s="10">
        <v>88.17</v>
      </c>
      <c r="Y61" s="10">
        <v>90.85</v>
      </c>
      <c r="Z61" s="10">
        <v>88.17</v>
      </c>
      <c r="AA61" s="10">
        <v>90.62</v>
      </c>
      <c r="AB61" s="95">
        <v>1040300</v>
      </c>
      <c r="AC61" s="10">
        <v>90.33</v>
      </c>
      <c r="AD61" s="2">
        <f t="shared" si="0"/>
        <v>2.6799999999999926</v>
      </c>
      <c r="AE61" s="138">
        <f t="shared" si="1"/>
        <v>4.0788109229173752E-2</v>
      </c>
    </row>
    <row r="62" spans="2:31" x14ac:dyDescent="0.25">
      <c r="B62" s="383">
        <v>42643</v>
      </c>
      <c r="C62" s="384">
        <v>55</v>
      </c>
      <c r="D62" s="385">
        <v>76.402699999999996</v>
      </c>
      <c r="E62" s="385">
        <v>74.53</v>
      </c>
      <c r="F62" s="385">
        <f t="shared" ref="F62" si="70">C62*(E62-D62)</f>
        <v>-102.99849999999971</v>
      </c>
      <c r="G62" s="385">
        <f t="shared" ref="G62" si="71">D62*C62</f>
        <v>4202.1484999999993</v>
      </c>
      <c r="H62" s="386">
        <f t="shared" ref="H62" si="72">(E62-D62)/D62</f>
        <v>-2.4510913881315644E-2</v>
      </c>
      <c r="I62" s="386"/>
      <c r="O62" s="83">
        <v>0.91</v>
      </c>
      <c r="P62" s="83">
        <f t="shared" si="33"/>
        <v>72.981999999999999</v>
      </c>
      <c r="W62" s="133">
        <v>42592</v>
      </c>
      <c r="X62" s="10">
        <v>87.74</v>
      </c>
      <c r="Y62" s="10">
        <v>89.09</v>
      </c>
      <c r="Z62" s="10">
        <v>86.94</v>
      </c>
      <c r="AA62" s="10">
        <v>87.07</v>
      </c>
      <c r="AB62" s="95">
        <v>600700</v>
      </c>
      <c r="AC62" s="10">
        <v>86.79</v>
      </c>
      <c r="AD62" s="2">
        <f t="shared" si="0"/>
        <v>2.1500000000000057</v>
      </c>
      <c r="AE62" s="138">
        <f t="shared" si="1"/>
        <v>-6.8657741160315089E-3</v>
      </c>
    </row>
    <row r="63" spans="2:31" x14ac:dyDescent="0.25">
      <c r="B63" s="383">
        <v>42646</v>
      </c>
      <c r="C63" s="384">
        <v>55</v>
      </c>
      <c r="D63" s="385">
        <v>76.402699999999996</v>
      </c>
      <c r="E63" s="385">
        <v>75.72</v>
      </c>
      <c r="F63" s="385">
        <f t="shared" ref="F63" si="73">C63*(E63-D63)</f>
        <v>-37.548499999999834</v>
      </c>
      <c r="G63" s="385">
        <f t="shared" ref="G63" si="74">D63*C63</f>
        <v>4202.1484999999993</v>
      </c>
      <c r="H63" s="386">
        <f t="shared" ref="H63" si="75">(E63-D63)/D63</f>
        <v>-8.9355480892690572E-3</v>
      </c>
      <c r="I63" s="386"/>
      <c r="O63" s="83">
        <v>0.9</v>
      </c>
      <c r="P63" s="83">
        <f t="shared" si="33"/>
        <v>72.180000000000007</v>
      </c>
      <c r="W63" s="133">
        <v>42591</v>
      </c>
      <c r="X63" s="10">
        <v>87.66</v>
      </c>
      <c r="Y63" s="10">
        <v>88.44</v>
      </c>
      <c r="Z63" s="10">
        <v>86.65</v>
      </c>
      <c r="AA63" s="10">
        <v>87.67</v>
      </c>
      <c r="AB63" s="95">
        <v>1026200</v>
      </c>
      <c r="AC63" s="10">
        <v>87.39</v>
      </c>
      <c r="AD63" s="2">
        <f t="shared" si="0"/>
        <v>1.789999999999992</v>
      </c>
      <c r="AE63" s="138">
        <f t="shared" si="1"/>
        <v>-2.6249714677014646E-3</v>
      </c>
    </row>
    <row r="64" spans="2:31" x14ac:dyDescent="0.25">
      <c r="B64" s="383">
        <v>42647</v>
      </c>
      <c r="C64" s="384">
        <v>55</v>
      </c>
      <c r="D64" s="385">
        <v>76.402699999999996</v>
      </c>
      <c r="E64" s="385">
        <v>77.819999999999993</v>
      </c>
      <c r="F64" s="385">
        <f t="shared" ref="F64:F65" si="76">C64*(E64-D64)</f>
        <v>77.951499999999854</v>
      </c>
      <c r="G64" s="385">
        <f t="shared" ref="G64:G65" si="77">D64*C64</f>
        <v>4202.1484999999993</v>
      </c>
      <c r="H64" s="386">
        <f t="shared" ref="H64:H65" si="78">(E64-D64)/D64</f>
        <v>1.8550391543754308E-2</v>
      </c>
      <c r="I64" s="386"/>
      <c r="W64" s="133">
        <v>42590</v>
      </c>
      <c r="X64" s="10">
        <v>87.03</v>
      </c>
      <c r="Y64" s="10">
        <v>88.37</v>
      </c>
      <c r="Z64" s="10">
        <v>86.98</v>
      </c>
      <c r="AA64" s="10">
        <v>87.9</v>
      </c>
      <c r="AB64" s="95">
        <v>775400</v>
      </c>
      <c r="AC64" s="10">
        <v>87.62</v>
      </c>
      <c r="AD64" s="2">
        <f t="shared" si="0"/>
        <v>1.3900000000000006</v>
      </c>
      <c r="AE64" s="138">
        <f t="shared" si="1"/>
        <v>1.0378228782287779E-2</v>
      </c>
    </row>
    <row r="65" spans="2:31" x14ac:dyDescent="0.25">
      <c r="B65" s="383">
        <v>42648</v>
      </c>
      <c r="C65" s="384">
        <v>30</v>
      </c>
      <c r="D65" s="385">
        <v>74.272999999999996</v>
      </c>
      <c r="E65" s="385">
        <v>81.430000000000007</v>
      </c>
      <c r="F65" s="385">
        <f t="shared" si="76"/>
        <v>214.71000000000032</v>
      </c>
      <c r="G65" s="385">
        <f t="shared" si="77"/>
        <v>2228.19</v>
      </c>
      <c r="H65" s="386">
        <f t="shared" si="78"/>
        <v>9.6360723277638047E-2</v>
      </c>
      <c r="I65" s="386"/>
      <c r="W65" s="133">
        <v>42587</v>
      </c>
      <c r="X65" s="10">
        <v>86.65</v>
      </c>
      <c r="Y65" s="10">
        <v>87.91</v>
      </c>
      <c r="Z65" s="10">
        <v>86.4</v>
      </c>
      <c r="AA65" s="10">
        <v>87</v>
      </c>
      <c r="AB65" s="95">
        <v>956700</v>
      </c>
      <c r="AC65" s="10">
        <v>86.72</v>
      </c>
      <c r="AD65" s="2">
        <f t="shared" si="0"/>
        <v>1.5099999999999909</v>
      </c>
      <c r="AE65" s="138">
        <f t="shared" si="1"/>
        <v>9.1935296171301584E-3</v>
      </c>
    </row>
    <row r="66" spans="2:31" x14ac:dyDescent="0.25">
      <c r="B66" s="383">
        <v>42649</v>
      </c>
      <c r="C66" s="384">
        <v>30</v>
      </c>
      <c r="D66" s="385">
        <v>74.272999999999996</v>
      </c>
      <c r="E66" s="385">
        <v>80.069999999999993</v>
      </c>
      <c r="F66" s="385">
        <f t="shared" ref="F66" si="79">C66*(E66-D66)</f>
        <v>173.90999999999991</v>
      </c>
      <c r="G66" s="385">
        <f t="shared" ref="G66" si="80">D66*C66</f>
        <v>2228.19</v>
      </c>
      <c r="H66" s="386">
        <f t="shared" ref="H66" si="81">(E66-D66)/D66</f>
        <v>7.8049897001602156E-2</v>
      </c>
      <c r="I66" s="386"/>
      <c r="W66" s="133">
        <v>42586</v>
      </c>
      <c r="X66" s="10">
        <v>84.6</v>
      </c>
      <c r="Y66" s="10">
        <v>86.21</v>
      </c>
      <c r="Z66" s="10">
        <v>83.86</v>
      </c>
      <c r="AA66" s="10">
        <v>86.21</v>
      </c>
      <c r="AB66" s="95">
        <v>1139700</v>
      </c>
      <c r="AC66" s="10">
        <v>85.93</v>
      </c>
      <c r="AD66" s="2">
        <f t="shared" si="0"/>
        <v>2.3499999999999943</v>
      </c>
      <c r="AE66" s="138">
        <f t="shared" si="1"/>
        <v>2.1516880646695213E-2</v>
      </c>
    </row>
    <row r="67" spans="2:31" x14ac:dyDescent="0.25">
      <c r="B67" s="383">
        <v>42671</v>
      </c>
      <c r="C67" s="384">
        <v>0</v>
      </c>
      <c r="D67" s="385"/>
      <c r="E67" s="385"/>
      <c r="F67" s="385">
        <v>234.16</v>
      </c>
      <c r="G67" s="385"/>
      <c r="H67" s="386"/>
      <c r="I67" s="386"/>
      <c r="W67" s="133">
        <v>42585</v>
      </c>
      <c r="X67" s="10">
        <v>82.93</v>
      </c>
      <c r="Y67" s="10">
        <v>84.53</v>
      </c>
      <c r="Z67" s="10">
        <v>81.86</v>
      </c>
      <c r="AA67" s="10">
        <v>84.39</v>
      </c>
      <c r="AB67" s="95">
        <v>1001400</v>
      </c>
      <c r="AC67" s="10">
        <v>84.12</v>
      </c>
      <c r="AD67" s="2">
        <f>Y67-Z67</f>
        <v>2.6700000000000017</v>
      </c>
      <c r="AE67" s="138">
        <f>AC67/AC68-1</f>
        <v>9.6015362457995135E-3</v>
      </c>
    </row>
    <row r="68" spans="2:31" x14ac:dyDescent="0.25">
      <c r="B68" s="383"/>
      <c r="C68" s="384"/>
      <c r="D68" s="385"/>
      <c r="E68" s="385"/>
      <c r="F68" s="385"/>
      <c r="G68" s="385"/>
      <c r="H68" s="386"/>
      <c r="I68" s="386"/>
      <c r="W68" s="133">
        <v>42584</v>
      </c>
      <c r="X68" s="10">
        <v>86.52</v>
      </c>
      <c r="Y68" s="10">
        <v>86.7</v>
      </c>
      <c r="Z68" s="10">
        <v>83.46</v>
      </c>
      <c r="AA68" s="10">
        <v>83.59</v>
      </c>
      <c r="AB68" s="95">
        <v>1052700</v>
      </c>
      <c r="AC68" s="10">
        <v>83.32</v>
      </c>
      <c r="AD68" s="2">
        <f>Y68-Z68</f>
        <v>3.2400000000000091</v>
      </c>
      <c r="AE68" s="138" t="e">
        <f>AC68/AC69-1</f>
        <v>#DIV/0!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231"/>
      <c r="W69" s="284" t="s">
        <v>121</v>
      </c>
      <c r="AB69" s="235"/>
    </row>
    <row r="70" spans="2:31" x14ac:dyDescent="0.25">
      <c r="B70" s="193"/>
      <c r="C70" s="10"/>
      <c r="D70" s="40"/>
      <c r="E70" s="40"/>
      <c r="F70" s="40"/>
      <c r="G70" s="40"/>
      <c r="H70" s="231"/>
      <c r="I70" s="231"/>
    </row>
    <row r="71" spans="2:31" x14ac:dyDescent="0.25">
      <c r="B71" s="193"/>
      <c r="C71" s="10"/>
      <c r="D71" s="40"/>
      <c r="E71" s="40"/>
      <c r="F71" s="40"/>
      <c r="G71" s="40"/>
      <c r="H71" s="231"/>
      <c r="I71" s="231"/>
    </row>
    <row r="72" spans="2:31" x14ac:dyDescent="0.25">
      <c r="B72" s="193"/>
      <c r="C72" s="10"/>
      <c r="D72" s="40"/>
      <c r="E72" s="40"/>
      <c r="F72" s="40"/>
      <c r="G72" s="40"/>
      <c r="H72" s="231"/>
      <c r="I72" s="231"/>
    </row>
    <row r="73" spans="2:31" x14ac:dyDescent="0.25">
      <c r="B73" s="193"/>
      <c r="C73" s="10"/>
      <c r="D73" s="40"/>
      <c r="E73" s="40"/>
      <c r="F73" s="40"/>
      <c r="G73" s="40"/>
      <c r="H73" s="231"/>
      <c r="I73" s="231"/>
    </row>
    <row r="74" spans="2:31" x14ac:dyDescent="0.25">
      <c r="B74" s="193"/>
      <c r="C74" s="10"/>
      <c r="D74" s="40"/>
      <c r="E74" s="40"/>
      <c r="F74" s="40"/>
      <c r="G74" s="40"/>
      <c r="H74" s="231"/>
      <c r="I74" s="231"/>
    </row>
    <row r="75" spans="2:31" x14ac:dyDescent="0.25">
      <c r="B75" s="193"/>
      <c r="C75" s="10"/>
      <c r="D75" s="40"/>
      <c r="E75" s="40"/>
      <c r="F75" s="40"/>
      <c r="G75" s="40"/>
      <c r="H75" s="231"/>
      <c r="I75" s="231"/>
    </row>
    <row r="76" spans="2:31" x14ac:dyDescent="0.25">
      <c r="B76" s="193"/>
      <c r="C76" s="10"/>
      <c r="D76" s="40"/>
      <c r="E76" s="40"/>
      <c r="F76" s="40"/>
      <c r="G76" s="40"/>
      <c r="H76" s="231"/>
      <c r="I76" s="231"/>
    </row>
    <row r="82" spans="1:13" x14ac:dyDescent="0.25">
      <c r="L82" t="s">
        <v>65</v>
      </c>
      <c r="M82" s="2">
        <f>K100+M100-F100</f>
        <v>668.15000000000146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3" t="s">
        <v>7</v>
      </c>
      <c r="J83" s="263" t="s">
        <v>95</v>
      </c>
      <c r="K83" s="264" t="s">
        <v>61</v>
      </c>
      <c r="L83" s="263" t="s">
        <v>77</v>
      </c>
      <c r="M83" s="263" t="s">
        <v>38</v>
      </c>
    </row>
    <row r="84" spans="1:13" x14ac:dyDescent="0.25">
      <c r="A84" s="265" t="s">
        <v>227</v>
      </c>
      <c r="B84" s="266">
        <v>42516</v>
      </c>
      <c r="C84" s="261">
        <v>20</v>
      </c>
      <c r="D84" s="262">
        <v>96.2</v>
      </c>
      <c r="E84" s="262">
        <v>0</v>
      </c>
      <c r="F84" s="262">
        <f t="shared" ref="F84:F89" si="82">C84*D84 + E84</f>
        <v>1924</v>
      </c>
      <c r="G84" s="266">
        <v>42516</v>
      </c>
      <c r="H84" s="261">
        <v>20</v>
      </c>
      <c r="I84" s="262">
        <v>88.99</v>
      </c>
      <c r="J84" s="262">
        <v>0.04</v>
      </c>
      <c r="K84" s="262">
        <f t="shared" ref="K84:K89" si="83">H84*I84 - J84</f>
        <v>1779.76</v>
      </c>
      <c r="L84" s="266">
        <v>42608</v>
      </c>
      <c r="M84" s="261">
        <v>13</v>
      </c>
    </row>
    <row r="85" spans="1:13" x14ac:dyDescent="0.25">
      <c r="A85" s="268" t="s">
        <v>71</v>
      </c>
      <c r="B85" s="482">
        <v>42527</v>
      </c>
      <c r="C85" s="261">
        <v>25</v>
      </c>
      <c r="D85" s="262">
        <v>85.59</v>
      </c>
      <c r="E85" s="262">
        <v>0</v>
      </c>
      <c r="F85" s="262">
        <f t="shared" si="82"/>
        <v>2139.75</v>
      </c>
      <c r="G85" s="266">
        <v>42541</v>
      </c>
      <c r="H85" s="267">
        <v>25</v>
      </c>
      <c r="I85" s="262">
        <v>86.59</v>
      </c>
      <c r="J85" s="262">
        <v>0.05</v>
      </c>
      <c r="K85" s="262">
        <f t="shared" si="83"/>
        <v>2164.6999999999998</v>
      </c>
      <c r="L85" s="261"/>
      <c r="M85" s="261"/>
    </row>
    <row r="86" spans="1:13" x14ac:dyDescent="0.25">
      <c r="A86" s="261"/>
      <c r="B86" s="482">
        <v>42535</v>
      </c>
      <c r="C86" s="261">
        <v>20</v>
      </c>
      <c r="D86" s="262">
        <v>82.75</v>
      </c>
      <c r="E86" s="262">
        <v>0</v>
      </c>
      <c r="F86" s="262">
        <f t="shared" si="82"/>
        <v>1655</v>
      </c>
      <c r="G86" s="266">
        <v>42552</v>
      </c>
      <c r="H86" s="267">
        <v>20</v>
      </c>
      <c r="I86" s="262">
        <v>83.98</v>
      </c>
      <c r="J86" s="262">
        <v>0.04</v>
      </c>
      <c r="K86" s="262">
        <f t="shared" si="83"/>
        <v>1679.5600000000002</v>
      </c>
      <c r="L86" s="261"/>
      <c r="M86" s="261"/>
    </row>
    <row r="87" spans="1:13" x14ac:dyDescent="0.25">
      <c r="A87" s="261"/>
      <c r="B87" s="266">
        <v>42535</v>
      </c>
      <c r="C87" s="261">
        <v>5</v>
      </c>
      <c r="D87" s="262">
        <v>82.75</v>
      </c>
      <c r="E87" s="262">
        <v>0</v>
      </c>
      <c r="F87" s="262">
        <f t="shared" si="82"/>
        <v>413.75</v>
      </c>
      <c r="G87" s="266">
        <v>42569</v>
      </c>
      <c r="H87" s="267">
        <v>5</v>
      </c>
      <c r="I87" s="262">
        <v>92</v>
      </c>
      <c r="J87" s="262">
        <v>0.01</v>
      </c>
      <c r="K87" s="262">
        <f t="shared" si="83"/>
        <v>459.99</v>
      </c>
      <c r="L87" s="261"/>
      <c r="M87" s="261"/>
    </row>
    <row r="88" spans="1:13" x14ac:dyDescent="0.25">
      <c r="A88" s="261"/>
      <c r="B88" s="266">
        <v>42548</v>
      </c>
      <c r="C88" s="261">
        <v>20</v>
      </c>
      <c r="D88" s="262">
        <v>78.48</v>
      </c>
      <c r="E88" s="262">
        <v>0</v>
      </c>
      <c r="F88" s="262">
        <f t="shared" si="82"/>
        <v>1569.6000000000001</v>
      </c>
      <c r="G88" s="266">
        <v>42580</v>
      </c>
      <c r="H88" s="267">
        <v>20</v>
      </c>
      <c r="I88" s="262">
        <v>87.72</v>
      </c>
      <c r="J88" s="262">
        <v>0.04</v>
      </c>
      <c r="K88" s="262">
        <f t="shared" si="83"/>
        <v>1754.3600000000001</v>
      </c>
      <c r="L88" s="261"/>
      <c r="M88" s="261"/>
    </row>
    <row r="89" spans="1:13" x14ac:dyDescent="0.25">
      <c r="A89" s="261"/>
      <c r="B89" s="266">
        <v>42548</v>
      </c>
      <c r="C89" s="261">
        <v>30</v>
      </c>
      <c r="D89" s="262">
        <v>78.48</v>
      </c>
      <c r="E89" s="262">
        <v>0</v>
      </c>
      <c r="F89" s="262">
        <f t="shared" si="82"/>
        <v>2354.4</v>
      </c>
      <c r="G89" s="266">
        <v>42580</v>
      </c>
      <c r="H89" s="267">
        <v>30</v>
      </c>
      <c r="I89" s="262">
        <v>87.97</v>
      </c>
      <c r="J89" s="262">
        <v>-0.02</v>
      </c>
      <c r="K89" s="262">
        <f t="shared" si="83"/>
        <v>2639.12</v>
      </c>
      <c r="L89" s="261"/>
      <c r="M89" s="261"/>
    </row>
    <row r="90" spans="1:13" x14ac:dyDescent="0.25">
      <c r="A90" s="261"/>
      <c r="B90" s="266">
        <v>42608</v>
      </c>
      <c r="C90" s="261">
        <v>25</v>
      </c>
      <c r="D90" s="262">
        <v>78.95</v>
      </c>
      <c r="E90" s="262">
        <v>0</v>
      </c>
      <c r="F90" s="262">
        <v>1973.75</v>
      </c>
      <c r="G90" s="266">
        <v>42648</v>
      </c>
      <c r="H90" s="267">
        <v>25</v>
      </c>
      <c r="I90" s="262">
        <v>78.959999999999994</v>
      </c>
      <c r="J90" s="262">
        <v>0.04</v>
      </c>
      <c r="K90" s="262">
        <v>1973.9599999999998</v>
      </c>
      <c r="L90" s="261"/>
      <c r="M90" s="261"/>
    </row>
    <row r="91" spans="1:13" x14ac:dyDescent="0.25">
      <c r="A91" s="261"/>
      <c r="B91" s="266">
        <v>42640</v>
      </c>
      <c r="C91" s="261">
        <v>30</v>
      </c>
      <c r="D91" s="262">
        <v>74.28</v>
      </c>
      <c r="E91" s="262">
        <v>0</v>
      </c>
      <c r="F91" s="262">
        <v>2228.4</v>
      </c>
      <c r="G91" s="266">
        <v>42671</v>
      </c>
      <c r="H91" s="267">
        <v>30</v>
      </c>
      <c r="I91" s="262">
        <v>82.08</v>
      </c>
      <c r="J91" s="262">
        <v>0.05</v>
      </c>
      <c r="K91" s="262">
        <v>2462.35</v>
      </c>
      <c r="L91" s="261"/>
      <c r="M91" s="261"/>
    </row>
    <row r="92" spans="1:13" x14ac:dyDescent="0.25">
      <c r="A92" s="261"/>
      <c r="B92" s="266"/>
      <c r="C92" s="261"/>
      <c r="D92" s="262"/>
      <c r="E92" s="262"/>
      <c r="F92" s="262"/>
      <c r="G92" s="266"/>
      <c r="H92" s="267"/>
      <c r="I92" s="261"/>
      <c r="J92" s="261"/>
      <c r="K92" s="262"/>
      <c r="L92" s="261"/>
      <c r="M92" s="261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1"/>
      <c r="J93" s="261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1"/>
      <c r="J94" s="261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6"/>
      <c r="H95" s="267"/>
      <c r="I95" s="262"/>
      <c r="J95" s="261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6"/>
      <c r="H96" s="267"/>
      <c r="I96" s="261"/>
      <c r="J96" s="261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6"/>
      <c r="H97" s="267"/>
      <c r="I97" s="261"/>
      <c r="J97" s="261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6"/>
      <c r="H98" s="267"/>
      <c r="I98" s="261"/>
      <c r="J98" s="261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6"/>
      <c r="H99" s="267"/>
      <c r="I99" s="261"/>
      <c r="J99" s="261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SUM(C84:C96)</f>
        <v>175</v>
      </c>
      <c r="D100" s="14"/>
      <c r="E100" s="14"/>
      <c r="F100" s="18">
        <f t="shared" ref="F100" si="84">SUM(F84:F96)</f>
        <v>14258.65</v>
      </c>
      <c r="G100" s="14"/>
      <c r="H100" s="14">
        <f t="shared" ref="H100" si="85">SUM(H84:H96)</f>
        <v>175</v>
      </c>
      <c r="I100" s="14"/>
      <c r="J100" s="14"/>
      <c r="K100" s="14">
        <f t="shared" ref="K100" si="86">SUM(K84:K96)</f>
        <v>14913.800000000001</v>
      </c>
      <c r="L100" s="14"/>
      <c r="M100" s="18">
        <f t="shared" ref="M100" si="87">SUM(M84:M96)</f>
        <v>13</v>
      </c>
    </row>
    <row r="101" spans="1:13" ht="15.75" thickBot="1" x14ac:dyDescent="0.3">
      <c r="A101" s="484" t="s">
        <v>201</v>
      </c>
      <c r="B101" s="485"/>
      <c r="C101" s="486">
        <f>SumByColor($A$19,C84:C99)</f>
        <v>0</v>
      </c>
      <c r="D101" s="486"/>
      <c r="E101" s="486"/>
      <c r="F101" s="487">
        <f>SumByColor($A$19,F84:F99)</f>
        <v>0</v>
      </c>
      <c r="G101" s="486"/>
      <c r="H101" s="486">
        <f>SumByColor($A$19,H84:H99)</f>
        <v>0</v>
      </c>
      <c r="I101" s="486"/>
      <c r="J101" s="486"/>
      <c r="K101" s="487">
        <f>SumByColor($A$19,K84:K99)</f>
        <v>0</v>
      </c>
      <c r="L101" s="486"/>
      <c r="M101" s="487">
        <f>SumByColor($A$19,M84:M99)</f>
        <v>0</v>
      </c>
    </row>
  </sheetData>
  <mergeCells count="1">
    <mergeCell ref="O42:P42"/>
  </mergeCells>
  <conditionalFormatting sqref="N19">
    <cfRule type="expression" dxfId="789" priority="27">
      <formula>N19&gt;0</formula>
    </cfRule>
    <cfRule type="expression" dxfId="788" priority="28">
      <formula>N19&lt;0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47 F51:F76">
    <cfRule type="expression" dxfId="787" priority="21">
      <formula>F29&gt;0</formula>
    </cfRule>
    <cfRule type="expression" dxfId="786" priority="22">
      <formula>F29&lt;0</formula>
    </cfRule>
  </conditionalFormatting>
  <conditionalFormatting sqref="H29:H47 H51:H76">
    <cfRule type="expression" dxfId="785" priority="19">
      <formula>H29&gt;0</formula>
    </cfRule>
    <cfRule type="expression" dxfId="784" priority="20">
      <formula>H29&lt;0</formula>
    </cfRule>
  </conditionalFormatting>
  <conditionalFormatting sqref="I25:I47 I50:I76">
    <cfRule type="expression" dxfId="783" priority="17">
      <formula>I25&gt;0</formula>
    </cfRule>
    <cfRule type="expression" dxfId="782" priority="18">
      <formula>I25&lt;0</formula>
    </cfRule>
  </conditionalFormatting>
  <conditionalFormatting sqref="Q7">
    <cfRule type="expression" dxfId="781" priority="15">
      <formula>Q7&gt;0</formula>
    </cfRule>
    <cfRule type="expression" dxfId="780" priority="16">
      <formula>Q7&lt;0</formula>
    </cfRule>
  </conditionalFormatting>
  <conditionalFormatting sqref="Q8">
    <cfRule type="expression" dxfId="779" priority="13">
      <formula>Q8&gt;0</formula>
    </cfRule>
    <cfRule type="expression" dxfId="778" priority="14">
      <formula>Q8&lt;0</formula>
    </cfRule>
  </conditionalFormatting>
  <conditionalFormatting sqref="F25:F28">
    <cfRule type="expression" dxfId="777" priority="11">
      <formula>F25&gt;0</formula>
    </cfRule>
    <cfRule type="expression" dxfId="776" priority="12">
      <formula>F25&lt;0</formula>
    </cfRule>
  </conditionalFormatting>
  <conditionalFormatting sqref="H25:H28">
    <cfRule type="expression" dxfId="775" priority="9">
      <formula>H25&gt;0</formula>
    </cfRule>
    <cfRule type="expression" dxfId="774" priority="10">
      <formula>H25&lt;0</formula>
    </cfRule>
  </conditionalFormatting>
  <conditionalFormatting sqref="F50:F64">
    <cfRule type="expression" dxfId="773" priority="3">
      <formula>F50&gt;0</formula>
    </cfRule>
    <cfRule type="expression" dxfId="772" priority="4">
      <formula>F50&lt;0</formula>
    </cfRule>
  </conditionalFormatting>
  <conditionalFormatting sqref="H50:H64">
    <cfRule type="expression" dxfId="771" priority="1">
      <formula>H50&gt;0</formula>
    </cfRule>
    <cfRule type="expression" dxfId="770" priority="2">
      <formula>H50&lt;0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4257812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42676</v>
      </c>
      <c r="X2" s="10">
        <v>111.4</v>
      </c>
      <c r="Y2" s="10">
        <v>112.35</v>
      </c>
      <c r="Z2" s="10">
        <v>111.23</v>
      </c>
      <c r="AA2" s="10">
        <v>111.59</v>
      </c>
      <c r="AB2" s="95">
        <v>28094600</v>
      </c>
      <c r="AC2" s="10">
        <v>111.59</v>
      </c>
      <c r="AD2" s="2">
        <f>Y2-Z2</f>
        <v>1.1199999999999903</v>
      </c>
      <c r="AE2" s="138">
        <f>AC2/AC3-1</f>
        <v>8.969414297246292E-4</v>
      </c>
    </row>
    <row r="3" spans="1:40" x14ac:dyDescent="0.25">
      <c r="A3" s="23" t="s">
        <v>71</v>
      </c>
      <c r="B3" s="369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111.59</v>
      </c>
      <c r="W3" s="133">
        <v>42675</v>
      </c>
      <c r="X3" s="10">
        <v>113.46</v>
      </c>
      <c r="Y3" s="10">
        <v>113.77</v>
      </c>
      <c r="Z3" s="10">
        <v>110.53</v>
      </c>
      <c r="AA3" s="10">
        <v>111.49</v>
      </c>
      <c r="AB3" s="95">
        <v>43353600</v>
      </c>
      <c r="AC3" s="10">
        <v>111.49</v>
      </c>
      <c r="AD3" s="2">
        <f t="shared" ref="AD3:AD66" si="0">Y3-Z3</f>
        <v>3.2399999999999949</v>
      </c>
      <c r="AE3" s="138">
        <f t="shared" ref="AE3:AE66" si="1">AC3/AC4-1</f>
        <v>-1.8055310903646427E-2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111.59</v>
      </c>
      <c r="R4" s="557">
        <v>8.9999999999999998E-4</v>
      </c>
      <c r="T4" s="1"/>
      <c r="W4" s="133">
        <v>42674</v>
      </c>
      <c r="X4" s="10">
        <v>113.65</v>
      </c>
      <c r="Y4" s="10">
        <v>114.23</v>
      </c>
      <c r="Z4" s="10">
        <v>113.2</v>
      </c>
      <c r="AA4" s="10">
        <v>113.54</v>
      </c>
      <c r="AB4" s="95">
        <v>26419400</v>
      </c>
      <c r="AC4" s="10">
        <v>113.54</v>
      </c>
      <c r="AD4" s="2">
        <f t="shared" si="0"/>
        <v>1.0300000000000011</v>
      </c>
      <c r="AE4" s="138">
        <f t="shared" si="1"/>
        <v>-1.5828350334153862E-3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42671</v>
      </c>
      <c r="X5" s="10">
        <v>113.87</v>
      </c>
      <c r="Y5" s="10">
        <v>115.21</v>
      </c>
      <c r="Z5" s="10">
        <v>113.45</v>
      </c>
      <c r="AA5" s="10">
        <v>113.72</v>
      </c>
      <c r="AB5" s="95">
        <v>37861700</v>
      </c>
      <c r="AC5" s="10">
        <v>113.72</v>
      </c>
      <c r="AD5" s="2">
        <f t="shared" si="0"/>
        <v>1.7599999999999909</v>
      </c>
      <c r="AE5" s="138">
        <f t="shared" si="1"/>
        <v>-6.6387141858840204E-3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42670</v>
      </c>
      <c r="X6" s="10">
        <v>115.39</v>
      </c>
      <c r="Y6" s="10">
        <v>115.86</v>
      </c>
      <c r="Z6" s="10">
        <v>114.1</v>
      </c>
      <c r="AA6" s="10">
        <v>114.48</v>
      </c>
      <c r="AB6" s="95">
        <v>34562000</v>
      </c>
      <c r="AC6" s="10">
        <v>114.48</v>
      </c>
      <c r="AD6" s="2">
        <f t="shared" si="0"/>
        <v>1.7600000000000051</v>
      </c>
      <c r="AE6" s="138">
        <f t="shared" si="1"/>
        <v>-9.6029068258499661E-3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184</v>
      </c>
      <c r="Q7" s="2">
        <f>Q10+Q8</f>
        <v>363.09999999999945</v>
      </c>
      <c r="R7">
        <v>0</v>
      </c>
      <c r="W7" s="133">
        <v>42669</v>
      </c>
      <c r="X7" s="10">
        <v>114.31</v>
      </c>
      <c r="Y7" s="10">
        <v>115.7</v>
      </c>
      <c r="Z7" s="10">
        <v>113.31</v>
      </c>
      <c r="AA7" s="10">
        <v>115.59</v>
      </c>
      <c r="AB7" s="95">
        <v>66134200</v>
      </c>
      <c r="AC7" s="10">
        <v>115.59</v>
      </c>
      <c r="AD7" s="2">
        <f t="shared" si="0"/>
        <v>2.3900000000000006</v>
      </c>
      <c r="AE7" s="138">
        <f t="shared" si="1"/>
        <v>-2.2494714587737774E-2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42668</v>
      </c>
      <c r="X8" s="10">
        <v>117.95</v>
      </c>
      <c r="Y8" s="10">
        <v>118.36</v>
      </c>
      <c r="Z8" s="10">
        <v>117.31</v>
      </c>
      <c r="AA8" s="10">
        <v>118.25</v>
      </c>
      <c r="AB8" s="95">
        <v>48129000</v>
      </c>
      <c r="AC8" s="10">
        <v>118.25</v>
      </c>
      <c r="AD8" s="2">
        <f t="shared" si="0"/>
        <v>1.0499999999999972</v>
      </c>
      <c r="AE8" s="138">
        <f t="shared" si="1"/>
        <v>5.0998725031874415E-3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T9" s="158"/>
      <c r="W9" s="133">
        <v>42667</v>
      </c>
      <c r="X9" s="10">
        <v>117.1</v>
      </c>
      <c r="Y9" s="10">
        <v>117.74</v>
      </c>
      <c r="Z9" s="10">
        <v>117</v>
      </c>
      <c r="AA9" s="10">
        <v>117.65</v>
      </c>
      <c r="AB9" s="95">
        <v>23538700</v>
      </c>
      <c r="AC9" s="10">
        <v>117.65</v>
      </c>
      <c r="AD9" s="2">
        <f t="shared" si="0"/>
        <v>0.73999999999999488</v>
      </c>
      <c r="AE9" s="138">
        <f t="shared" si="1"/>
        <v>9.0051457975988125E-3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218</v>
      </c>
      <c r="P10" s="34"/>
      <c r="Q10" s="2">
        <f>M55</f>
        <v>363.09999999999945</v>
      </c>
      <c r="W10" s="133">
        <v>42664</v>
      </c>
      <c r="X10" s="10">
        <v>116.81</v>
      </c>
      <c r="Y10" s="10">
        <v>116.91</v>
      </c>
      <c r="Z10" s="10">
        <v>116.28</v>
      </c>
      <c r="AA10" s="10">
        <v>116.6</v>
      </c>
      <c r="AB10" s="95">
        <v>23192700</v>
      </c>
      <c r="AC10" s="10">
        <v>116.6</v>
      </c>
      <c r="AD10" s="2">
        <f t="shared" si="0"/>
        <v>0.62999999999999545</v>
      </c>
      <c r="AE10" s="138">
        <f t="shared" si="1"/>
        <v>-3.9296087476508035E-3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181</v>
      </c>
      <c r="P11" s="34"/>
      <c r="Q11" s="138">
        <f>VALUE(TRIM(CLEAN(MID(U55, FIND("(", U55)+1, 5))))</f>
        <v>0.02</v>
      </c>
      <c r="W11" s="133">
        <v>42663</v>
      </c>
      <c r="X11" s="10">
        <v>116.86</v>
      </c>
      <c r="Y11" s="10">
        <v>117.38</v>
      </c>
      <c r="Z11" s="10">
        <v>116.33</v>
      </c>
      <c r="AA11" s="10">
        <v>117.06</v>
      </c>
      <c r="AB11" s="95">
        <v>24125800</v>
      </c>
      <c r="AC11" s="10">
        <v>117.06</v>
      </c>
      <c r="AD11" s="2">
        <f t="shared" si="0"/>
        <v>1.0499999999999972</v>
      </c>
      <c r="AE11" s="138">
        <f t="shared" si="1"/>
        <v>-5.1229508196726226E-4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42662</v>
      </c>
      <c r="X12" s="10">
        <v>117.25</v>
      </c>
      <c r="Y12" s="10">
        <v>117.76</v>
      </c>
      <c r="Z12" s="10">
        <v>113.8</v>
      </c>
      <c r="AA12" s="10">
        <v>117.12</v>
      </c>
      <c r="AB12" s="95">
        <v>20034600</v>
      </c>
      <c r="AC12" s="10">
        <v>117.12</v>
      </c>
      <c r="AD12" s="2">
        <f t="shared" si="0"/>
        <v>3.960000000000008</v>
      </c>
      <c r="AE12" s="138">
        <f t="shared" si="1"/>
        <v>-2.9794841236059355E-3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42661</v>
      </c>
      <c r="X13" s="10">
        <v>118.18</v>
      </c>
      <c r="Y13" s="10">
        <v>118.21</v>
      </c>
      <c r="Z13" s="10">
        <v>117.45</v>
      </c>
      <c r="AA13" s="10">
        <v>117.47</v>
      </c>
      <c r="AB13" s="95">
        <v>24553500</v>
      </c>
      <c r="AC13" s="10">
        <v>117.47</v>
      </c>
      <c r="AD13" s="2">
        <f t="shared" si="0"/>
        <v>0.75999999999999091</v>
      </c>
      <c r="AE13" s="138">
        <f t="shared" si="1"/>
        <v>-6.8056146320716326E-4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42660</v>
      </c>
      <c r="X14" s="10">
        <v>117.33</v>
      </c>
      <c r="Y14" s="10">
        <v>117.84</v>
      </c>
      <c r="Z14" s="10">
        <v>116.78</v>
      </c>
      <c r="AA14" s="10">
        <v>117.55</v>
      </c>
      <c r="AB14" s="95">
        <v>23624900</v>
      </c>
      <c r="AC14" s="10">
        <v>117.55</v>
      </c>
      <c r="AD14" s="2">
        <f t="shared" si="0"/>
        <v>1.0600000000000023</v>
      </c>
      <c r="AE14" s="138">
        <f t="shared" si="1"/>
        <v>-6.8009861429907392E-4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42657</v>
      </c>
      <c r="X15" s="10">
        <v>117.88</v>
      </c>
      <c r="Y15" s="10">
        <v>118.17</v>
      </c>
      <c r="Z15" s="10">
        <v>117.13</v>
      </c>
      <c r="AA15" s="10">
        <v>117.63</v>
      </c>
      <c r="AB15" s="95">
        <v>35652200</v>
      </c>
      <c r="AC15" s="10">
        <v>117.63</v>
      </c>
      <c r="AD15" s="2">
        <f t="shared" si="0"/>
        <v>1.0400000000000063</v>
      </c>
      <c r="AE15" s="138">
        <f t="shared" si="1"/>
        <v>5.5565053855359814E-3</v>
      </c>
    </row>
    <row r="16" spans="1:40" x14ac:dyDescent="0.25">
      <c r="G16" s="1"/>
      <c r="H16" s="72"/>
      <c r="W16" s="133">
        <v>42656</v>
      </c>
      <c r="X16" s="10">
        <v>116.79</v>
      </c>
      <c r="Y16" s="10">
        <v>117.44</v>
      </c>
      <c r="Z16" s="10">
        <v>115.72</v>
      </c>
      <c r="AA16" s="10">
        <v>116.98</v>
      </c>
      <c r="AB16" s="95">
        <v>35192400</v>
      </c>
      <c r="AC16" s="10">
        <v>116.98</v>
      </c>
      <c r="AD16" s="2">
        <f t="shared" si="0"/>
        <v>1.7199999999999989</v>
      </c>
      <c r="AE16" s="138">
        <f t="shared" si="1"/>
        <v>-3.0680074995739215E-3</v>
      </c>
    </row>
    <row r="17" spans="1:31" x14ac:dyDescent="0.25">
      <c r="G17" s="1"/>
      <c r="H17" s="72"/>
      <c r="W17" s="133">
        <v>42655</v>
      </c>
      <c r="X17" s="10">
        <v>117.35</v>
      </c>
      <c r="Y17" s="10">
        <v>117.98</v>
      </c>
      <c r="Z17" s="10">
        <v>116.75</v>
      </c>
      <c r="AA17" s="10">
        <v>117.34</v>
      </c>
      <c r="AB17" s="95">
        <v>37586800</v>
      </c>
      <c r="AC17" s="10">
        <v>117.34</v>
      </c>
      <c r="AD17" s="2">
        <f t="shared" si="0"/>
        <v>1.230000000000004</v>
      </c>
      <c r="AE17" s="138">
        <f t="shared" si="1"/>
        <v>8.9423903697334328E-3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42654</v>
      </c>
      <c r="X18" s="10">
        <v>117.7</v>
      </c>
      <c r="Y18" s="10">
        <v>118.69</v>
      </c>
      <c r="Z18" s="10">
        <v>116.2</v>
      </c>
      <c r="AA18" s="10">
        <v>116.3</v>
      </c>
      <c r="AB18" s="95">
        <v>64041000</v>
      </c>
      <c r="AC18" s="10">
        <v>116.3</v>
      </c>
      <c r="AD18" s="2">
        <f t="shared" si="0"/>
        <v>2.4899999999999949</v>
      </c>
      <c r="AE18" s="138">
        <f t="shared" si="1"/>
        <v>2.1542438604049696E-3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3">SumByColor($A$19,M2:M17)</f>
        <v>0</v>
      </c>
      <c r="N19" s="2"/>
      <c r="W19" s="133">
        <v>42653</v>
      </c>
      <c r="X19" s="10">
        <v>115.02</v>
      </c>
      <c r="Y19" s="10">
        <v>116.75</v>
      </c>
      <c r="Z19" s="10">
        <v>114.72</v>
      </c>
      <c r="AA19" s="10">
        <v>116.05</v>
      </c>
      <c r="AB19" s="95">
        <v>36236000</v>
      </c>
      <c r="AC19" s="10">
        <v>116.05</v>
      </c>
      <c r="AD19" s="2">
        <f t="shared" si="0"/>
        <v>2.0300000000000011</v>
      </c>
      <c r="AE19" s="138">
        <f t="shared" si="1"/>
        <v>1.7446957741539482E-2</v>
      </c>
    </row>
    <row r="20" spans="1:31" x14ac:dyDescent="0.25">
      <c r="W20" s="133">
        <v>42650</v>
      </c>
      <c r="X20" s="10">
        <v>114.31</v>
      </c>
      <c r="Y20" s="10">
        <v>114.56</v>
      </c>
      <c r="Z20" s="10">
        <v>113.51</v>
      </c>
      <c r="AA20" s="10">
        <v>114.06</v>
      </c>
      <c r="AB20" s="95">
        <v>24358400</v>
      </c>
      <c r="AC20" s="10">
        <v>114.06</v>
      </c>
      <c r="AD20" s="2">
        <f t="shared" si="0"/>
        <v>1.0499999999999972</v>
      </c>
      <c r="AE20" s="138">
        <f t="shared" si="1"/>
        <v>1.492668364211136E-3</v>
      </c>
    </row>
    <row r="21" spans="1:31" x14ac:dyDescent="0.25">
      <c r="W21" s="133">
        <v>42649</v>
      </c>
      <c r="X21" s="10">
        <v>113.7</v>
      </c>
      <c r="Y21" s="10">
        <v>114.34</v>
      </c>
      <c r="Z21" s="10">
        <v>113.13</v>
      </c>
      <c r="AA21" s="10">
        <v>113.89</v>
      </c>
      <c r="AB21" s="95">
        <v>28779300</v>
      </c>
      <c r="AC21" s="10">
        <v>113.89</v>
      </c>
      <c r="AD21" s="2">
        <f t="shared" si="0"/>
        <v>1.210000000000008</v>
      </c>
      <c r="AE21" s="138">
        <f t="shared" si="1"/>
        <v>7.4303405572755388E-3</v>
      </c>
    </row>
    <row r="22" spans="1:31" x14ac:dyDescent="0.25">
      <c r="W22" s="133">
        <v>42648</v>
      </c>
      <c r="X22" s="10">
        <v>113.4</v>
      </c>
      <c r="Y22" s="10">
        <v>113.66</v>
      </c>
      <c r="Z22" s="10">
        <v>112.69</v>
      </c>
      <c r="AA22" s="10">
        <v>113.05</v>
      </c>
      <c r="AB22" s="95">
        <v>21453100</v>
      </c>
      <c r="AC22" s="10">
        <v>113.05</v>
      </c>
      <c r="AD22" s="2">
        <f t="shared" si="0"/>
        <v>0.96999999999999886</v>
      </c>
      <c r="AE22" s="138">
        <f t="shared" si="1"/>
        <v>4.4247787610607325E-4</v>
      </c>
    </row>
    <row r="23" spans="1:31" x14ac:dyDescent="0.25">
      <c r="W23" s="133">
        <v>42647</v>
      </c>
      <c r="X23" s="10">
        <v>113.06</v>
      </c>
      <c r="Y23" s="10">
        <v>114.31</v>
      </c>
      <c r="Z23" s="10">
        <v>112.63</v>
      </c>
      <c r="AA23" s="10">
        <v>113</v>
      </c>
      <c r="AB23" s="95">
        <v>29736800</v>
      </c>
      <c r="AC23" s="10">
        <v>113</v>
      </c>
      <c r="AD23" s="2">
        <f t="shared" si="0"/>
        <v>1.6800000000000068</v>
      </c>
      <c r="AE23" s="138">
        <f t="shared" si="1"/>
        <v>4.2659082829719086E-3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5" t="s">
        <v>65</v>
      </c>
      <c r="G24" s="229" t="s">
        <v>154</v>
      </c>
      <c r="H24" s="195" t="s">
        <v>88</v>
      </c>
      <c r="I24" s="195" t="s">
        <v>158</v>
      </c>
      <c r="W24" s="133">
        <v>42646</v>
      </c>
      <c r="X24" s="10">
        <v>112.71</v>
      </c>
      <c r="Y24" s="10">
        <v>113.05</v>
      </c>
      <c r="Z24" s="10">
        <v>112.28</v>
      </c>
      <c r="AA24" s="10">
        <v>112.52</v>
      </c>
      <c r="AB24" s="95">
        <v>21701800</v>
      </c>
      <c r="AC24" s="10">
        <v>112.52</v>
      </c>
      <c r="AD24" s="2">
        <f t="shared" si="0"/>
        <v>0.76999999999999602</v>
      </c>
      <c r="AE24" s="138">
        <f t="shared" si="1"/>
        <v>-4.6881910659000159E-3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42643</v>
      </c>
      <c r="X25" s="10">
        <v>112.46</v>
      </c>
      <c r="Y25" s="10">
        <v>113.37</v>
      </c>
      <c r="Z25" s="10">
        <v>111.8</v>
      </c>
      <c r="AA25" s="10">
        <v>113.05</v>
      </c>
      <c r="AB25" s="95">
        <v>36379100</v>
      </c>
      <c r="AC25" s="10">
        <v>113.05</v>
      </c>
      <c r="AD25" s="2">
        <f t="shared" si="0"/>
        <v>1.5700000000000074</v>
      </c>
      <c r="AE25" s="138">
        <f t="shared" si="1"/>
        <v>7.7553931182028357E-3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42642</v>
      </c>
      <c r="X26" s="10">
        <v>113.16</v>
      </c>
      <c r="Y26" s="10">
        <v>113.8</v>
      </c>
      <c r="Z26" s="10">
        <v>111.8</v>
      </c>
      <c r="AA26" s="10">
        <v>112.18</v>
      </c>
      <c r="AB26" s="95">
        <v>35887000</v>
      </c>
      <c r="AC26" s="10">
        <v>112.18</v>
      </c>
      <c r="AD26" s="2">
        <f t="shared" si="0"/>
        <v>2</v>
      </c>
      <c r="AE26" s="138">
        <f t="shared" si="1"/>
        <v>-1.5533128565160093E-2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224</v>
      </c>
      <c r="W27" s="133">
        <v>42641</v>
      </c>
      <c r="X27" s="10">
        <v>113.69</v>
      </c>
      <c r="Y27" s="10">
        <v>114.64</v>
      </c>
      <c r="Z27" s="10">
        <v>113.43</v>
      </c>
      <c r="AA27" s="10">
        <v>113.95</v>
      </c>
      <c r="AB27" s="95">
        <v>29641100</v>
      </c>
      <c r="AC27" s="10">
        <v>113.95</v>
      </c>
      <c r="AD27" s="2">
        <f t="shared" si="0"/>
        <v>1.2099999999999937</v>
      </c>
      <c r="AE27" s="138">
        <f t="shared" si="1"/>
        <v>7.6045627376426506E-3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42640</v>
      </c>
      <c r="X28" s="10">
        <v>113</v>
      </c>
      <c r="Y28" s="10">
        <v>113.18</v>
      </c>
      <c r="Z28" s="10">
        <v>112.34</v>
      </c>
      <c r="AA28" s="10">
        <v>113.09</v>
      </c>
      <c r="AB28" s="95">
        <v>24607400</v>
      </c>
      <c r="AC28" s="10">
        <v>113.09</v>
      </c>
      <c r="AD28" s="2">
        <f t="shared" si="0"/>
        <v>0.84000000000000341</v>
      </c>
      <c r="AE28" s="138">
        <f t="shared" si="1"/>
        <v>1.8603827072998236E-3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42639</v>
      </c>
      <c r="X29" s="10">
        <v>111.64</v>
      </c>
      <c r="Y29" s="10">
        <v>113.39</v>
      </c>
      <c r="Z29" s="10">
        <v>111.55</v>
      </c>
      <c r="AA29" s="10">
        <v>112.88</v>
      </c>
      <c r="AB29" s="95">
        <v>29869400</v>
      </c>
      <c r="AC29" s="10">
        <v>112.88</v>
      </c>
      <c r="AD29" s="2">
        <f t="shared" si="0"/>
        <v>1.8400000000000034</v>
      </c>
      <c r="AE29" s="138">
        <f t="shared" si="1"/>
        <v>1.5082956259426794E-3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42636</v>
      </c>
      <c r="X30" s="10">
        <v>114.42</v>
      </c>
      <c r="Y30" s="10">
        <v>114.79</v>
      </c>
      <c r="Z30" s="10">
        <v>111.55</v>
      </c>
      <c r="AA30" s="10">
        <v>112.71</v>
      </c>
      <c r="AB30" s="95">
        <v>52481200</v>
      </c>
      <c r="AC30" s="10">
        <v>112.71</v>
      </c>
      <c r="AD30" s="2">
        <f t="shared" si="0"/>
        <v>3.2400000000000091</v>
      </c>
      <c r="AE30" s="138">
        <f t="shared" si="1"/>
        <v>-1.666375850636892E-2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42635</v>
      </c>
      <c r="X31" s="10">
        <v>114.35</v>
      </c>
      <c r="Y31" s="10">
        <v>114.94</v>
      </c>
      <c r="Z31" s="10">
        <v>114</v>
      </c>
      <c r="AA31" s="10">
        <v>114.62</v>
      </c>
      <c r="AB31" s="95">
        <v>31074000</v>
      </c>
      <c r="AC31" s="10">
        <v>114.62</v>
      </c>
      <c r="AD31" s="2">
        <f t="shared" si="0"/>
        <v>0.93999999999999773</v>
      </c>
      <c r="AE31" s="138">
        <f t="shared" si="1"/>
        <v>9.4231616028181975E-3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42634</v>
      </c>
      <c r="X32" s="10">
        <v>113.85</v>
      </c>
      <c r="Y32" s="10">
        <v>113.99</v>
      </c>
      <c r="Z32" s="10">
        <v>112.44</v>
      </c>
      <c r="AA32" s="10">
        <v>113.55</v>
      </c>
      <c r="AB32" s="95">
        <v>36003200</v>
      </c>
      <c r="AC32" s="10">
        <v>113.55</v>
      </c>
      <c r="AD32" s="2">
        <f t="shared" si="0"/>
        <v>1.5499999999999972</v>
      </c>
      <c r="AE32" s="138">
        <f t="shared" si="1"/>
        <v>-1.7610284406088805E-4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42633</v>
      </c>
      <c r="X33" s="10">
        <v>113.05</v>
      </c>
      <c r="Y33" s="10">
        <v>114.12</v>
      </c>
      <c r="Z33" s="10">
        <v>112.51</v>
      </c>
      <c r="AA33" s="10">
        <v>113.57</v>
      </c>
      <c r="AB33" s="95">
        <v>34514300</v>
      </c>
      <c r="AC33" s="10">
        <v>113.57</v>
      </c>
      <c r="AD33" s="2">
        <f t="shared" si="0"/>
        <v>1.6099999999999994</v>
      </c>
      <c r="AE33" s="138">
        <f t="shared" si="1"/>
        <v>-8.8043669660198276E-5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42632</v>
      </c>
      <c r="X34" s="10">
        <v>115.19</v>
      </c>
      <c r="Y34" s="10">
        <v>116.18</v>
      </c>
      <c r="Z34" s="10">
        <v>113.25</v>
      </c>
      <c r="AA34" s="10">
        <v>113.58</v>
      </c>
      <c r="AB34" s="95">
        <v>47023000</v>
      </c>
      <c r="AC34" s="10">
        <v>113.58</v>
      </c>
      <c r="AD34" s="2">
        <f t="shared" si="0"/>
        <v>2.9300000000000068</v>
      </c>
      <c r="AE34" s="138">
        <f t="shared" si="1"/>
        <v>-1.1660285415941551E-2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42629</v>
      </c>
      <c r="X35" s="10">
        <v>115.12</v>
      </c>
      <c r="Y35" s="10">
        <v>116.13</v>
      </c>
      <c r="Z35" s="10">
        <v>114.04</v>
      </c>
      <c r="AA35" s="10">
        <v>114.92</v>
      </c>
      <c r="AB35" s="95">
        <v>79886900</v>
      </c>
      <c r="AC35" s="10">
        <v>114.92</v>
      </c>
      <c r="AD35" s="2">
        <f t="shared" si="0"/>
        <v>2.0899999999999892</v>
      </c>
      <c r="AE35" s="138">
        <f t="shared" si="1"/>
        <v>-5.6242969628795825E-3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42628</v>
      </c>
      <c r="X36" s="10">
        <v>113.86</v>
      </c>
      <c r="Y36" s="10">
        <v>115.73</v>
      </c>
      <c r="Z36" s="10">
        <v>113.49</v>
      </c>
      <c r="AA36" s="10">
        <v>115.57</v>
      </c>
      <c r="AB36" s="95">
        <v>89983600</v>
      </c>
      <c r="AC36" s="10">
        <v>115.57</v>
      </c>
      <c r="AD36" s="2">
        <f t="shared" si="0"/>
        <v>2.2400000000000091</v>
      </c>
      <c r="AE36" s="138">
        <f t="shared" si="1"/>
        <v>3.3998389549968699E-2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42627</v>
      </c>
      <c r="X37" s="10">
        <v>108.73</v>
      </c>
      <c r="Y37" s="10">
        <v>113.03</v>
      </c>
      <c r="Z37" s="10">
        <v>108.6</v>
      </c>
      <c r="AA37" s="10">
        <v>111.77</v>
      </c>
      <c r="AB37" s="95">
        <v>110888700</v>
      </c>
      <c r="AC37" s="10">
        <v>111.77</v>
      </c>
      <c r="AD37" s="2">
        <f t="shared" si="0"/>
        <v>4.4300000000000068</v>
      </c>
      <c r="AE37" s="138">
        <f t="shared" si="1"/>
        <v>3.5386753126447346E-2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42626</v>
      </c>
      <c r="X38" s="10">
        <v>107.51</v>
      </c>
      <c r="Y38" s="10">
        <v>108.79</v>
      </c>
      <c r="Z38" s="10">
        <v>107.24</v>
      </c>
      <c r="AA38" s="10">
        <v>107.95</v>
      </c>
      <c r="AB38" s="95">
        <v>62176200</v>
      </c>
      <c r="AC38" s="10">
        <v>107.95</v>
      </c>
      <c r="AD38" s="2">
        <f t="shared" si="0"/>
        <v>1.5500000000000114</v>
      </c>
      <c r="AE38" s="138">
        <f t="shared" si="1"/>
        <v>2.3805007587253568E-2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42625</v>
      </c>
      <c r="X39" s="10">
        <v>102.65</v>
      </c>
      <c r="Y39" s="10">
        <v>105.72</v>
      </c>
      <c r="Z39" s="10">
        <v>102.53</v>
      </c>
      <c r="AA39" s="10">
        <v>105.44</v>
      </c>
      <c r="AB39" s="95">
        <v>45292800</v>
      </c>
      <c r="AC39" s="10">
        <v>105.44</v>
      </c>
      <c r="AD39" s="2">
        <f t="shared" si="0"/>
        <v>3.1899999999999977</v>
      </c>
      <c r="AE39" s="138">
        <f t="shared" si="1"/>
        <v>2.2398913992048852E-2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70">
        <v>111.49</v>
      </c>
      <c r="W40" s="133">
        <v>42622</v>
      </c>
      <c r="X40" s="10">
        <v>104.64</v>
      </c>
      <c r="Y40" s="10">
        <v>105.72</v>
      </c>
      <c r="Z40" s="10">
        <v>103.13</v>
      </c>
      <c r="AA40" s="10">
        <v>103.13</v>
      </c>
      <c r="AB40" s="95">
        <v>46557000</v>
      </c>
      <c r="AC40" s="10">
        <v>103.13</v>
      </c>
      <c r="AD40" s="2">
        <f t="shared" si="0"/>
        <v>2.5900000000000034</v>
      </c>
      <c r="AE40" s="138">
        <f t="shared" si="1"/>
        <v>-2.2649734647460229E-2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286</v>
      </c>
      <c r="T41" s="108" t="s">
        <v>99</v>
      </c>
      <c r="U41" s="371">
        <v>111.4</v>
      </c>
      <c r="W41" s="133">
        <v>42621</v>
      </c>
      <c r="X41" s="10">
        <v>107.25</v>
      </c>
      <c r="Y41" s="10">
        <v>107.27</v>
      </c>
      <c r="Z41" s="10">
        <v>105.24</v>
      </c>
      <c r="AA41" s="10">
        <v>105.52</v>
      </c>
      <c r="AB41" s="95">
        <v>53002000</v>
      </c>
      <c r="AC41" s="10">
        <v>105.52</v>
      </c>
      <c r="AD41" s="2">
        <f t="shared" si="0"/>
        <v>2.0300000000000011</v>
      </c>
      <c r="AE41" s="138">
        <f t="shared" si="1"/>
        <v>-2.6208933185677408E-2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588" t="s">
        <v>78</v>
      </c>
      <c r="P42" s="588"/>
      <c r="T42" s="108" t="s">
        <v>100</v>
      </c>
      <c r="U42" s="371" t="s">
        <v>580</v>
      </c>
      <c r="W42" s="133">
        <v>42620</v>
      </c>
      <c r="X42" s="10">
        <v>107.83</v>
      </c>
      <c r="Y42" s="10">
        <v>108.76</v>
      </c>
      <c r="Z42" s="10">
        <v>107.07</v>
      </c>
      <c r="AA42" s="10">
        <v>108.36</v>
      </c>
      <c r="AB42" s="95">
        <v>42364300</v>
      </c>
      <c r="AC42" s="10">
        <v>108.36</v>
      </c>
      <c r="AD42" s="2">
        <f t="shared" si="0"/>
        <v>1.6900000000000119</v>
      </c>
      <c r="AE42" s="138">
        <f t="shared" si="1"/>
        <v>6.1281337047354167E-3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122.74900000000001</v>
      </c>
      <c r="Q43" s="2"/>
      <c r="T43" s="108" t="s">
        <v>101</v>
      </c>
      <c r="U43" s="371" t="s">
        <v>581</v>
      </c>
      <c r="W43" s="133">
        <v>42619</v>
      </c>
      <c r="X43" s="10">
        <v>107.9</v>
      </c>
      <c r="Y43" s="10">
        <v>108.3</v>
      </c>
      <c r="Z43" s="10">
        <v>107.51</v>
      </c>
      <c r="AA43" s="10">
        <v>107.7</v>
      </c>
      <c r="AB43" s="95">
        <v>26880400</v>
      </c>
      <c r="AC43" s="10">
        <v>107.7</v>
      </c>
      <c r="AD43" s="2">
        <f t="shared" si="0"/>
        <v>0.78999999999999204</v>
      </c>
      <c r="AE43" s="138">
        <f t="shared" si="1"/>
        <v>-2.784739626845445E-4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121.63310000000001</v>
      </c>
      <c r="Q44" s="2"/>
      <c r="T44" s="108" t="s">
        <v>102</v>
      </c>
      <c r="U44" s="371">
        <v>130.61000000000001</v>
      </c>
      <c r="W44" s="133">
        <v>42615</v>
      </c>
      <c r="X44" s="10">
        <v>107.7</v>
      </c>
      <c r="Y44" s="10">
        <v>108</v>
      </c>
      <c r="Z44" s="10">
        <v>106.82</v>
      </c>
      <c r="AA44" s="10">
        <v>107.73</v>
      </c>
      <c r="AB44" s="95">
        <v>26802500</v>
      </c>
      <c r="AC44" s="10">
        <v>107.73</v>
      </c>
      <c r="AD44" s="2">
        <f t="shared" si="0"/>
        <v>1.1800000000000068</v>
      </c>
      <c r="AE44" s="138">
        <f t="shared" si="1"/>
        <v>9.3694368968424424E-3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120.51720000000002</v>
      </c>
      <c r="Q45" s="2"/>
      <c r="T45" s="108" t="s">
        <v>103</v>
      </c>
      <c r="U45" s="371">
        <v>1.5461</v>
      </c>
      <c r="W45" s="133">
        <v>42614</v>
      </c>
      <c r="X45" s="10">
        <v>106.14</v>
      </c>
      <c r="Y45" s="10">
        <v>106.8</v>
      </c>
      <c r="Z45" s="10">
        <v>105.62</v>
      </c>
      <c r="AA45" s="10">
        <v>106.73</v>
      </c>
      <c r="AB45" s="95">
        <v>26701500</v>
      </c>
      <c r="AC45" s="10">
        <v>106.73</v>
      </c>
      <c r="AD45" s="2">
        <f t="shared" si="0"/>
        <v>1.1799999999999926</v>
      </c>
      <c r="AE45" s="138">
        <f t="shared" si="1"/>
        <v>5.9377945334591065E-3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119.40130000000001</v>
      </c>
      <c r="Q46" s="2"/>
      <c r="T46" s="108" t="s">
        <v>122</v>
      </c>
      <c r="U46" s="371" t="s">
        <v>405</v>
      </c>
      <c r="W46" s="133">
        <v>42613</v>
      </c>
      <c r="X46" s="10">
        <v>105.66</v>
      </c>
      <c r="Y46" s="10">
        <v>106.57</v>
      </c>
      <c r="Z46" s="10">
        <v>105.64</v>
      </c>
      <c r="AA46" s="10">
        <v>106.1</v>
      </c>
      <c r="AB46" s="95">
        <v>29662400</v>
      </c>
      <c r="AC46" s="10">
        <v>106.1</v>
      </c>
      <c r="AD46" s="2">
        <f t="shared" si="0"/>
        <v>0.92999999999999261</v>
      </c>
      <c r="AE46" s="138">
        <f t="shared" si="1"/>
        <v>9.4339622641514964E-4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118.28540000000001</v>
      </c>
      <c r="Q47" s="2"/>
      <c r="T47" s="108"/>
      <c r="U47" s="371"/>
      <c r="W47" s="133">
        <v>42612</v>
      </c>
      <c r="X47" s="10">
        <v>105.8</v>
      </c>
      <c r="Y47" s="10">
        <v>106.5</v>
      </c>
      <c r="Z47" s="10">
        <v>105.5</v>
      </c>
      <c r="AA47" s="10">
        <v>106</v>
      </c>
      <c r="AB47" s="95">
        <v>24863900</v>
      </c>
      <c r="AC47" s="10">
        <v>106</v>
      </c>
      <c r="AD47" s="2">
        <f t="shared" si="0"/>
        <v>1</v>
      </c>
      <c r="AE47" s="138">
        <f t="shared" si="1"/>
        <v>-7.6764650814453717E-3</v>
      </c>
    </row>
    <row r="48" spans="2:31" x14ac:dyDescent="0.25">
      <c r="O48" s="83">
        <v>1.05</v>
      </c>
      <c r="P48" s="83">
        <f t="shared" si="25"/>
        <v>117.16950000000001</v>
      </c>
      <c r="Q48" s="2"/>
      <c r="T48" s="108" t="s">
        <v>105</v>
      </c>
      <c r="U48" s="371" t="s">
        <v>582</v>
      </c>
      <c r="W48" s="133">
        <v>42611</v>
      </c>
      <c r="X48" s="10">
        <v>106.62</v>
      </c>
      <c r="Y48" s="10">
        <v>107.44</v>
      </c>
      <c r="Z48" s="10">
        <v>106.29</v>
      </c>
      <c r="AA48" s="10">
        <v>106.82</v>
      </c>
      <c r="AB48" s="95">
        <v>24970300</v>
      </c>
      <c r="AC48" s="10">
        <v>106.82</v>
      </c>
      <c r="AD48" s="2">
        <f t="shared" si="0"/>
        <v>1.1499999999999915</v>
      </c>
      <c r="AE48" s="138">
        <f t="shared" si="1"/>
        <v>-1.1221245558257209E-3</v>
      </c>
    </row>
    <row r="49" spans="1:31" x14ac:dyDescent="0.25">
      <c r="O49" s="83">
        <v>1.04</v>
      </c>
      <c r="P49" s="83">
        <f t="shared" si="25"/>
        <v>116.0536</v>
      </c>
      <c r="Q49" s="2"/>
      <c r="T49" s="108" t="s">
        <v>106</v>
      </c>
      <c r="U49" s="371" t="s">
        <v>583</v>
      </c>
      <c r="W49" s="133">
        <v>42608</v>
      </c>
      <c r="X49" s="10">
        <v>107.41</v>
      </c>
      <c r="Y49" s="10">
        <v>107.95</v>
      </c>
      <c r="Z49" s="10">
        <v>106.31</v>
      </c>
      <c r="AA49" s="10">
        <v>106.94</v>
      </c>
      <c r="AB49" s="95">
        <v>27766300</v>
      </c>
      <c r="AC49" s="10">
        <v>106.94</v>
      </c>
      <c r="AD49" s="2">
        <f t="shared" si="0"/>
        <v>1.6400000000000006</v>
      </c>
      <c r="AE49" s="138">
        <f t="shared" si="1"/>
        <v>-5.8566514827553817E-3</v>
      </c>
    </row>
    <row r="50" spans="1:31" x14ac:dyDescent="0.25">
      <c r="O50" s="83">
        <v>1.03</v>
      </c>
      <c r="P50" s="83">
        <f t="shared" si="25"/>
        <v>114.93770000000001</v>
      </c>
      <c r="Q50" s="2"/>
      <c r="T50" s="108" t="s">
        <v>107</v>
      </c>
      <c r="U50" s="372">
        <v>28331709</v>
      </c>
      <c r="W50" s="133">
        <v>42607</v>
      </c>
      <c r="X50" s="10">
        <v>107.39</v>
      </c>
      <c r="Y50" s="10">
        <v>107.88</v>
      </c>
      <c r="Z50" s="10">
        <v>106.68</v>
      </c>
      <c r="AA50" s="10">
        <v>107.57</v>
      </c>
      <c r="AB50" s="95">
        <v>25086200</v>
      </c>
      <c r="AC50" s="10">
        <v>107.57</v>
      </c>
      <c r="AD50" s="2">
        <f t="shared" si="0"/>
        <v>1.1999999999999886</v>
      </c>
      <c r="AE50" s="138">
        <f t="shared" si="1"/>
        <v>-4.2580764602425658E-3</v>
      </c>
    </row>
    <row r="51" spans="1:31" x14ac:dyDescent="0.25">
      <c r="O51" s="83">
        <v>1.02</v>
      </c>
      <c r="P51" s="83">
        <f t="shared" si="25"/>
        <v>113.82180000000001</v>
      </c>
      <c r="Q51" s="2"/>
      <c r="T51" s="108" t="s">
        <v>110</v>
      </c>
      <c r="U51" s="372">
        <v>35264100</v>
      </c>
      <c r="W51" s="133">
        <v>42606</v>
      </c>
      <c r="X51" s="10">
        <v>108.57</v>
      </c>
      <c r="Y51" s="10">
        <v>108.75</v>
      </c>
      <c r="Z51" s="10">
        <v>107.68</v>
      </c>
      <c r="AA51" s="10">
        <v>108.03</v>
      </c>
      <c r="AB51" s="95">
        <v>23675100</v>
      </c>
      <c r="AC51" s="10">
        <v>108.03</v>
      </c>
      <c r="AD51" s="2">
        <f t="shared" si="0"/>
        <v>1.0699999999999932</v>
      </c>
      <c r="AE51" s="138">
        <f t="shared" si="1"/>
        <v>-7.5333027101515126E-3</v>
      </c>
    </row>
    <row r="52" spans="1:31" x14ac:dyDescent="0.25">
      <c r="O52" s="83">
        <v>1.01</v>
      </c>
      <c r="P52" s="83">
        <f t="shared" si="25"/>
        <v>112.7059</v>
      </c>
      <c r="Q52" s="2"/>
      <c r="T52" s="108" t="s">
        <v>108</v>
      </c>
      <c r="U52" s="371" t="s">
        <v>584</v>
      </c>
      <c r="W52" s="133">
        <v>42605</v>
      </c>
      <c r="X52" s="10">
        <v>108.59</v>
      </c>
      <c r="Y52" s="10">
        <v>109.32</v>
      </c>
      <c r="Z52" s="10">
        <v>108.53</v>
      </c>
      <c r="AA52" s="10">
        <v>108.85</v>
      </c>
      <c r="AB52" s="95">
        <v>21257700</v>
      </c>
      <c r="AC52" s="10">
        <v>108.85</v>
      </c>
      <c r="AD52" s="2">
        <f t="shared" si="0"/>
        <v>0.78999999999999204</v>
      </c>
      <c r="AE52" s="138">
        <f t="shared" si="1"/>
        <v>3.1333517648142184E-3</v>
      </c>
    </row>
    <row r="53" spans="1:31" x14ac:dyDescent="0.25">
      <c r="O53" s="83">
        <v>1</v>
      </c>
      <c r="P53" s="83">
        <f t="shared" si="25"/>
        <v>111.59</v>
      </c>
      <c r="Q53" s="2"/>
      <c r="T53" s="108" t="s">
        <v>111</v>
      </c>
      <c r="U53" s="371">
        <v>13.43</v>
      </c>
      <c r="W53" s="133">
        <v>42604</v>
      </c>
      <c r="X53" s="10">
        <v>108.86</v>
      </c>
      <c r="Y53" s="10">
        <v>109.1</v>
      </c>
      <c r="Z53" s="10">
        <v>107.85</v>
      </c>
      <c r="AA53" s="10">
        <v>108.51</v>
      </c>
      <c r="AB53" s="95">
        <v>25820200</v>
      </c>
      <c r="AC53" s="10">
        <v>108.51</v>
      </c>
      <c r="AD53" s="2">
        <f t="shared" si="0"/>
        <v>1.25</v>
      </c>
      <c r="AE53" s="138">
        <f t="shared" si="1"/>
        <v>-7.7724945135332346E-3</v>
      </c>
    </row>
    <row r="54" spans="1:31" x14ac:dyDescent="0.25">
      <c r="O54" s="83">
        <v>0.99</v>
      </c>
      <c r="P54" s="83">
        <f t="shared" si="25"/>
        <v>110.47410000000001</v>
      </c>
      <c r="Q54" s="2"/>
      <c r="T54" s="108" t="s">
        <v>112</v>
      </c>
      <c r="U54" s="371">
        <v>8.31</v>
      </c>
      <c r="W54" s="133">
        <v>42601</v>
      </c>
      <c r="X54" s="10">
        <v>108.77</v>
      </c>
      <c r="Y54" s="10">
        <v>109.69</v>
      </c>
      <c r="Z54" s="10">
        <v>108.36</v>
      </c>
      <c r="AA54" s="10">
        <v>109.36</v>
      </c>
      <c r="AB54" s="95">
        <v>25368100</v>
      </c>
      <c r="AC54" s="10">
        <v>109.36</v>
      </c>
      <c r="AD54" s="2">
        <f t="shared" si="0"/>
        <v>1.3299999999999983</v>
      </c>
      <c r="AE54" s="138">
        <f t="shared" si="1"/>
        <v>2.5669233590026597E-3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109.3582</v>
      </c>
      <c r="Q55" s="2"/>
      <c r="T55" s="108" t="s">
        <v>109</v>
      </c>
      <c r="U55" s="371" t="s">
        <v>443</v>
      </c>
      <c r="W55" s="133">
        <v>42600</v>
      </c>
      <c r="X55" s="10">
        <v>109.23</v>
      </c>
      <c r="Y55" s="10">
        <v>109.6</v>
      </c>
      <c r="Z55" s="10">
        <v>109.02</v>
      </c>
      <c r="AA55" s="10">
        <v>109.08</v>
      </c>
      <c r="AB55" s="95">
        <v>21984700</v>
      </c>
      <c r="AC55" s="10">
        <v>109.08</v>
      </c>
      <c r="AD55" s="2">
        <f t="shared" si="0"/>
        <v>0.57999999999999829</v>
      </c>
      <c r="AE55" s="138">
        <f t="shared" si="1"/>
        <v>-1.281816517121448E-3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108.2423</v>
      </c>
      <c r="W56" s="133">
        <v>42599</v>
      </c>
      <c r="X56" s="10">
        <v>109.1</v>
      </c>
      <c r="Y56" s="10">
        <v>109.37</v>
      </c>
      <c r="Z56" s="10">
        <v>108.34</v>
      </c>
      <c r="AA56" s="10">
        <v>109.22</v>
      </c>
      <c r="AB56" s="95">
        <v>25356000</v>
      </c>
      <c r="AC56" s="10">
        <v>109.22</v>
      </c>
      <c r="AD56" s="2">
        <f t="shared" si="0"/>
        <v>1.0300000000000011</v>
      </c>
      <c r="AE56" s="138">
        <f t="shared" si="1"/>
        <v>-1.4627902724446695E-3</v>
      </c>
    </row>
    <row r="57" spans="1:31" x14ac:dyDescent="0.25">
      <c r="A57" s="265" t="s">
        <v>212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107.1264</v>
      </c>
      <c r="W57" s="133">
        <v>42598</v>
      </c>
      <c r="X57" s="10">
        <v>109.63</v>
      </c>
      <c r="Y57" s="10">
        <v>110.23</v>
      </c>
      <c r="Z57" s="10">
        <v>109.21</v>
      </c>
      <c r="AA57" s="10">
        <v>109.38</v>
      </c>
      <c r="AB57" s="95">
        <v>33794400</v>
      </c>
      <c r="AC57" s="10">
        <v>109.38</v>
      </c>
      <c r="AD57" s="2">
        <f t="shared" si="0"/>
        <v>1.0200000000000102</v>
      </c>
      <c r="AE57" s="138">
        <f t="shared" si="1"/>
        <v>-9.1340884179769155E-4</v>
      </c>
    </row>
    <row r="58" spans="1:31" x14ac:dyDescent="0.25">
      <c r="A58" s="268" t="s">
        <v>71</v>
      </c>
      <c r="B58" s="482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106.01049999999999</v>
      </c>
      <c r="W58" s="133">
        <v>42597</v>
      </c>
      <c r="X58" s="10">
        <v>108.14</v>
      </c>
      <c r="Y58" s="10">
        <v>109.54</v>
      </c>
      <c r="Z58" s="10">
        <v>108.08</v>
      </c>
      <c r="AA58" s="10">
        <v>109.48</v>
      </c>
      <c r="AB58" s="95">
        <v>25868200</v>
      </c>
      <c r="AC58" s="10">
        <v>109.48</v>
      </c>
      <c r="AD58" s="2">
        <f t="shared" si="0"/>
        <v>1.460000000000008</v>
      </c>
      <c r="AE58" s="138">
        <f t="shared" si="1"/>
        <v>1.2017008689221731E-2</v>
      </c>
    </row>
    <row r="59" spans="1:31" x14ac:dyDescent="0.25">
      <c r="A59" s="261"/>
      <c r="B59" s="482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104.8946</v>
      </c>
      <c r="W59" s="133">
        <v>42594</v>
      </c>
      <c r="X59" s="10">
        <v>107.78</v>
      </c>
      <c r="Y59" s="10">
        <v>108.44</v>
      </c>
      <c r="Z59" s="10">
        <v>107.78</v>
      </c>
      <c r="AA59" s="10">
        <v>108.18</v>
      </c>
      <c r="AB59" s="95">
        <v>18660400</v>
      </c>
      <c r="AC59" s="10">
        <v>108.18</v>
      </c>
      <c r="AD59" s="2">
        <f t="shared" si="0"/>
        <v>0.65999999999999659</v>
      </c>
      <c r="AE59" s="138">
        <f t="shared" si="1"/>
        <v>2.316316130825502E-3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103.77870000000001</v>
      </c>
      <c r="W60" s="133">
        <v>42593</v>
      </c>
      <c r="X60" s="10">
        <v>108.52</v>
      </c>
      <c r="Y60" s="10">
        <v>108.93</v>
      </c>
      <c r="Z60" s="10">
        <v>107.85</v>
      </c>
      <c r="AA60" s="10">
        <v>107.93</v>
      </c>
      <c r="AB60" s="95">
        <v>27484500</v>
      </c>
      <c r="AC60" s="10">
        <v>107.93</v>
      </c>
      <c r="AD60" s="2">
        <f t="shared" si="0"/>
        <v>1.0800000000000125</v>
      </c>
      <c r="AE60" s="138">
        <f t="shared" si="1"/>
        <v>-6.4814814814806443E-4</v>
      </c>
    </row>
    <row r="61" spans="1:31" x14ac:dyDescent="0.25">
      <c r="A61" s="261"/>
      <c r="B61" s="483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102.6628</v>
      </c>
      <c r="W61" s="133">
        <v>42592</v>
      </c>
      <c r="X61" s="10">
        <v>108.71</v>
      </c>
      <c r="Y61" s="10">
        <v>108.9</v>
      </c>
      <c r="Z61" s="10">
        <v>107.76</v>
      </c>
      <c r="AA61" s="10">
        <v>108</v>
      </c>
      <c r="AB61" s="95">
        <v>24008500</v>
      </c>
      <c r="AC61" s="10">
        <v>108</v>
      </c>
      <c r="AD61" s="2">
        <f t="shared" si="0"/>
        <v>1.1400000000000006</v>
      </c>
      <c r="AE61" s="138">
        <f t="shared" si="1"/>
        <v>-7.4441687344913854E-3</v>
      </c>
    </row>
    <row r="62" spans="1:31" x14ac:dyDescent="0.25">
      <c r="A62" s="261"/>
      <c r="B62" s="483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101.54690000000001</v>
      </c>
      <c r="W62" s="133">
        <v>42591</v>
      </c>
      <c r="X62" s="10">
        <v>108.23</v>
      </c>
      <c r="Y62" s="10">
        <v>108.94</v>
      </c>
      <c r="Z62" s="10">
        <v>108.01</v>
      </c>
      <c r="AA62" s="10">
        <v>108.81</v>
      </c>
      <c r="AB62" s="95">
        <v>26315200</v>
      </c>
      <c r="AC62" s="10">
        <v>108.81</v>
      </c>
      <c r="AD62" s="2">
        <f t="shared" si="0"/>
        <v>0.92999999999999261</v>
      </c>
      <c r="AE62" s="138">
        <f t="shared" si="1"/>
        <v>4.0601642520992076E-3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100.43100000000001</v>
      </c>
      <c r="W63" s="133">
        <v>42590</v>
      </c>
      <c r="X63" s="10">
        <v>107.52</v>
      </c>
      <c r="Y63" s="10">
        <v>108.37</v>
      </c>
      <c r="Z63" s="10">
        <v>107.16</v>
      </c>
      <c r="AA63" s="10">
        <v>108.37</v>
      </c>
      <c r="AB63" s="95">
        <v>28037200</v>
      </c>
      <c r="AC63" s="10">
        <v>108.37</v>
      </c>
      <c r="AD63" s="2">
        <f t="shared" si="0"/>
        <v>1.210000000000008</v>
      </c>
      <c r="AE63" s="138">
        <f t="shared" si="1"/>
        <v>8.2806103461108282E-3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42587</v>
      </c>
      <c r="X64" s="10">
        <v>106.27</v>
      </c>
      <c r="Y64" s="10">
        <v>107.65</v>
      </c>
      <c r="Z64" s="10">
        <v>106.18</v>
      </c>
      <c r="AA64" s="10">
        <v>107.48</v>
      </c>
      <c r="AB64" s="95">
        <v>40553400</v>
      </c>
      <c r="AC64" s="10">
        <v>107.48</v>
      </c>
      <c r="AD64" s="2">
        <f t="shared" si="0"/>
        <v>1.4699999999999989</v>
      </c>
      <c r="AE64" s="138">
        <f t="shared" si="1"/>
        <v>1.5207329744025611E-2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42586</v>
      </c>
      <c r="X65" s="10">
        <v>105.58</v>
      </c>
      <c r="Y65" s="10">
        <v>106</v>
      </c>
      <c r="Z65" s="10">
        <v>105.28</v>
      </c>
      <c r="AA65" s="10">
        <v>105.87</v>
      </c>
      <c r="AB65" s="95">
        <v>27408700</v>
      </c>
      <c r="AC65" s="10">
        <v>105.87</v>
      </c>
      <c r="AD65" s="2">
        <f t="shared" si="0"/>
        <v>0.71999999999999886</v>
      </c>
      <c r="AE65" s="138" t="e">
        <f t="shared" si="1"/>
        <v>#DIV/0!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42586</v>
      </c>
      <c r="X66" s="10" t="s">
        <v>215</v>
      </c>
      <c r="Y66" s="10"/>
      <c r="Z66" s="10"/>
      <c r="AA66" s="10"/>
      <c r="AB66" s="95"/>
      <c r="AC66" s="10"/>
      <c r="AD66" s="2">
        <f t="shared" si="0"/>
        <v>0</v>
      </c>
      <c r="AE66" s="138">
        <f t="shared" si="1"/>
        <v>-1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42585</v>
      </c>
      <c r="X67" s="10">
        <v>104.81</v>
      </c>
      <c r="Y67" s="10">
        <v>105.84</v>
      </c>
      <c r="Z67" s="10">
        <v>104.77</v>
      </c>
      <c r="AA67" s="10">
        <v>105.79</v>
      </c>
      <c r="AB67" s="95">
        <v>30202600</v>
      </c>
      <c r="AC67" s="10">
        <v>105.22</v>
      </c>
      <c r="AD67" s="2">
        <f>Y67-Z67</f>
        <v>1.0700000000000074</v>
      </c>
      <c r="AE67" s="138">
        <f>AC67/AC68-1</f>
        <v>1.2509622786758934E-2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42584</v>
      </c>
      <c r="X68" s="10">
        <v>106.05</v>
      </c>
      <c r="Y68" s="10">
        <v>106.07</v>
      </c>
      <c r="Z68" s="10">
        <v>104</v>
      </c>
      <c r="AA68" s="10">
        <v>104.48</v>
      </c>
      <c r="AB68" s="95">
        <v>33816600</v>
      </c>
      <c r="AC68" s="10">
        <v>103.92</v>
      </c>
      <c r="AD68" s="2">
        <f>Y68-Z68</f>
        <v>2.0699999999999932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84"/>
      <c r="B74" s="485"/>
      <c r="C74" s="486"/>
      <c r="D74" s="486"/>
      <c r="E74" s="486"/>
      <c r="F74" s="487"/>
      <c r="G74" s="486"/>
      <c r="H74" s="486"/>
      <c r="I74" s="486"/>
      <c r="J74" s="486"/>
      <c r="K74" s="487"/>
      <c r="L74" s="486"/>
      <c r="M74" s="487"/>
    </row>
  </sheetData>
  <mergeCells count="1">
    <mergeCell ref="O42:P42"/>
  </mergeCells>
  <conditionalFormatting sqref="N19">
    <cfRule type="expression" dxfId="769" priority="35">
      <formula>N19&gt;0</formula>
    </cfRule>
    <cfRule type="expression" dxfId="768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767" priority="21">
      <formula>F25&gt;0</formula>
    </cfRule>
    <cfRule type="expression" dxfId="766" priority="22">
      <formula>F25&lt;0</formula>
    </cfRule>
  </conditionalFormatting>
  <conditionalFormatting sqref="H25:H47">
    <cfRule type="expression" dxfId="765" priority="19">
      <formula>H25&gt;0</formula>
    </cfRule>
    <cfRule type="expression" dxfId="764" priority="20">
      <formula>H25&lt;0</formula>
    </cfRule>
  </conditionalFormatting>
  <conditionalFormatting sqref="I25:I27">
    <cfRule type="expression" dxfId="763" priority="15">
      <formula>I25&gt;0</formula>
    </cfRule>
    <cfRule type="expression" dxfId="762" priority="16">
      <formula>I25&lt;0</formula>
    </cfRule>
  </conditionalFormatting>
  <conditionalFormatting sqref="Q7">
    <cfRule type="expression" dxfId="761" priority="5">
      <formula>Q7&gt;0</formula>
    </cfRule>
    <cfRule type="expression" dxfId="760" priority="6">
      <formula>Q7&lt;0</formula>
    </cfRule>
  </conditionalFormatting>
  <conditionalFormatting sqref="Q8">
    <cfRule type="expression" dxfId="759" priority="3">
      <formula>Q8&gt;0</formula>
    </cfRule>
    <cfRule type="expression" dxfId="758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8.4257812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280</v>
      </c>
      <c r="W2" s="133">
        <v>42676</v>
      </c>
      <c r="X2" s="10">
        <v>65.760000000000005</v>
      </c>
      <c r="Y2" s="10">
        <v>66.03</v>
      </c>
      <c r="Z2" s="10">
        <v>65.14</v>
      </c>
      <c r="AA2" s="10">
        <v>65.45</v>
      </c>
      <c r="AB2" s="95">
        <v>3574200</v>
      </c>
      <c r="AC2" s="10">
        <v>65.45</v>
      </c>
      <c r="AD2" s="2">
        <f>Y2-Z2</f>
        <v>0.89000000000000057</v>
      </c>
      <c r="AE2" s="138">
        <f>AC2/AC3-1</f>
        <v>-1.2075471698113183E-2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65.45</v>
      </c>
      <c r="T3" s="1">
        <v>42572</v>
      </c>
      <c r="U3" t="s">
        <v>271</v>
      </c>
      <c r="W3" s="133">
        <v>42675</v>
      </c>
      <c r="X3" s="10">
        <v>66.77</v>
      </c>
      <c r="Y3" s="10">
        <v>66.81</v>
      </c>
      <c r="Z3" s="10">
        <v>65.73</v>
      </c>
      <c r="AA3" s="10">
        <v>66.25</v>
      </c>
      <c r="AB3" s="95">
        <v>3712300</v>
      </c>
      <c r="AC3" s="10">
        <v>66.25</v>
      </c>
      <c r="AD3" s="2">
        <f t="shared" ref="AD3:AD66" si="0">Y3-Z3</f>
        <v>1.0799999999999983</v>
      </c>
      <c r="AE3" s="138">
        <f t="shared" ref="AE3:AE66" si="1">AC3/AC4-1</f>
        <v>-2.5594700391448066E-3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65.45</v>
      </c>
      <c r="R4" s="527">
        <v>-1.21E-2</v>
      </c>
      <c r="T4" s="163"/>
      <c r="U4" s="1"/>
      <c r="W4" s="133">
        <v>42674</v>
      </c>
      <c r="X4" s="10">
        <v>66.81</v>
      </c>
      <c r="Y4" s="10">
        <v>66.83</v>
      </c>
      <c r="Z4" s="10">
        <v>66.31</v>
      </c>
      <c r="AA4" s="10">
        <v>66.42</v>
      </c>
      <c r="AB4" s="95">
        <v>3233400</v>
      </c>
      <c r="AC4" s="10">
        <v>66.42</v>
      </c>
      <c r="AD4" s="2">
        <f t="shared" si="0"/>
        <v>0.51999999999999602</v>
      </c>
      <c r="AE4" s="138">
        <f t="shared" si="1"/>
        <v>-4.5146726862299591E-4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42671</v>
      </c>
      <c r="X5" s="10">
        <v>67.150000000000006</v>
      </c>
      <c r="Y5" s="10">
        <v>67.22</v>
      </c>
      <c r="Z5" s="10">
        <v>66.3</v>
      </c>
      <c r="AA5" s="10">
        <v>66.45</v>
      </c>
      <c r="AB5" s="95">
        <v>4994500</v>
      </c>
      <c r="AC5" s="10">
        <v>66.45</v>
      </c>
      <c r="AD5" s="2">
        <f t="shared" si="0"/>
        <v>0.92000000000000171</v>
      </c>
      <c r="AE5" s="138">
        <f t="shared" si="1"/>
        <v>-7.1716718960108672E-3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42670</v>
      </c>
      <c r="X6" s="10">
        <v>67</v>
      </c>
      <c r="Y6" s="10">
        <v>67.22</v>
      </c>
      <c r="Z6" s="10">
        <v>66.430000000000007</v>
      </c>
      <c r="AA6" s="10">
        <v>66.930000000000007</v>
      </c>
      <c r="AB6" s="95">
        <v>4751300</v>
      </c>
      <c r="AC6" s="10">
        <v>66.930000000000007</v>
      </c>
      <c r="AD6" s="2">
        <f t="shared" si="0"/>
        <v>0.78999999999999204</v>
      </c>
      <c r="AE6" s="138">
        <f t="shared" si="1"/>
        <v>1.9461077844313834E-3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231.53999999999996</v>
      </c>
      <c r="R7">
        <v>0</v>
      </c>
      <c r="W7" s="133">
        <v>42669</v>
      </c>
      <c r="X7" s="10">
        <v>66.5</v>
      </c>
      <c r="Y7" s="10">
        <v>67.069999999999993</v>
      </c>
      <c r="Z7" s="10">
        <v>66.14</v>
      </c>
      <c r="AA7" s="10">
        <v>66.8</v>
      </c>
      <c r="AB7" s="95">
        <v>3621800</v>
      </c>
      <c r="AC7" s="10">
        <v>66.8</v>
      </c>
      <c r="AD7" s="2">
        <f t="shared" si="0"/>
        <v>0.92999999999999261</v>
      </c>
      <c r="AE7" s="138">
        <f t="shared" si="1"/>
        <v>8.9901108780354733E-4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42668</v>
      </c>
      <c r="X8" s="10">
        <v>66.930000000000007</v>
      </c>
      <c r="Y8" s="10">
        <v>67.38</v>
      </c>
      <c r="Z8" s="10">
        <v>66.61</v>
      </c>
      <c r="AA8" s="10">
        <v>66.739999999999995</v>
      </c>
      <c r="AB8" s="95">
        <v>3882300</v>
      </c>
      <c r="AC8" s="10">
        <v>66.739999999999995</v>
      </c>
      <c r="AD8" s="2">
        <f t="shared" si="0"/>
        <v>0.76999999999999602</v>
      </c>
      <c r="AE8" s="138">
        <f t="shared" si="1"/>
        <v>-5.2168728573559475E-3</v>
      </c>
    </row>
    <row r="9" spans="1:31" x14ac:dyDescent="0.25">
      <c r="H9" s="72"/>
      <c r="O9" s="11" t="s">
        <v>219</v>
      </c>
      <c r="Q9" s="138">
        <f>IF(Q2=0, 0, Q8/Q6)</f>
        <v>0</v>
      </c>
      <c r="W9" s="133">
        <v>42667</v>
      </c>
      <c r="X9" s="10">
        <v>67.69</v>
      </c>
      <c r="Y9" s="10">
        <v>67.930000000000007</v>
      </c>
      <c r="Z9" s="10">
        <v>67.069999999999993</v>
      </c>
      <c r="AA9" s="10">
        <v>67.09</v>
      </c>
      <c r="AB9" s="95">
        <v>5174000</v>
      </c>
      <c r="AC9" s="10">
        <v>67.09</v>
      </c>
      <c r="AD9" s="2">
        <f t="shared" si="0"/>
        <v>0.86000000000001364</v>
      </c>
      <c r="AE9" s="138">
        <f t="shared" si="1"/>
        <v>-4.0083135391922875E-3</v>
      </c>
    </row>
    <row r="10" spans="1:31" x14ac:dyDescent="0.25">
      <c r="H10" s="72"/>
      <c r="O10" s="11" t="s">
        <v>218</v>
      </c>
      <c r="P10" s="34"/>
      <c r="Q10" s="2">
        <f>M48</f>
        <v>231.53999999999996</v>
      </c>
      <c r="W10" s="133">
        <v>42664</v>
      </c>
      <c r="X10" s="10">
        <v>66.45</v>
      </c>
      <c r="Y10" s="10">
        <v>67.59</v>
      </c>
      <c r="Z10" s="10">
        <v>66.400000000000006</v>
      </c>
      <c r="AA10" s="10">
        <v>67.36</v>
      </c>
      <c r="AB10" s="95">
        <v>8561200</v>
      </c>
      <c r="AC10" s="10">
        <v>67.36</v>
      </c>
      <c r="AD10" s="2">
        <f t="shared" si="0"/>
        <v>1.1899999999999977</v>
      </c>
      <c r="AE10" s="138">
        <f t="shared" si="1"/>
        <v>8.6852351003294803E-3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1.9300000000000001E-2</v>
      </c>
      <c r="W11" s="133">
        <v>42663</v>
      </c>
      <c r="X11" s="10">
        <v>65.34</v>
      </c>
      <c r="Y11" s="10">
        <v>67.78</v>
      </c>
      <c r="Z11" s="10">
        <v>64.75</v>
      </c>
      <c r="AA11" s="10">
        <v>66.78</v>
      </c>
      <c r="AB11" s="95">
        <v>25870700</v>
      </c>
      <c r="AC11" s="10">
        <v>66.78</v>
      </c>
      <c r="AD11" s="2">
        <f t="shared" si="0"/>
        <v>3.0300000000000011</v>
      </c>
      <c r="AE11" s="138">
        <f t="shared" si="1"/>
        <v>9.0285714285714302E-2</v>
      </c>
    </row>
    <row r="12" spans="1:31" x14ac:dyDescent="0.25">
      <c r="H12" s="72"/>
      <c r="W12" s="133">
        <v>42662</v>
      </c>
      <c r="X12" s="10">
        <v>60.42</v>
      </c>
      <c r="Y12" s="10">
        <v>61.68</v>
      </c>
      <c r="Z12" s="10">
        <v>60.27</v>
      </c>
      <c r="AA12" s="10">
        <v>61.25</v>
      </c>
      <c r="AB12" s="95">
        <v>7888500</v>
      </c>
      <c r="AC12" s="10">
        <v>61.25</v>
      </c>
      <c r="AD12" s="2">
        <f t="shared" si="0"/>
        <v>1.4099999999999966</v>
      </c>
      <c r="AE12" s="138">
        <f t="shared" si="1"/>
        <v>1.9474034620506009E-2</v>
      </c>
    </row>
    <row r="13" spans="1:31" x14ac:dyDescent="0.25">
      <c r="H13" s="72"/>
      <c r="W13" s="133">
        <v>42661</v>
      </c>
      <c r="X13" s="10">
        <v>60.52</v>
      </c>
      <c r="Y13" s="10">
        <v>60.57</v>
      </c>
      <c r="Z13" s="10">
        <v>59.88</v>
      </c>
      <c r="AA13" s="10">
        <v>60.08</v>
      </c>
      <c r="AB13" s="95">
        <v>3416600</v>
      </c>
      <c r="AC13" s="10">
        <v>60.08</v>
      </c>
      <c r="AD13" s="2">
        <f t="shared" si="0"/>
        <v>0.68999999999999773</v>
      </c>
      <c r="AE13" s="138">
        <f t="shared" si="1"/>
        <v>3.0050083472454858E-3</v>
      </c>
    </row>
    <row r="14" spans="1:31" x14ac:dyDescent="0.25">
      <c r="H14" s="72"/>
      <c r="W14" s="133">
        <v>42660</v>
      </c>
      <c r="X14" s="10">
        <v>60.27</v>
      </c>
      <c r="Y14" s="10">
        <v>60.42</v>
      </c>
      <c r="Z14" s="10">
        <v>59.78</v>
      </c>
      <c r="AA14" s="10">
        <v>59.9</v>
      </c>
      <c r="AB14" s="95">
        <v>3903900</v>
      </c>
      <c r="AC14" s="10">
        <v>59.9</v>
      </c>
      <c r="AD14" s="2">
        <f t="shared" si="0"/>
        <v>0.64000000000000057</v>
      </c>
      <c r="AE14" s="138">
        <f t="shared" si="1"/>
        <v>-4.1562759767248547E-3</v>
      </c>
    </row>
    <row r="15" spans="1:31" x14ac:dyDescent="0.25">
      <c r="H15" s="72"/>
      <c r="W15" s="133">
        <v>42657</v>
      </c>
      <c r="X15" s="10">
        <v>61.01</v>
      </c>
      <c r="Y15" s="10">
        <v>61.2</v>
      </c>
      <c r="Z15" s="10">
        <v>60.1</v>
      </c>
      <c r="AA15" s="10">
        <v>60.15</v>
      </c>
      <c r="AB15" s="95">
        <v>4963800</v>
      </c>
      <c r="AC15" s="10">
        <v>60.15</v>
      </c>
      <c r="AD15" s="2">
        <f t="shared" si="0"/>
        <v>1.1000000000000014</v>
      </c>
      <c r="AE15" s="138">
        <f t="shared" si="1"/>
        <v>-4.3039231915245058E-3</v>
      </c>
    </row>
    <row r="16" spans="1:31" x14ac:dyDescent="0.25">
      <c r="H16" s="72"/>
      <c r="W16" s="133">
        <v>42656</v>
      </c>
      <c r="X16" s="10">
        <v>60.23</v>
      </c>
      <c r="Y16" s="10">
        <v>60.56</v>
      </c>
      <c r="Z16" s="10">
        <v>59.5</v>
      </c>
      <c r="AA16" s="10">
        <v>60.41</v>
      </c>
      <c r="AB16" s="95">
        <v>4220500</v>
      </c>
      <c r="AC16" s="10">
        <v>60.41</v>
      </c>
      <c r="AD16" s="2">
        <f t="shared" si="0"/>
        <v>1.0600000000000023</v>
      </c>
      <c r="AE16" s="138">
        <f t="shared" si="1"/>
        <v>-4.6136101499423265E-3</v>
      </c>
    </row>
    <row r="17" spans="1:31" x14ac:dyDescent="0.25">
      <c r="W17" s="133">
        <v>42655</v>
      </c>
      <c r="X17" s="10">
        <v>60.82</v>
      </c>
      <c r="Y17" s="10">
        <v>61.05</v>
      </c>
      <c r="Z17" s="10">
        <v>60.58</v>
      </c>
      <c r="AA17" s="10">
        <v>60.69</v>
      </c>
      <c r="AB17" s="95">
        <v>3293800</v>
      </c>
      <c r="AC17" s="10">
        <v>60.69</v>
      </c>
      <c r="AD17" s="2">
        <f t="shared" si="0"/>
        <v>0.46999999999999886</v>
      </c>
      <c r="AE17" s="138">
        <f t="shared" si="1"/>
        <v>-2.7932960893854997E-3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42654</v>
      </c>
      <c r="X18" s="10">
        <v>61.53</v>
      </c>
      <c r="Y18" s="10">
        <v>61.7</v>
      </c>
      <c r="Z18" s="10">
        <v>60.55</v>
      </c>
      <c r="AA18" s="10">
        <v>60.86</v>
      </c>
      <c r="AB18" s="95">
        <v>3926500</v>
      </c>
      <c r="AC18" s="10">
        <v>60.86</v>
      </c>
      <c r="AD18" s="2">
        <f t="shared" si="0"/>
        <v>1.1500000000000057</v>
      </c>
      <c r="AE18" s="138">
        <f t="shared" si="1"/>
        <v>-1.6801292407108259E-2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42653</v>
      </c>
      <c r="X19" s="10">
        <v>62.15</v>
      </c>
      <c r="Y19" s="10">
        <v>62.49</v>
      </c>
      <c r="Z19" s="10">
        <v>61.87</v>
      </c>
      <c r="AA19" s="10">
        <v>61.9</v>
      </c>
      <c r="AB19" s="95">
        <v>2522900</v>
      </c>
      <c r="AC19" s="10">
        <v>61.9</v>
      </c>
      <c r="AD19" s="2">
        <f t="shared" si="0"/>
        <v>0.62000000000000455</v>
      </c>
      <c r="AE19" s="138">
        <f t="shared" si="1"/>
        <v>2.26683937823835E-3</v>
      </c>
    </row>
    <row r="20" spans="1:31" x14ac:dyDescent="0.25">
      <c r="W20" s="133">
        <v>42650</v>
      </c>
      <c r="X20" s="10">
        <v>62.11</v>
      </c>
      <c r="Y20" s="10">
        <v>62.27</v>
      </c>
      <c r="Z20" s="10">
        <v>61.48</v>
      </c>
      <c r="AA20" s="10">
        <v>61.76</v>
      </c>
      <c r="AB20" s="95">
        <v>4217400</v>
      </c>
      <c r="AC20" s="10">
        <v>61.76</v>
      </c>
      <c r="AD20" s="2">
        <f t="shared" si="0"/>
        <v>0.79000000000000625</v>
      </c>
      <c r="AE20" s="138">
        <f t="shared" si="1"/>
        <v>-2.9060381013884529E-3</v>
      </c>
    </row>
    <row r="21" spans="1:31" x14ac:dyDescent="0.25">
      <c r="W21" s="133">
        <v>42649</v>
      </c>
      <c r="X21" s="10">
        <v>63.56</v>
      </c>
      <c r="Y21" s="10">
        <v>63.68</v>
      </c>
      <c r="Z21" s="10">
        <v>61.76</v>
      </c>
      <c r="AA21" s="10">
        <v>61.94</v>
      </c>
      <c r="AB21" s="95">
        <v>7975900</v>
      </c>
      <c r="AC21" s="10">
        <v>61.94</v>
      </c>
      <c r="AD21" s="2">
        <f t="shared" si="0"/>
        <v>1.9200000000000017</v>
      </c>
      <c r="AE21" s="138">
        <f t="shared" si="1"/>
        <v>-3.7600994406463695E-2</v>
      </c>
    </row>
    <row r="22" spans="1:31" x14ac:dyDescent="0.25">
      <c r="W22" s="133">
        <v>42648</v>
      </c>
      <c r="X22" s="10">
        <v>63.77</v>
      </c>
      <c r="Y22" s="10">
        <v>64.53</v>
      </c>
      <c r="Z22" s="10">
        <v>63.69</v>
      </c>
      <c r="AA22" s="10">
        <v>64.36</v>
      </c>
      <c r="AB22" s="95">
        <v>3345000</v>
      </c>
      <c r="AC22" s="10">
        <v>64.36</v>
      </c>
      <c r="AD22" s="2">
        <f t="shared" si="0"/>
        <v>0.84000000000000341</v>
      </c>
      <c r="AE22" s="138" t="e">
        <f t="shared" si="1"/>
        <v>#DIV/0!</v>
      </c>
    </row>
    <row r="23" spans="1:31" x14ac:dyDescent="0.25">
      <c r="W23" s="133">
        <v>42648</v>
      </c>
      <c r="X23" s="10" t="s">
        <v>369</v>
      </c>
      <c r="Y23" s="10"/>
      <c r="Z23" s="10"/>
      <c r="AA23" s="10"/>
      <c r="AB23" s="95"/>
      <c r="AC23" s="10"/>
      <c r="AD23" s="2">
        <f t="shared" si="0"/>
        <v>0</v>
      </c>
      <c r="AE23" s="138">
        <f t="shared" si="1"/>
        <v>-1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42647</v>
      </c>
      <c r="X24" s="10">
        <v>63.84</v>
      </c>
      <c r="Y24" s="10">
        <v>64.38</v>
      </c>
      <c r="Z24" s="10">
        <v>63.71</v>
      </c>
      <c r="AA24" s="10">
        <v>63.91</v>
      </c>
      <c r="AB24" s="95">
        <v>3709400</v>
      </c>
      <c r="AC24" s="10">
        <v>63.59</v>
      </c>
      <c r="AD24" s="2">
        <f t="shared" si="0"/>
        <v>0.6699999999999946</v>
      </c>
      <c r="AE24" s="138">
        <f t="shared" si="1"/>
        <v>1.5750511891636787E-3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42646</v>
      </c>
      <c r="X25" s="10">
        <v>63.83</v>
      </c>
      <c r="Y25" s="10">
        <v>64.05</v>
      </c>
      <c r="Z25" s="10">
        <v>63.54</v>
      </c>
      <c r="AA25" s="10">
        <v>63.81</v>
      </c>
      <c r="AB25" s="95">
        <v>2770000</v>
      </c>
      <c r="AC25" s="10">
        <v>63.49</v>
      </c>
      <c r="AD25" s="2">
        <f t="shared" si="0"/>
        <v>0.50999999999999801</v>
      </c>
      <c r="AE25" s="138">
        <f t="shared" si="1"/>
        <v>-3.6095417451349476E-3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42643</v>
      </c>
      <c r="X26" s="10">
        <v>63.78</v>
      </c>
      <c r="Y26" s="10">
        <v>64.37</v>
      </c>
      <c r="Z26" s="10">
        <v>63.63</v>
      </c>
      <c r="AA26" s="10">
        <v>64.040000000000006</v>
      </c>
      <c r="AB26" s="95">
        <v>4307000</v>
      </c>
      <c r="AC26" s="10">
        <v>63.72</v>
      </c>
      <c r="AD26" s="2">
        <f t="shared" si="0"/>
        <v>0.74000000000000199</v>
      </c>
      <c r="AE26" s="138">
        <f t="shared" si="1"/>
        <v>1.0626486915146671E-2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42642</v>
      </c>
      <c r="X27" s="10">
        <v>64.209999999999994</v>
      </c>
      <c r="Y27" s="10">
        <v>64.81</v>
      </c>
      <c r="Z27" s="10">
        <v>62.96</v>
      </c>
      <c r="AA27" s="10">
        <v>63.37</v>
      </c>
      <c r="AB27" s="95">
        <v>4132500</v>
      </c>
      <c r="AC27" s="10">
        <v>63.05</v>
      </c>
      <c r="AD27" s="2">
        <f t="shared" si="0"/>
        <v>1.8500000000000014</v>
      </c>
      <c r="AE27" s="138">
        <f t="shared" si="1"/>
        <v>-1.3302034428794962E-2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42641</v>
      </c>
      <c r="X28" s="10">
        <v>64.27</v>
      </c>
      <c r="Y28" s="10">
        <v>64.5</v>
      </c>
      <c r="Z28" s="10">
        <v>63.73</v>
      </c>
      <c r="AA28" s="10">
        <v>64.22</v>
      </c>
      <c r="AB28" s="95">
        <v>3580100</v>
      </c>
      <c r="AC28" s="10">
        <v>63.9</v>
      </c>
      <c r="AD28" s="2">
        <f t="shared" si="0"/>
        <v>0.77000000000000313</v>
      </c>
      <c r="AE28" s="138">
        <f t="shared" si="1"/>
        <v>-9.3808630393998893E-4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42640</v>
      </c>
      <c r="X29" s="10">
        <v>63.93</v>
      </c>
      <c r="Y29" s="10">
        <v>64.42</v>
      </c>
      <c r="Z29" s="10">
        <v>63.58</v>
      </c>
      <c r="AA29" s="10">
        <v>64.28</v>
      </c>
      <c r="AB29" s="95">
        <v>3916300</v>
      </c>
      <c r="AC29" s="10">
        <v>63.96</v>
      </c>
      <c r="AD29" s="2">
        <f t="shared" si="0"/>
        <v>0.84000000000000341</v>
      </c>
      <c r="AE29" s="138">
        <f t="shared" si="1"/>
        <v>1.3629160063391543E-2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42639</v>
      </c>
      <c r="X30" s="10">
        <v>63.44</v>
      </c>
      <c r="Y30" s="10">
        <v>64.13</v>
      </c>
      <c r="Z30" s="10">
        <v>62.85</v>
      </c>
      <c r="AA30" s="10">
        <v>63.42</v>
      </c>
      <c r="AB30" s="95">
        <v>6946600</v>
      </c>
      <c r="AC30" s="10">
        <v>63.1</v>
      </c>
      <c r="AD30" s="2">
        <f t="shared" si="0"/>
        <v>1.279999999999994</v>
      </c>
      <c r="AE30" s="138">
        <f t="shared" si="1"/>
        <v>-6.768455847631083E-3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42636</v>
      </c>
      <c r="X31" s="10">
        <v>64.510000000000005</v>
      </c>
      <c r="Y31" s="10">
        <v>64.83</v>
      </c>
      <c r="Z31" s="10">
        <v>63.79</v>
      </c>
      <c r="AA31" s="10">
        <v>63.85</v>
      </c>
      <c r="AB31" s="95">
        <v>5083900</v>
      </c>
      <c r="AC31" s="10">
        <v>63.53</v>
      </c>
      <c r="AD31" s="2">
        <f t="shared" si="0"/>
        <v>1.0399999999999991</v>
      </c>
      <c r="AE31" s="138">
        <f t="shared" si="1"/>
        <v>-1.2128751360597101E-2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279</v>
      </c>
      <c r="W32" s="133">
        <v>42635</v>
      </c>
      <c r="X32" s="10">
        <v>64.349999999999994</v>
      </c>
      <c r="Y32" s="10">
        <v>65.08</v>
      </c>
      <c r="Z32" s="10">
        <v>64.33</v>
      </c>
      <c r="AA32" s="10">
        <v>64.63</v>
      </c>
      <c r="AB32" s="95">
        <v>3213700</v>
      </c>
      <c r="AC32" s="10">
        <v>64.31</v>
      </c>
      <c r="AD32" s="2">
        <f t="shared" si="0"/>
        <v>0.75</v>
      </c>
      <c r="AE32" s="138">
        <f t="shared" si="1"/>
        <v>5.4721701063165096E-3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42634</v>
      </c>
      <c r="X33" s="10">
        <v>63.99</v>
      </c>
      <c r="Y33" s="10">
        <v>64.5</v>
      </c>
      <c r="Z33" s="10">
        <v>63.72</v>
      </c>
      <c r="AA33" s="10">
        <v>64.28</v>
      </c>
      <c r="AB33" s="95">
        <v>3849300</v>
      </c>
      <c r="AC33" s="10">
        <v>63.96</v>
      </c>
      <c r="AD33" s="2">
        <f t="shared" si="0"/>
        <v>0.78000000000000114</v>
      </c>
      <c r="AE33" s="138">
        <f t="shared" si="1"/>
        <v>8.8328075709780407E-3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42633</v>
      </c>
      <c r="X34" s="10">
        <v>64.52</v>
      </c>
      <c r="Y34" s="10">
        <v>64.64</v>
      </c>
      <c r="Z34" s="10">
        <v>63.7</v>
      </c>
      <c r="AA34" s="10">
        <v>63.72</v>
      </c>
      <c r="AB34" s="95">
        <v>2927600</v>
      </c>
      <c r="AC34" s="10">
        <v>63.4</v>
      </c>
      <c r="AD34" s="2">
        <f t="shared" si="0"/>
        <v>0.93999999999999773</v>
      </c>
      <c r="AE34" s="138">
        <f t="shared" si="1"/>
        <v>-5.3341700658927627E-3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42632</v>
      </c>
      <c r="X35" s="10">
        <v>63.96</v>
      </c>
      <c r="Y35" s="10">
        <v>64.58</v>
      </c>
      <c r="Z35" s="10">
        <v>63.67</v>
      </c>
      <c r="AA35" s="10">
        <v>64.06</v>
      </c>
      <c r="AB35" s="95">
        <v>3388600</v>
      </c>
      <c r="AC35" s="10">
        <v>63.74</v>
      </c>
      <c r="AD35" s="2">
        <f t="shared" si="0"/>
        <v>0.90999999999999659</v>
      </c>
      <c r="AE35" s="138">
        <f t="shared" si="1"/>
        <v>6.3151247237132058E-3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42629</v>
      </c>
      <c r="X36" s="10">
        <v>63.37</v>
      </c>
      <c r="Y36" s="10">
        <v>63.95</v>
      </c>
      <c r="Z36" s="10">
        <v>63.16</v>
      </c>
      <c r="AA36" s="10">
        <v>63.66</v>
      </c>
      <c r="AB36" s="95">
        <v>10475800</v>
      </c>
      <c r="AC36" s="10">
        <v>63.34</v>
      </c>
      <c r="AD36" s="2">
        <f t="shared" si="0"/>
        <v>0.79000000000000625</v>
      </c>
      <c r="AE36" s="138">
        <f t="shared" si="1"/>
        <v>-2.6767438198708193E-3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42628</v>
      </c>
      <c r="X37" s="10">
        <v>63.4</v>
      </c>
      <c r="Y37" s="10">
        <v>64.17</v>
      </c>
      <c r="Z37" s="10">
        <v>63.26</v>
      </c>
      <c r="AA37" s="10">
        <v>63.83</v>
      </c>
      <c r="AB37" s="95">
        <v>4634300</v>
      </c>
      <c r="AC37" s="10">
        <v>63.51</v>
      </c>
      <c r="AD37" s="2">
        <f t="shared" si="0"/>
        <v>0.91000000000000369</v>
      </c>
      <c r="AE37" s="138">
        <f t="shared" si="1"/>
        <v>5.5414819506016677E-3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42627</v>
      </c>
      <c r="X38" s="10">
        <v>64.36</v>
      </c>
      <c r="Y38" s="10">
        <v>64.36</v>
      </c>
      <c r="Z38" s="10">
        <v>63.34</v>
      </c>
      <c r="AA38" s="10">
        <v>63.48</v>
      </c>
      <c r="AB38" s="95">
        <v>5403300</v>
      </c>
      <c r="AC38" s="10">
        <v>63.16</v>
      </c>
      <c r="AD38" s="2">
        <f t="shared" si="0"/>
        <v>1.019999999999996</v>
      </c>
      <c r="AE38" s="138">
        <f t="shared" si="1"/>
        <v>-1.3741411617739008E-2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42626</v>
      </c>
      <c r="X39" s="10">
        <v>65.22</v>
      </c>
      <c r="Y39" s="10">
        <v>65.319999999999993</v>
      </c>
      <c r="Z39" s="10">
        <v>64.040000000000006</v>
      </c>
      <c r="AA39" s="10">
        <v>64.36</v>
      </c>
      <c r="AB39" s="95">
        <v>5620300</v>
      </c>
      <c r="AC39" s="10">
        <v>64.040000000000006</v>
      </c>
      <c r="AD39" s="2">
        <f t="shared" si="0"/>
        <v>1.2799999999999869</v>
      </c>
      <c r="AE39" s="138">
        <f t="shared" si="1"/>
        <v>-2.3333841695897362E-2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8" t="s">
        <v>78</v>
      </c>
      <c r="P40" s="588"/>
      <c r="W40" s="133">
        <v>42625</v>
      </c>
      <c r="X40" s="10">
        <v>64.72</v>
      </c>
      <c r="Y40" s="10">
        <v>66.09</v>
      </c>
      <c r="Z40" s="10">
        <v>64.14</v>
      </c>
      <c r="AA40" s="10">
        <v>65.900000000000006</v>
      </c>
      <c r="AB40" s="95">
        <v>4923200</v>
      </c>
      <c r="AC40" s="10">
        <v>65.569999999999993</v>
      </c>
      <c r="AD40" s="2">
        <f t="shared" si="0"/>
        <v>1.9500000000000028</v>
      </c>
      <c r="AE40" s="138">
        <f t="shared" si="1"/>
        <v>1.2038894891186702E-2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71.995000000000005</v>
      </c>
      <c r="Q41" s="2"/>
      <c r="W41" s="133">
        <v>42622</v>
      </c>
      <c r="X41" s="10">
        <v>65.739999999999995</v>
      </c>
      <c r="Y41" s="10">
        <v>66.02</v>
      </c>
      <c r="Z41" s="10">
        <v>65.12</v>
      </c>
      <c r="AA41" s="10">
        <v>65.12</v>
      </c>
      <c r="AB41" s="95">
        <v>5144900</v>
      </c>
      <c r="AC41" s="10">
        <v>64.790000000000006</v>
      </c>
      <c r="AD41" s="2">
        <f t="shared" si="0"/>
        <v>0.89999999999999147</v>
      </c>
      <c r="AE41" s="138">
        <f t="shared" si="1"/>
        <v>-1.6992869063874871E-2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71.340500000000006</v>
      </c>
      <c r="Q42" s="2"/>
      <c r="T42" s="91" t="s">
        <v>113</v>
      </c>
      <c r="W42" s="133">
        <v>42621</v>
      </c>
      <c r="X42" s="10">
        <v>66.150000000000006</v>
      </c>
      <c r="Y42" s="10">
        <v>66.709999999999994</v>
      </c>
      <c r="Z42" s="10">
        <v>66.05</v>
      </c>
      <c r="AA42" s="10">
        <v>66.239999999999995</v>
      </c>
      <c r="AB42" s="95">
        <v>4078900</v>
      </c>
      <c r="AC42" s="10">
        <v>65.91</v>
      </c>
      <c r="AD42" s="2">
        <f t="shared" si="0"/>
        <v>0.65999999999999659</v>
      </c>
      <c r="AE42" s="138">
        <f t="shared" si="1"/>
        <v>7.5918615244452425E-4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70.686000000000007</v>
      </c>
      <c r="Q43" s="2"/>
      <c r="T43" s="128" t="s">
        <v>98</v>
      </c>
      <c r="U43" s="129">
        <v>66.25</v>
      </c>
      <c r="W43" s="133">
        <v>42620</v>
      </c>
      <c r="X43" s="10">
        <v>65.489999999999995</v>
      </c>
      <c r="Y43" s="10">
        <v>66.2</v>
      </c>
      <c r="Z43" s="10">
        <v>65.31</v>
      </c>
      <c r="AA43" s="10">
        <v>66.19</v>
      </c>
      <c r="AB43" s="95">
        <v>3200700</v>
      </c>
      <c r="AC43" s="10">
        <v>65.86</v>
      </c>
      <c r="AD43" s="2">
        <f t="shared" si="0"/>
        <v>0.89000000000000057</v>
      </c>
      <c r="AE43" s="138">
        <f t="shared" si="1"/>
        <v>6.5719089102855843E-3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70.031500000000008</v>
      </c>
      <c r="Q44" s="2"/>
      <c r="T44" s="93" t="s">
        <v>99</v>
      </c>
      <c r="U44" s="130">
        <v>65.760000000000005</v>
      </c>
      <c r="W44" s="133">
        <v>42619</v>
      </c>
      <c r="X44" s="10">
        <v>65.16</v>
      </c>
      <c r="Y44" s="10">
        <v>65.77</v>
      </c>
      <c r="Z44" s="10">
        <v>65.05</v>
      </c>
      <c r="AA44" s="10">
        <v>65.760000000000005</v>
      </c>
      <c r="AB44" s="95">
        <v>3956400</v>
      </c>
      <c r="AC44" s="10">
        <v>65.430000000000007</v>
      </c>
      <c r="AD44" s="2">
        <f t="shared" si="0"/>
        <v>0.71999999999999886</v>
      </c>
      <c r="AE44" s="138">
        <f t="shared" si="1"/>
        <v>8.7881591119334246E-3</v>
      </c>
    </row>
    <row r="45" spans="2:31" x14ac:dyDescent="0.25">
      <c r="O45" s="83">
        <v>1.06</v>
      </c>
      <c r="P45" s="83">
        <f t="shared" si="36"/>
        <v>69.37700000000001</v>
      </c>
      <c r="Q45" s="2"/>
      <c r="T45" s="93" t="s">
        <v>100</v>
      </c>
      <c r="U45" s="130" t="s">
        <v>585</v>
      </c>
      <c r="W45" s="133">
        <v>42615</v>
      </c>
      <c r="X45" s="10">
        <v>65.06</v>
      </c>
      <c r="Y45" s="10">
        <v>65.67</v>
      </c>
      <c r="Z45" s="10">
        <v>64.86</v>
      </c>
      <c r="AA45" s="10">
        <v>65.19</v>
      </c>
      <c r="AB45" s="95">
        <v>3131700</v>
      </c>
      <c r="AC45" s="10">
        <v>64.86</v>
      </c>
      <c r="AD45" s="2">
        <f t="shared" si="0"/>
        <v>0.81000000000000227</v>
      </c>
      <c r="AE45" s="138">
        <f t="shared" si="1"/>
        <v>4.9581654787727025E-3</v>
      </c>
    </row>
    <row r="46" spans="2:31" x14ac:dyDescent="0.25">
      <c r="O46" s="83">
        <v>1.05</v>
      </c>
      <c r="P46" s="83">
        <f t="shared" si="36"/>
        <v>68.722500000000011</v>
      </c>
      <c r="Q46" s="2"/>
      <c r="T46" s="93" t="s">
        <v>101</v>
      </c>
      <c r="U46" s="130" t="s">
        <v>586</v>
      </c>
      <c r="W46" s="133">
        <v>42614</v>
      </c>
      <c r="X46" s="10">
        <v>65.55</v>
      </c>
      <c r="Y46" s="10">
        <v>65.64</v>
      </c>
      <c r="Z46" s="10">
        <v>64.42</v>
      </c>
      <c r="AA46" s="10">
        <v>64.86</v>
      </c>
      <c r="AB46" s="95">
        <v>3657700</v>
      </c>
      <c r="AC46" s="10">
        <v>64.540000000000006</v>
      </c>
      <c r="AD46" s="2">
        <f t="shared" si="0"/>
        <v>1.2199999999999989</v>
      </c>
      <c r="AE46" s="138">
        <f t="shared" si="1"/>
        <v>-1.0881226053639725E-2</v>
      </c>
    </row>
    <row r="47" spans="2:31" x14ac:dyDescent="0.25">
      <c r="O47" s="83">
        <v>1.04</v>
      </c>
      <c r="P47" s="83">
        <f t="shared" si="36"/>
        <v>68.068000000000012</v>
      </c>
      <c r="Q47" s="2"/>
      <c r="T47" s="93" t="s">
        <v>102</v>
      </c>
      <c r="U47" s="130">
        <v>67.739999999999995</v>
      </c>
      <c r="W47" s="133">
        <v>42613</v>
      </c>
      <c r="X47" s="10">
        <v>65.47</v>
      </c>
      <c r="Y47" s="10">
        <v>65.72</v>
      </c>
      <c r="Z47" s="10">
        <v>64.86</v>
      </c>
      <c r="AA47" s="10">
        <v>65.58</v>
      </c>
      <c r="AB47" s="95">
        <v>4783600</v>
      </c>
      <c r="AC47" s="10">
        <v>65.25</v>
      </c>
      <c r="AD47" s="2">
        <f t="shared" si="0"/>
        <v>0.85999999999999943</v>
      </c>
      <c r="AE47" s="138">
        <f t="shared" si="1"/>
        <v>1.996314496314433E-3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67.413499999999999</v>
      </c>
      <c r="Q48" s="2"/>
      <c r="T48" s="93" t="s">
        <v>103</v>
      </c>
      <c r="U48" s="130">
        <v>1.2839</v>
      </c>
      <c r="W48" s="133">
        <v>42612</v>
      </c>
      <c r="X48" s="10">
        <v>65.77</v>
      </c>
      <c r="Y48" s="10">
        <v>65.97</v>
      </c>
      <c r="Z48" s="10">
        <v>65.099999999999994</v>
      </c>
      <c r="AA48" s="10">
        <v>65.45</v>
      </c>
      <c r="AB48" s="95">
        <v>3775800</v>
      </c>
      <c r="AC48" s="10">
        <v>65.12</v>
      </c>
      <c r="AD48" s="2">
        <f t="shared" si="0"/>
        <v>0.87000000000000455</v>
      </c>
      <c r="AE48" s="138">
        <f t="shared" si="1"/>
        <v>-1.0737843227487387E-3</v>
      </c>
    </row>
    <row r="49" spans="1:31" x14ac:dyDescent="0.25">
      <c r="A49" s="390" t="s">
        <v>1</v>
      </c>
      <c r="B49" s="390" t="s">
        <v>2</v>
      </c>
      <c r="C49" s="390" t="s">
        <v>4</v>
      </c>
      <c r="D49" s="392" t="s">
        <v>5</v>
      </c>
      <c r="E49" s="392" t="s">
        <v>94</v>
      </c>
      <c r="F49" s="392" t="s">
        <v>60</v>
      </c>
      <c r="G49" s="390" t="s">
        <v>3</v>
      </c>
      <c r="H49" s="390" t="s">
        <v>6</v>
      </c>
      <c r="I49" s="392" t="s">
        <v>7</v>
      </c>
      <c r="J49" s="392" t="s">
        <v>95</v>
      </c>
      <c r="K49" s="392" t="s">
        <v>61</v>
      </c>
      <c r="L49" s="390" t="s">
        <v>37</v>
      </c>
      <c r="M49" s="390" t="s">
        <v>38</v>
      </c>
      <c r="O49" s="83">
        <v>1.02</v>
      </c>
      <c r="P49" s="83">
        <f t="shared" si="36"/>
        <v>66.759</v>
      </c>
      <c r="Q49" s="2"/>
      <c r="T49" s="93" t="s">
        <v>122</v>
      </c>
      <c r="U49" s="130" t="s">
        <v>406</v>
      </c>
      <c r="W49" s="133">
        <v>42611</v>
      </c>
      <c r="X49" s="10">
        <v>65</v>
      </c>
      <c r="Y49" s="10">
        <v>65.77</v>
      </c>
      <c r="Z49" s="10">
        <v>64.8</v>
      </c>
      <c r="AA49" s="10">
        <v>65.52</v>
      </c>
      <c r="AB49" s="95">
        <v>4173800</v>
      </c>
      <c r="AC49" s="10">
        <v>65.19</v>
      </c>
      <c r="AD49" s="2">
        <f t="shared" si="0"/>
        <v>0.96999999999999886</v>
      </c>
      <c r="AE49" s="138">
        <f t="shared" si="1"/>
        <v>1.1167985109353129E-2</v>
      </c>
    </row>
    <row r="50" spans="1:31" x14ac:dyDescent="0.25">
      <c r="A50" s="393" t="s">
        <v>247</v>
      </c>
      <c r="B50" s="383">
        <v>42548</v>
      </c>
      <c r="C50" s="384">
        <v>40</v>
      </c>
      <c r="D50" s="385">
        <v>59.08</v>
      </c>
      <c r="E50" s="385">
        <v>0</v>
      </c>
      <c r="F50" s="385">
        <f>D50*C50+E50</f>
        <v>2363.1999999999998</v>
      </c>
      <c r="G50" s="383">
        <v>42580</v>
      </c>
      <c r="H50" s="388">
        <v>40</v>
      </c>
      <c r="I50" s="385">
        <v>64.58</v>
      </c>
      <c r="J50" s="385">
        <v>0.06</v>
      </c>
      <c r="K50" s="385">
        <f>I50*H50-J50</f>
        <v>2583.14</v>
      </c>
      <c r="L50" s="383">
        <v>42592</v>
      </c>
      <c r="M50" s="384">
        <v>11.6</v>
      </c>
      <c r="O50" s="83">
        <v>1.01</v>
      </c>
      <c r="P50" s="83">
        <f t="shared" si="36"/>
        <v>66.104500000000002</v>
      </c>
      <c r="Q50" s="2"/>
      <c r="T50" s="93"/>
      <c r="U50" s="130"/>
      <c r="W50" s="133">
        <v>42608</v>
      </c>
      <c r="X50" s="10">
        <v>65.27</v>
      </c>
      <c r="Y50" s="10">
        <v>65.489999999999995</v>
      </c>
      <c r="Z50" s="10">
        <v>64.52</v>
      </c>
      <c r="AA50" s="10">
        <v>64.790000000000006</v>
      </c>
      <c r="AB50" s="95">
        <v>3623600</v>
      </c>
      <c r="AC50" s="10">
        <v>64.47</v>
      </c>
      <c r="AD50" s="2">
        <f t="shared" si="0"/>
        <v>0.96999999999999886</v>
      </c>
      <c r="AE50" s="138">
        <f t="shared" si="1"/>
        <v>-3.0926240915417624E-3</v>
      </c>
    </row>
    <row r="51" spans="1:31" x14ac:dyDescent="0.25">
      <c r="A51" s="394" t="s">
        <v>71</v>
      </c>
      <c r="B51" s="383"/>
      <c r="C51" s="384"/>
      <c r="D51" s="385"/>
      <c r="E51" s="385"/>
      <c r="F51" s="385"/>
      <c r="G51" s="384"/>
      <c r="H51" s="388"/>
      <c r="I51" s="385"/>
      <c r="J51" s="385"/>
      <c r="K51" s="385"/>
      <c r="L51" s="384"/>
      <c r="M51" s="384"/>
      <c r="O51" s="83">
        <v>1</v>
      </c>
      <c r="P51" s="83">
        <f t="shared" si="36"/>
        <v>65.45</v>
      </c>
      <c r="Q51" s="2"/>
      <c r="T51" s="93" t="s">
        <v>105</v>
      </c>
      <c r="U51" s="130" t="s">
        <v>587</v>
      </c>
      <c r="W51" s="133">
        <v>42607</v>
      </c>
      <c r="X51" s="10">
        <v>65</v>
      </c>
      <c r="Y51" s="10">
        <v>65.150000000000006</v>
      </c>
      <c r="Z51" s="10">
        <v>64.760000000000005</v>
      </c>
      <c r="AA51" s="10">
        <v>65</v>
      </c>
      <c r="AB51" s="95">
        <v>4243800</v>
      </c>
      <c r="AC51" s="10">
        <v>64.67</v>
      </c>
      <c r="AD51" s="2">
        <f t="shared" si="0"/>
        <v>0.39000000000000057</v>
      </c>
      <c r="AE51" s="138">
        <f t="shared" si="1"/>
        <v>-2.4679932130186044E-3</v>
      </c>
    </row>
    <row r="52" spans="1:31" x14ac:dyDescent="0.25">
      <c r="A52" s="384"/>
      <c r="B52" s="383"/>
      <c r="C52" s="384"/>
      <c r="D52" s="385"/>
      <c r="E52" s="385"/>
      <c r="F52" s="385"/>
      <c r="G52" s="384"/>
      <c r="H52" s="388"/>
      <c r="I52" s="385"/>
      <c r="J52" s="385"/>
      <c r="K52" s="385"/>
      <c r="L52" s="384"/>
      <c r="M52" s="384"/>
      <c r="O52" s="83">
        <v>0.99</v>
      </c>
      <c r="P52" s="83">
        <f t="shared" si="36"/>
        <v>64.795500000000004</v>
      </c>
      <c r="Q52" s="2"/>
      <c r="T52" s="93" t="s">
        <v>106</v>
      </c>
      <c r="U52" s="130" t="s">
        <v>588</v>
      </c>
      <c r="W52" s="133">
        <v>42606</v>
      </c>
      <c r="X52" s="10">
        <v>65.849999999999994</v>
      </c>
      <c r="Y52" s="10">
        <v>66.12</v>
      </c>
      <c r="Z52" s="10">
        <v>65.05</v>
      </c>
      <c r="AA52" s="10">
        <v>65.16</v>
      </c>
      <c r="AB52" s="95">
        <v>4128200</v>
      </c>
      <c r="AC52" s="10">
        <v>64.83</v>
      </c>
      <c r="AD52" s="2">
        <f t="shared" si="0"/>
        <v>1.0700000000000074</v>
      </c>
      <c r="AE52" s="138">
        <f t="shared" si="1"/>
        <v>-7.9571537872991094E-3</v>
      </c>
    </row>
    <row r="53" spans="1:31" x14ac:dyDescent="0.25">
      <c r="A53" s="384"/>
      <c r="B53" s="383"/>
      <c r="C53" s="384"/>
      <c r="D53" s="385"/>
      <c r="E53" s="385"/>
      <c r="F53" s="385"/>
      <c r="G53" s="384"/>
      <c r="H53" s="388"/>
      <c r="I53" s="385"/>
      <c r="J53" s="385"/>
      <c r="K53" s="385"/>
      <c r="L53" s="384"/>
      <c r="M53" s="384"/>
      <c r="O53" s="83">
        <v>0.98</v>
      </c>
      <c r="P53" s="83">
        <f t="shared" si="36"/>
        <v>64.141000000000005</v>
      </c>
      <c r="Q53" s="2"/>
      <c r="T53" s="93" t="s">
        <v>107</v>
      </c>
      <c r="U53" s="131">
        <v>3658990</v>
      </c>
      <c r="W53" s="133">
        <v>42605</v>
      </c>
      <c r="X53" s="10">
        <v>65.73</v>
      </c>
      <c r="Y53" s="10">
        <v>66.28</v>
      </c>
      <c r="Z53" s="10">
        <v>65.680000000000007</v>
      </c>
      <c r="AA53" s="10">
        <v>65.680000000000007</v>
      </c>
      <c r="AB53" s="95">
        <v>3551700</v>
      </c>
      <c r="AC53" s="10">
        <v>65.349999999999994</v>
      </c>
      <c r="AD53" s="2">
        <f t="shared" si="0"/>
        <v>0.59999999999999432</v>
      </c>
      <c r="AE53" s="138">
        <f t="shared" si="1"/>
        <v>4.9208057819467577E-3</v>
      </c>
    </row>
    <row r="54" spans="1:31" x14ac:dyDescent="0.25">
      <c r="A54" s="384"/>
      <c r="B54" s="383"/>
      <c r="C54" s="384"/>
      <c r="D54" s="385"/>
      <c r="E54" s="385"/>
      <c r="F54" s="385"/>
      <c r="G54" s="384"/>
      <c r="H54" s="388"/>
      <c r="I54" s="385"/>
      <c r="J54" s="385"/>
      <c r="K54" s="385"/>
      <c r="L54" s="384"/>
      <c r="M54" s="384"/>
      <c r="O54" s="83">
        <v>0.97</v>
      </c>
      <c r="P54" s="83">
        <f t="shared" si="36"/>
        <v>63.486499999999999</v>
      </c>
      <c r="T54" s="93" t="s">
        <v>110</v>
      </c>
      <c r="U54" s="131">
        <v>4480330</v>
      </c>
      <c r="W54" s="133">
        <v>42604</v>
      </c>
      <c r="X54" s="10">
        <v>65.53</v>
      </c>
      <c r="Y54" s="10">
        <v>65.540000000000006</v>
      </c>
      <c r="Z54" s="10">
        <v>64.959999999999994</v>
      </c>
      <c r="AA54" s="10">
        <v>65.36</v>
      </c>
      <c r="AB54" s="95">
        <v>3230700</v>
      </c>
      <c r="AC54" s="10">
        <v>65.03</v>
      </c>
      <c r="AD54" s="2">
        <f t="shared" si="0"/>
        <v>0.58000000000001251</v>
      </c>
      <c r="AE54" s="138">
        <f t="shared" si="1"/>
        <v>-2.6073619631902245E-3</v>
      </c>
    </row>
    <row r="55" spans="1:31" x14ac:dyDescent="0.25">
      <c r="A55" s="384"/>
      <c r="B55" s="384"/>
      <c r="C55" s="384"/>
      <c r="D55" s="385"/>
      <c r="E55" s="385"/>
      <c r="F55" s="385"/>
      <c r="G55" s="384"/>
      <c r="H55" s="388"/>
      <c r="I55" s="385"/>
      <c r="J55" s="385"/>
      <c r="K55" s="385"/>
      <c r="L55" s="384"/>
      <c r="M55" s="384"/>
      <c r="O55" s="83">
        <v>0.96</v>
      </c>
      <c r="P55" s="83">
        <f t="shared" si="36"/>
        <v>62.832000000000001</v>
      </c>
      <c r="T55" s="93" t="s">
        <v>108</v>
      </c>
      <c r="U55" s="130" t="s">
        <v>589</v>
      </c>
      <c r="W55" s="133">
        <v>42601</v>
      </c>
      <c r="X55" s="10">
        <v>65.47</v>
      </c>
      <c r="Y55" s="10">
        <v>65.680000000000007</v>
      </c>
      <c r="Z55" s="10">
        <v>65.069999999999993</v>
      </c>
      <c r="AA55" s="10">
        <v>65.53</v>
      </c>
      <c r="AB55" s="95">
        <v>2783200</v>
      </c>
      <c r="AC55" s="10">
        <v>65.2</v>
      </c>
      <c r="AD55" s="2">
        <f t="shared" si="0"/>
        <v>0.61000000000001364</v>
      </c>
      <c r="AE55" s="138">
        <f t="shared" si="1"/>
        <v>-1.5313935681469104E-3</v>
      </c>
    </row>
    <row r="56" spans="1:31" x14ac:dyDescent="0.25">
      <c r="A56" s="384"/>
      <c r="B56" s="384"/>
      <c r="C56" s="384"/>
      <c r="D56" s="385"/>
      <c r="E56" s="385"/>
      <c r="F56" s="385"/>
      <c r="G56" s="384"/>
      <c r="H56" s="388"/>
      <c r="I56" s="385"/>
      <c r="J56" s="385"/>
      <c r="K56" s="385"/>
      <c r="L56" s="384"/>
      <c r="M56" s="384"/>
      <c r="O56" s="83">
        <v>0.95</v>
      </c>
      <c r="P56" s="83">
        <f t="shared" si="36"/>
        <v>62.177500000000002</v>
      </c>
      <c r="T56" s="93" t="s">
        <v>111</v>
      </c>
      <c r="U56" s="130">
        <v>11.63</v>
      </c>
      <c r="W56" s="133">
        <v>42600</v>
      </c>
      <c r="X56" s="10">
        <v>65.52</v>
      </c>
      <c r="Y56" s="10">
        <v>65.78</v>
      </c>
      <c r="Z56" s="10">
        <v>65.27</v>
      </c>
      <c r="AA56" s="10">
        <v>65.63</v>
      </c>
      <c r="AB56" s="95">
        <v>2807500</v>
      </c>
      <c r="AC56" s="10">
        <v>65.3</v>
      </c>
      <c r="AD56" s="2">
        <f t="shared" si="0"/>
        <v>0.51000000000000512</v>
      </c>
      <c r="AE56" s="138">
        <f t="shared" si="1"/>
        <v>-7.6511094108644429E-4</v>
      </c>
    </row>
    <row r="57" spans="1:31" x14ac:dyDescent="0.25">
      <c r="A57" s="384"/>
      <c r="B57" s="384"/>
      <c r="C57" s="384"/>
      <c r="D57" s="385"/>
      <c r="E57" s="385"/>
      <c r="F57" s="385"/>
      <c r="G57" s="384"/>
      <c r="H57" s="388"/>
      <c r="I57" s="385"/>
      <c r="J57" s="385"/>
      <c r="K57" s="385"/>
      <c r="L57" s="384"/>
      <c r="M57" s="384"/>
      <c r="O57" s="83">
        <v>0.94</v>
      </c>
      <c r="P57" s="83">
        <f t="shared" si="36"/>
        <v>61.522999999999996</v>
      </c>
      <c r="T57" s="93" t="s">
        <v>112</v>
      </c>
      <c r="U57" s="130">
        <v>5.63</v>
      </c>
      <c r="W57" s="133">
        <v>42599</v>
      </c>
      <c r="X57" s="10">
        <v>65.400000000000006</v>
      </c>
      <c r="Y57" s="10">
        <v>65.849999999999994</v>
      </c>
      <c r="Z57" s="10">
        <v>65.09</v>
      </c>
      <c r="AA57" s="10">
        <v>65.680000000000007</v>
      </c>
      <c r="AB57" s="95">
        <v>3054500</v>
      </c>
      <c r="AC57" s="10">
        <v>65.349999999999994</v>
      </c>
      <c r="AD57" s="2">
        <f t="shared" si="0"/>
        <v>0.75999999999999091</v>
      </c>
      <c r="AE57" s="138">
        <f t="shared" si="1"/>
        <v>5.8488533169154255E-3</v>
      </c>
    </row>
    <row r="58" spans="1:31" x14ac:dyDescent="0.25">
      <c r="A58" s="384"/>
      <c r="B58" s="384"/>
      <c r="C58" s="384"/>
      <c r="D58" s="385"/>
      <c r="E58" s="385"/>
      <c r="F58" s="385"/>
      <c r="G58" s="384"/>
      <c r="H58" s="388"/>
      <c r="I58" s="385"/>
      <c r="J58" s="385"/>
      <c r="K58" s="385"/>
      <c r="L58" s="384"/>
      <c r="M58" s="384"/>
      <c r="O58" s="83">
        <v>0.93</v>
      </c>
      <c r="P58" s="83">
        <f t="shared" si="36"/>
        <v>60.868500000000004</v>
      </c>
      <c r="T58" s="93" t="s">
        <v>109</v>
      </c>
      <c r="U58" s="130" t="s">
        <v>444</v>
      </c>
      <c r="W58" s="133">
        <v>42598</v>
      </c>
      <c r="X58" s="10">
        <v>65.61</v>
      </c>
      <c r="Y58" s="10">
        <v>65.67</v>
      </c>
      <c r="Z58" s="10">
        <v>65.28</v>
      </c>
      <c r="AA58" s="10">
        <v>65.3</v>
      </c>
      <c r="AB58" s="95">
        <v>2805600</v>
      </c>
      <c r="AC58" s="10">
        <v>64.97</v>
      </c>
      <c r="AD58" s="2">
        <f t="shared" si="0"/>
        <v>0.39000000000000057</v>
      </c>
      <c r="AE58" s="138">
        <f t="shared" si="1"/>
        <v>-5.053598774885093E-3</v>
      </c>
    </row>
    <row r="59" spans="1:31" x14ac:dyDescent="0.25">
      <c r="A59" s="384"/>
      <c r="B59" s="384"/>
      <c r="C59" s="384"/>
      <c r="D59" s="385"/>
      <c r="E59" s="385"/>
      <c r="F59" s="385"/>
      <c r="G59" s="384"/>
      <c r="H59" s="388"/>
      <c r="I59" s="385"/>
      <c r="J59" s="385"/>
      <c r="K59" s="385"/>
      <c r="L59" s="384"/>
      <c r="M59" s="384"/>
      <c r="O59" s="83">
        <v>0.92</v>
      </c>
      <c r="P59" s="83">
        <f t="shared" si="36"/>
        <v>60.214000000000006</v>
      </c>
      <c r="W59" s="133">
        <v>42597</v>
      </c>
      <c r="X59" s="10">
        <v>65.27</v>
      </c>
      <c r="Y59" s="10">
        <v>65.819999999999993</v>
      </c>
      <c r="Z59" s="10">
        <v>65.27</v>
      </c>
      <c r="AA59" s="10">
        <v>65.63</v>
      </c>
      <c r="AB59" s="95">
        <v>3136700</v>
      </c>
      <c r="AC59" s="10">
        <v>65.3</v>
      </c>
      <c r="AD59" s="2">
        <f t="shared" si="0"/>
        <v>0.54999999999999716</v>
      </c>
      <c r="AE59" s="138">
        <f t="shared" si="1"/>
        <v>3.8431975403536711E-3</v>
      </c>
    </row>
    <row r="60" spans="1:31" x14ac:dyDescent="0.25">
      <c r="A60" s="384"/>
      <c r="B60" s="384"/>
      <c r="C60" s="384"/>
      <c r="D60" s="385"/>
      <c r="E60" s="385"/>
      <c r="F60" s="385"/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36"/>
        <v>59.559500000000007</v>
      </c>
      <c r="W60" s="133">
        <v>42594</v>
      </c>
      <c r="X60" s="10">
        <v>65.16</v>
      </c>
      <c r="Y60" s="10">
        <v>65.510000000000005</v>
      </c>
      <c r="Z60" s="10">
        <v>65.010000000000005</v>
      </c>
      <c r="AA60" s="10">
        <v>65.38</v>
      </c>
      <c r="AB60" s="95">
        <v>2103800</v>
      </c>
      <c r="AC60" s="10">
        <v>65.05</v>
      </c>
      <c r="AD60" s="2">
        <f t="shared" si="0"/>
        <v>0.5</v>
      </c>
      <c r="AE60" s="138">
        <f t="shared" si="1"/>
        <v>-1.5349194167307845E-3</v>
      </c>
    </row>
    <row r="61" spans="1:31" x14ac:dyDescent="0.25">
      <c r="A61" s="384"/>
      <c r="B61" s="384"/>
      <c r="C61" s="384"/>
      <c r="D61" s="385"/>
      <c r="E61" s="385"/>
      <c r="F61" s="385"/>
      <c r="G61" s="384"/>
      <c r="H61" s="388"/>
      <c r="I61" s="385"/>
      <c r="J61" s="385"/>
      <c r="K61" s="385"/>
      <c r="L61" s="384"/>
      <c r="M61" s="384"/>
      <c r="O61" s="83">
        <v>0.9</v>
      </c>
      <c r="P61" s="83">
        <f t="shared" si="36"/>
        <v>58.905000000000001</v>
      </c>
      <c r="W61" s="133">
        <v>42593</v>
      </c>
      <c r="X61" s="10">
        <v>65</v>
      </c>
      <c r="Y61" s="10">
        <v>65.66</v>
      </c>
      <c r="Z61" s="10">
        <v>64.89</v>
      </c>
      <c r="AA61" s="10">
        <v>65.48</v>
      </c>
      <c r="AB61" s="95">
        <v>2450100</v>
      </c>
      <c r="AC61" s="10">
        <v>65.150000000000006</v>
      </c>
      <c r="AD61" s="2">
        <f t="shared" si="0"/>
        <v>0.76999999999999602</v>
      </c>
      <c r="AE61" s="138">
        <f t="shared" si="1"/>
        <v>1.133188450791689E-2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33">
        <v>42592</v>
      </c>
      <c r="X62" s="10">
        <v>65.430000000000007</v>
      </c>
      <c r="Y62" s="10">
        <v>65.5</v>
      </c>
      <c r="Z62" s="10">
        <v>64.58</v>
      </c>
      <c r="AA62" s="10">
        <v>64.739999999999995</v>
      </c>
      <c r="AB62" s="95">
        <v>2883000</v>
      </c>
      <c r="AC62" s="10">
        <v>64.42</v>
      </c>
      <c r="AD62" s="2">
        <f t="shared" si="0"/>
        <v>0.92000000000000171</v>
      </c>
      <c r="AE62" s="138">
        <f t="shared" si="1"/>
        <v>-9.8370734706424434E-3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33">
        <v>42591</v>
      </c>
      <c r="X63" s="10">
        <v>65.83</v>
      </c>
      <c r="Y63" s="10">
        <v>66.010000000000005</v>
      </c>
      <c r="Z63" s="10">
        <v>65.17</v>
      </c>
      <c r="AA63" s="10">
        <v>65.39</v>
      </c>
      <c r="AB63" s="95">
        <v>3701600</v>
      </c>
      <c r="AC63" s="10">
        <v>65.06</v>
      </c>
      <c r="AD63" s="2">
        <f t="shared" si="0"/>
        <v>0.84000000000000341</v>
      </c>
      <c r="AE63" s="138">
        <f t="shared" si="1"/>
        <v>-6.7175572519083682E-3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33">
        <v>42590</v>
      </c>
      <c r="X64" s="10">
        <v>65.83</v>
      </c>
      <c r="Y64" s="10">
        <v>66.25</v>
      </c>
      <c r="Z64" s="10">
        <v>65.61</v>
      </c>
      <c r="AA64" s="10">
        <v>65.83</v>
      </c>
      <c r="AB64" s="95">
        <v>3253700</v>
      </c>
      <c r="AC64" s="10">
        <v>65.5</v>
      </c>
      <c r="AD64" s="2">
        <f t="shared" si="0"/>
        <v>0.64000000000000057</v>
      </c>
      <c r="AE64" s="138">
        <f t="shared" si="1"/>
        <v>4.7553305721736994E-3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5"/>
      <c r="J65" s="385"/>
      <c r="K65" s="385"/>
      <c r="L65" s="384"/>
      <c r="M65" s="384"/>
      <c r="W65" s="133">
        <v>42587</v>
      </c>
      <c r="X65" s="10">
        <v>64.540000000000006</v>
      </c>
      <c r="Y65" s="10">
        <v>65.709999999999994</v>
      </c>
      <c r="Z65" s="10">
        <v>64.349999999999994</v>
      </c>
      <c r="AA65" s="10">
        <v>65.52</v>
      </c>
      <c r="AB65" s="95">
        <v>4863800</v>
      </c>
      <c r="AC65" s="10">
        <v>65.19</v>
      </c>
      <c r="AD65" s="2">
        <f t="shared" si="0"/>
        <v>1.3599999999999994</v>
      </c>
      <c r="AE65" s="138">
        <f t="shared" si="1"/>
        <v>2.4677774284816101E-2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42586</v>
      </c>
      <c r="X66" s="10">
        <v>63.88</v>
      </c>
      <c r="Y66" s="10">
        <v>64.02</v>
      </c>
      <c r="Z66" s="10">
        <v>63.51</v>
      </c>
      <c r="AA66" s="10">
        <v>63.94</v>
      </c>
      <c r="AB66" s="95">
        <v>3680000</v>
      </c>
      <c r="AC66" s="10">
        <v>63.62</v>
      </c>
      <c r="AD66" s="2">
        <f t="shared" si="0"/>
        <v>0.50999999999999801</v>
      </c>
      <c r="AE66" s="138">
        <f t="shared" si="1"/>
        <v>1.7320107069753732E-3</v>
      </c>
    </row>
    <row r="67" spans="1:31" ht="15.75" thickBot="1" x14ac:dyDescent="0.3">
      <c r="A67" s="491" t="s">
        <v>201</v>
      </c>
      <c r="B67" s="492"/>
      <c r="C67" s="493">
        <f>SumByColor($A$19,C50:C65)</f>
        <v>0</v>
      </c>
      <c r="D67" s="493"/>
      <c r="E67" s="493"/>
      <c r="F67" s="494">
        <f>SumByColor($A$19,F50:F65)</f>
        <v>0</v>
      </c>
      <c r="G67" s="493"/>
      <c r="H67" s="493">
        <f>SumByColor($A$19,H50:H65)</f>
        <v>0</v>
      </c>
      <c r="I67" s="493"/>
      <c r="J67" s="493"/>
      <c r="K67" s="494">
        <f>SumByColor($A$19,K50:K65)</f>
        <v>0</v>
      </c>
      <c r="L67" s="493"/>
      <c r="M67" s="494">
        <f t="shared" ref="M67" si="37">SumByColor($A$19,M50:M65)</f>
        <v>0</v>
      </c>
      <c r="W67" s="133">
        <v>42585</v>
      </c>
      <c r="X67" s="10">
        <v>63.5</v>
      </c>
      <c r="Y67" s="10">
        <v>64.02</v>
      </c>
      <c r="Z67" s="10">
        <v>63.47</v>
      </c>
      <c r="AA67" s="10">
        <v>63.83</v>
      </c>
      <c r="AB67" s="95">
        <v>3034500</v>
      </c>
      <c r="AC67" s="10">
        <v>63.51</v>
      </c>
      <c r="AD67" s="2">
        <f>Y67-Z67</f>
        <v>0.54999999999999716</v>
      </c>
      <c r="AE67" s="138" t="e">
        <f>AC67/#REF!-1</f>
        <v>#REF!</v>
      </c>
    </row>
    <row r="68" spans="1:31" x14ac:dyDescent="0.25">
      <c r="W68" s="133">
        <v>42584</v>
      </c>
      <c r="X68" s="10">
        <v>63.96</v>
      </c>
      <c r="Y68" s="10">
        <v>64.22</v>
      </c>
      <c r="Z68" s="10">
        <v>63.2</v>
      </c>
      <c r="AA68" s="10">
        <v>63.47</v>
      </c>
      <c r="AB68" s="95">
        <v>2531000</v>
      </c>
      <c r="AC68" s="10">
        <v>63.15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757" priority="9">
      <formula>F36&gt;0</formula>
    </cfRule>
    <cfRule type="expression" dxfId="756" priority="10">
      <formula>F36&lt;0</formula>
    </cfRule>
  </conditionalFormatting>
  <conditionalFormatting sqref="F25:F35">
    <cfRule type="expression" dxfId="755" priority="7">
      <formula>F25&gt;0</formula>
    </cfRule>
    <cfRule type="expression" dxfId="754" priority="8">
      <formula>F25&lt;0</formula>
    </cfRule>
  </conditionalFormatting>
  <conditionalFormatting sqref="H25:H35">
    <cfRule type="expression" dxfId="753" priority="5">
      <formula>H25&gt;0</formula>
    </cfRule>
    <cfRule type="expression" dxfId="752" priority="6">
      <formula>H25&lt;0</formula>
    </cfRule>
  </conditionalFormatting>
  <conditionalFormatting sqref="Q7">
    <cfRule type="expression" dxfId="751" priority="3">
      <formula>Q7&gt;0</formula>
    </cfRule>
    <cfRule type="expression" dxfId="750" priority="4">
      <formula>Q7&lt;0</formula>
    </cfRule>
  </conditionalFormatting>
  <conditionalFormatting sqref="Q8">
    <cfRule type="expression" dxfId="749" priority="1">
      <formula>Q8&gt;0</formula>
    </cfRule>
    <cfRule type="expression" dxfId="748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321</v>
      </c>
      <c r="B2" s="74">
        <v>42619</v>
      </c>
      <c r="C2" s="4">
        <v>20</v>
      </c>
      <c r="D2" s="3">
        <v>72.08</v>
      </c>
      <c r="E2" s="3">
        <v>0</v>
      </c>
      <c r="F2" s="3">
        <f>C2*D2+E2</f>
        <v>1441.6</v>
      </c>
      <c r="G2" s="74"/>
      <c r="H2" s="185"/>
      <c r="I2" s="3"/>
      <c r="J2" s="3"/>
      <c r="K2" s="3"/>
      <c r="L2" s="74">
        <v>42642</v>
      </c>
      <c r="M2" s="3">
        <v>10</v>
      </c>
      <c r="O2" s="11" t="s">
        <v>57</v>
      </c>
      <c r="Q2">
        <f>C18-H18</f>
        <v>65</v>
      </c>
      <c r="T2" s="1"/>
      <c r="W2" s="133">
        <v>42676</v>
      </c>
      <c r="X2" s="10">
        <v>68.849999999999994</v>
      </c>
      <c r="Y2" s="10">
        <v>69.790000000000006</v>
      </c>
      <c r="Z2" s="10">
        <v>68.849999999999994</v>
      </c>
      <c r="AA2" s="10">
        <v>69.599999999999994</v>
      </c>
      <c r="AB2" s="95">
        <v>2617800</v>
      </c>
      <c r="AC2" s="10">
        <v>69.599999999999994</v>
      </c>
      <c r="AD2" s="2">
        <f>Y2-Z2</f>
        <v>0.94000000000001194</v>
      </c>
      <c r="AE2" s="138">
        <f>AC2/AC3-1</f>
        <v>7.9652425778420355E-3</v>
      </c>
    </row>
    <row r="3" spans="1:31" x14ac:dyDescent="0.25">
      <c r="A3" s="23" t="s">
        <v>71</v>
      </c>
      <c r="B3" s="74">
        <v>42621</v>
      </c>
      <c r="C3" s="4">
        <v>20</v>
      </c>
      <c r="D3" s="3">
        <v>70.45</v>
      </c>
      <c r="E3" s="3">
        <v>0</v>
      </c>
      <c r="F3" s="3">
        <f>C3*D3+E3</f>
        <v>1409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69.80923076923078</v>
      </c>
      <c r="T3" s="1"/>
      <c r="W3" s="133">
        <v>42675</v>
      </c>
      <c r="X3" s="10">
        <v>69.040000000000006</v>
      </c>
      <c r="Y3" s="10">
        <v>69.290000000000006</v>
      </c>
      <c r="Z3" s="10">
        <v>68.650000000000006</v>
      </c>
      <c r="AA3" s="10">
        <v>69.05</v>
      </c>
      <c r="AB3" s="95">
        <v>2735200</v>
      </c>
      <c r="AC3" s="10">
        <v>69.05</v>
      </c>
      <c r="AD3" s="2">
        <f t="shared" ref="AD3:AD66" si="0">Y3-Z3</f>
        <v>0.64000000000000057</v>
      </c>
      <c r="AE3" s="138">
        <f t="shared" ref="AE3:AE66" si="1">AC3/AC4-1</f>
        <v>-5.7895498624993547E-4</v>
      </c>
    </row>
    <row r="4" spans="1:31" x14ac:dyDescent="0.25">
      <c r="B4" s="525">
        <v>42648</v>
      </c>
      <c r="C4" s="4">
        <v>25</v>
      </c>
      <c r="D4" s="3">
        <v>67.88</v>
      </c>
      <c r="E4" s="3">
        <v>0</v>
      </c>
      <c r="F4" s="3">
        <f>C4*D4+E4</f>
        <v>1697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69.599999999999994</v>
      </c>
      <c r="R4" s="562">
        <v>8.0000000000000002E-3</v>
      </c>
      <c r="T4" s="163"/>
      <c r="U4" s="1"/>
      <c r="W4" s="133">
        <v>42674</v>
      </c>
      <c r="X4" s="10">
        <v>68.41</v>
      </c>
      <c r="Y4" s="10">
        <v>69.22</v>
      </c>
      <c r="Z4" s="10">
        <v>68.34</v>
      </c>
      <c r="AA4" s="10">
        <v>69.09</v>
      </c>
      <c r="AB4" s="95">
        <v>2876200</v>
      </c>
      <c r="AC4" s="10">
        <v>69.09</v>
      </c>
      <c r="AD4" s="2">
        <f t="shared" si="0"/>
        <v>0.87999999999999545</v>
      </c>
      <c r="AE4" s="138">
        <f t="shared" si="1"/>
        <v>1.097453906935919E-2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4524</v>
      </c>
      <c r="W5" s="133">
        <v>42671</v>
      </c>
      <c r="X5" s="10">
        <v>67.569999999999993</v>
      </c>
      <c r="Y5" s="10">
        <v>68.66</v>
      </c>
      <c r="Z5" s="10">
        <v>67.44</v>
      </c>
      <c r="AA5" s="10">
        <v>68.34</v>
      </c>
      <c r="AB5" s="95">
        <v>2089700</v>
      </c>
      <c r="AC5" s="10">
        <v>68.34</v>
      </c>
      <c r="AD5" s="2">
        <f t="shared" si="0"/>
        <v>1.2199999999999989</v>
      </c>
      <c r="AE5" s="138">
        <f t="shared" si="1"/>
        <v>1.3194959229058556E-2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4537.6000000000004</v>
      </c>
      <c r="W6" s="133">
        <v>42670</v>
      </c>
      <c r="X6" s="10">
        <v>68.47</v>
      </c>
      <c r="Y6" s="10">
        <v>68.64</v>
      </c>
      <c r="Z6" s="10">
        <v>67.41</v>
      </c>
      <c r="AA6" s="10">
        <v>67.45</v>
      </c>
      <c r="AB6" s="95">
        <v>2503700</v>
      </c>
      <c r="AC6" s="10">
        <v>67.45</v>
      </c>
      <c r="AD6" s="2">
        <f t="shared" si="0"/>
        <v>1.230000000000004</v>
      </c>
      <c r="AE6" s="138">
        <f t="shared" si="1"/>
        <v>-1.2011132268932134E-2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-13.600000000000364</v>
      </c>
      <c r="R7">
        <v>40</v>
      </c>
      <c r="W7" s="133">
        <v>42669</v>
      </c>
      <c r="X7" s="10">
        <v>68.41</v>
      </c>
      <c r="Y7" s="10">
        <v>68.760000000000005</v>
      </c>
      <c r="Z7" s="10">
        <v>68.040000000000006</v>
      </c>
      <c r="AA7" s="10">
        <v>68.27</v>
      </c>
      <c r="AB7" s="95">
        <v>1533900</v>
      </c>
      <c r="AC7" s="10">
        <v>68.27</v>
      </c>
      <c r="AD7" s="2">
        <f t="shared" si="0"/>
        <v>0.71999999999999886</v>
      </c>
      <c r="AE7" s="138">
        <f t="shared" si="1"/>
        <v>1.4669209329616351E-3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-13.600000000000364</v>
      </c>
      <c r="W8" s="133">
        <v>42668</v>
      </c>
      <c r="X8" s="10">
        <v>68.09</v>
      </c>
      <c r="Y8" s="10">
        <v>68.36</v>
      </c>
      <c r="Z8" s="10">
        <v>67.92</v>
      </c>
      <c r="AA8" s="10">
        <v>68.17</v>
      </c>
      <c r="AB8" s="95">
        <v>1772100</v>
      </c>
      <c r="AC8" s="10">
        <v>68.17</v>
      </c>
      <c r="AD8" s="2">
        <f t="shared" si="0"/>
        <v>0.43999999999999773</v>
      </c>
      <c r="AE8" s="138">
        <f t="shared" si="1"/>
        <v>-1.4647722279185205E-3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-2.9971791255289939E-3</v>
      </c>
      <c r="W9" s="133">
        <v>42667</v>
      </c>
      <c r="X9" s="10">
        <v>68.28</v>
      </c>
      <c r="Y9" s="10">
        <v>68.84</v>
      </c>
      <c r="Z9" s="10">
        <v>68.010000000000005</v>
      </c>
      <c r="AA9" s="10">
        <v>68.27</v>
      </c>
      <c r="AB9" s="95">
        <v>1888100</v>
      </c>
      <c r="AC9" s="10">
        <v>68.27</v>
      </c>
      <c r="AD9" s="2">
        <f t="shared" si="0"/>
        <v>0.82999999999999829</v>
      </c>
      <c r="AE9" s="138">
        <f t="shared" si="1"/>
        <v>5.0051523627261396E-3</v>
      </c>
    </row>
    <row r="10" spans="1:31" x14ac:dyDescent="0.25">
      <c r="H10" s="72"/>
      <c r="O10" s="11" t="s">
        <v>218</v>
      </c>
      <c r="P10" s="34"/>
      <c r="Q10" s="2">
        <v>0</v>
      </c>
      <c r="W10" s="133">
        <v>42664</v>
      </c>
      <c r="X10" s="10">
        <v>67.680000000000007</v>
      </c>
      <c r="Y10" s="10">
        <v>68.23</v>
      </c>
      <c r="Z10" s="10">
        <v>67.09</v>
      </c>
      <c r="AA10" s="10">
        <v>67.930000000000007</v>
      </c>
      <c r="AB10" s="95">
        <v>2588800</v>
      </c>
      <c r="AC10" s="10">
        <v>67.930000000000007</v>
      </c>
      <c r="AD10" s="2">
        <f t="shared" si="0"/>
        <v>1.1400000000000006</v>
      </c>
      <c r="AE10" s="138">
        <f t="shared" si="1"/>
        <v>-7.3551044424824408E-4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1.46E-2</v>
      </c>
      <c r="W11" s="133">
        <v>42663</v>
      </c>
      <c r="X11" s="10">
        <v>68.88</v>
      </c>
      <c r="Y11" s="10">
        <v>68.88</v>
      </c>
      <c r="Z11" s="10">
        <v>67.849999999999994</v>
      </c>
      <c r="AA11" s="10">
        <v>67.98</v>
      </c>
      <c r="AB11" s="95">
        <v>2497600</v>
      </c>
      <c r="AC11" s="10">
        <v>67.98</v>
      </c>
      <c r="AD11" s="2">
        <f t="shared" si="0"/>
        <v>1.0300000000000011</v>
      </c>
      <c r="AE11" s="138">
        <f t="shared" si="1"/>
        <v>-1.0480349344978102E-2</v>
      </c>
    </row>
    <row r="12" spans="1:31" x14ac:dyDescent="0.25">
      <c r="H12" s="72"/>
      <c r="W12" s="133">
        <v>42662</v>
      </c>
      <c r="X12" s="10">
        <v>68.8</v>
      </c>
      <c r="Y12" s="10">
        <v>69</v>
      </c>
      <c r="Z12" s="10">
        <v>68.349999999999994</v>
      </c>
      <c r="AA12" s="10">
        <v>68.7</v>
      </c>
      <c r="AB12" s="95">
        <v>1546700</v>
      </c>
      <c r="AC12" s="10">
        <v>68.7</v>
      </c>
      <c r="AD12" s="2">
        <f t="shared" si="0"/>
        <v>0.65000000000000568</v>
      </c>
      <c r="AE12" s="138">
        <f t="shared" si="1"/>
        <v>1.4558159848609975E-4</v>
      </c>
    </row>
    <row r="13" spans="1:31" x14ac:dyDescent="0.25">
      <c r="H13" s="72"/>
      <c r="W13" s="133">
        <v>42661</v>
      </c>
      <c r="X13" s="10">
        <v>68.89</v>
      </c>
      <c r="Y13" s="10">
        <v>69.069999999999993</v>
      </c>
      <c r="Z13" s="10">
        <v>68.58</v>
      </c>
      <c r="AA13" s="10">
        <v>68.69</v>
      </c>
      <c r="AB13" s="95">
        <v>1314700</v>
      </c>
      <c r="AC13" s="10">
        <v>68.69</v>
      </c>
      <c r="AD13" s="2">
        <f t="shared" si="0"/>
        <v>0.48999999999999488</v>
      </c>
      <c r="AE13" s="138">
        <f t="shared" si="1"/>
        <v>2.9201343261791024E-3</v>
      </c>
    </row>
    <row r="14" spans="1:31" x14ac:dyDescent="0.25">
      <c r="H14" s="72"/>
      <c r="W14" s="133">
        <v>42660</v>
      </c>
      <c r="X14" s="10">
        <v>69.319999999999993</v>
      </c>
      <c r="Y14" s="10">
        <v>69.540000000000006</v>
      </c>
      <c r="Z14" s="10">
        <v>68.28</v>
      </c>
      <c r="AA14" s="10">
        <v>68.489999999999995</v>
      </c>
      <c r="AB14" s="95">
        <v>2489900</v>
      </c>
      <c r="AC14" s="10">
        <v>68.489999999999995</v>
      </c>
      <c r="AD14" s="2">
        <f t="shared" si="0"/>
        <v>1.2600000000000051</v>
      </c>
      <c r="AE14" s="138">
        <f t="shared" si="1"/>
        <v>-7.1035082632648905E-3</v>
      </c>
    </row>
    <row r="15" spans="1:31" x14ac:dyDescent="0.25">
      <c r="H15" s="72"/>
      <c r="W15" s="133">
        <v>42657</v>
      </c>
      <c r="X15" s="10">
        <v>69.25</v>
      </c>
      <c r="Y15" s="10">
        <v>69.489999999999995</v>
      </c>
      <c r="Z15" s="10">
        <v>68.930000000000007</v>
      </c>
      <c r="AA15" s="10">
        <v>68.98</v>
      </c>
      <c r="AB15" s="95">
        <v>1761700</v>
      </c>
      <c r="AC15" s="10">
        <v>68.98</v>
      </c>
      <c r="AD15" s="2">
        <f t="shared" si="0"/>
        <v>0.55999999999998806</v>
      </c>
      <c r="AE15" s="138">
        <f t="shared" si="1"/>
        <v>-5.335255948089257E-3</v>
      </c>
    </row>
    <row r="16" spans="1:31" x14ac:dyDescent="0.25">
      <c r="H16" s="72"/>
      <c r="W16" s="133">
        <v>42656</v>
      </c>
      <c r="X16" s="10">
        <v>68.95</v>
      </c>
      <c r="Y16" s="10">
        <v>69.739999999999995</v>
      </c>
      <c r="Z16" s="10">
        <v>68.489999999999995</v>
      </c>
      <c r="AA16" s="10">
        <v>69.349999999999994</v>
      </c>
      <c r="AB16" s="95">
        <v>2402700</v>
      </c>
      <c r="AC16" s="10">
        <v>69.349999999999994</v>
      </c>
      <c r="AD16" s="2">
        <f t="shared" si="0"/>
        <v>1.25</v>
      </c>
      <c r="AE16" s="138">
        <f t="shared" si="1"/>
        <v>4.1992470315665997E-3</v>
      </c>
    </row>
    <row r="17" spans="1:31" x14ac:dyDescent="0.25">
      <c r="W17" s="133">
        <v>42655</v>
      </c>
      <c r="X17" s="10">
        <v>68.83</v>
      </c>
      <c r="Y17" s="10">
        <v>69.38</v>
      </c>
      <c r="Z17" s="10">
        <v>68.599999999999994</v>
      </c>
      <c r="AA17" s="10">
        <v>69.06</v>
      </c>
      <c r="AB17" s="95">
        <v>2210000</v>
      </c>
      <c r="AC17" s="10">
        <v>69.06</v>
      </c>
      <c r="AD17" s="2">
        <f t="shared" si="0"/>
        <v>0.78000000000000114</v>
      </c>
      <c r="AE17" s="138">
        <f t="shared" si="1"/>
        <v>5.2401746724890508E-3</v>
      </c>
    </row>
    <row r="18" spans="1:31" x14ac:dyDescent="0.25">
      <c r="A18" s="32" t="s">
        <v>81</v>
      </c>
      <c r="B18" s="14"/>
      <c r="C18" s="14">
        <f>SUM(C2:C6)</f>
        <v>65</v>
      </c>
      <c r="D18" s="18"/>
      <c r="E18" s="18"/>
      <c r="F18" s="18">
        <f>SUM(F2:F6)</f>
        <v>4547.6000000000004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10</v>
      </c>
      <c r="W18" s="133">
        <v>42654</v>
      </c>
      <c r="X18" s="10">
        <v>69.430000000000007</v>
      </c>
      <c r="Y18" s="10">
        <v>69.45</v>
      </c>
      <c r="Z18" s="10">
        <v>68.209999999999994</v>
      </c>
      <c r="AA18" s="10">
        <v>68.7</v>
      </c>
      <c r="AB18" s="95">
        <v>3161600</v>
      </c>
      <c r="AC18" s="10">
        <v>68.7</v>
      </c>
      <c r="AD18" s="2">
        <f t="shared" si="0"/>
        <v>1.2400000000000091</v>
      </c>
      <c r="AE18" s="138">
        <f t="shared" si="1"/>
        <v>-1.0229073620515727E-2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42653</v>
      </c>
      <c r="X19" s="10">
        <v>69.709999999999994</v>
      </c>
      <c r="Y19" s="10">
        <v>70</v>
      </c>
      <c r="Z19" s="10">
        <v>68.900000000000006</v>
      </c>
      <c r="AA19" s="10">
        <v>69.41</v>
      </c>
      <c r="AB19" s="95">
        <v>2914500</v>
      </c>
      <c r="AC19" s="10">
        <v>69.41</v>
      </c>
      <c r="AD19" s="2">
        <f t="shared" si="0"/>
        <v>1.0999999999999943</v>
      </c>
      <c r="AE19" s="138">
        <f t="shared" si="1"/>
        <v>-3.5888601780074136E-3</v>
      </c>
    </row>
    <row r="20" spans="1:31" x14ac:dyDescent="0.25">
      <c r="W20" s="133">
        <v>42650</v>
      </c>
      <c r="X20" s="10">
        <v>69.28</v>
      </c>
      <c r="Y20" s="10">
        <v>69.86</v>
      </c>
      <c r="Z20" s="10">
        <v>69.069999999999993</v>
      </c>
      <c r="AA20" s="10">
        <v>69.66</v>
      </c>
      <c r="AB20" s="95">
        <v>3844300</v>
      </c>
      <c r="AC20" s="10">
        <v>69.66</v>
      </c>
      <c r="AD20" s="2">
        <f t="shared" si="0"/>
        <v>0.79000000000000625</v>
      </c>
      <c r="AE20" s="138">
        <f t="shared" si="1"/>
        <v>8.8341781317886614E-3</v>
      </c>
    </row>
    <row r="21" spans="1:31" x14ac:dyDescent="0.25">
      <c r="W21" s="133">
        <v>42649</v>
      </c>
      <c r="X21" s="10">
        <v>67</v>
      </c>
      <c r="Y21" s="10">
        <v>69.11</v>
      </c>
      <c r="Z21" s="10">
        <v>66.88</v>
      </c>
      <c r="AA21" s="10">
        <v>69.05</v>
      </c>
      <c r="AB21" s="95">
        <v>4248000</v>
      </c>
      <c r="AC21" s="10">
        <v>69.05</v>
      </c>
      <c r="AD21" s="2">
        <f t="shared" si="0"/>
        <v>2.230000000000004</v>
      </c>
      <c r="AE21" s="138">
        <f t="shared" si="1"/>
        <v>3.1058682992384679E-2</v>
      </c>
    </row>
    <row r="22" spans="1:31" x14ac:dyDescent="0.25">
      <c r="W22" s="133">
        <v>42648</v>
      </c>
      <c r="X22" s="10">
        <v>68</v>
      </c>
      <c r="Y22" s="10">
        <v>68.33</v>
      </c>
      <c r="Z22" s="10">
        <v>66.5</v>
      </c>
      <c r="AA22" s="10">
        <v>66.97</v>
      </c>
      <c r="AB22" s="95">
        <v>4304800</v>
      </c>
      <c r="AC22" s="10">
        <v>66.97</v>
      </c>
      <c r="AD22" s="2">
        <f t="shared" si="0"/>
        <v>1.8299999999999983</v>
      </c>
      <c r="AE22" s="138">
        <f t="shared" si="1"/>
        <v>-1.5870683321087431E-2</v>
      </c>
    </row>
    <row r="23" spans="1:31" x14ac:dyDescent="0.25">
      <c r="W23" s="133">
        <v>42647</v>
      </c>
      <c r="X23" s="10">
        <v>68.599999999999994</v>
      </c>
      <c r="Y23" s="10">
        <v>69.28</v>
      </c>
      <c r="Z23" s="10">
        <v>67.95</v>
      </c>
      <c r="AA23" s="10">
        <v>68.05</v>
      </c>
      <c r="AB23" s="95">
        <v>5178100</v>
      </c>
      <c r="AC23" s="10">
        <v>68.05</v>
      </c>
      <c r="AD23" s="2">
        <f t="shared" si="0"/>
        <v>1.3299999999999983</v>
      </c>
      <c r="AE23" s="138">
        <f t="shared" si="1"/>
        <v>-2.3672883787661525E-2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42646</v>
      </c>
      <c r="X24" s="10">
        <v>69.27</v>
      </c>
      <c r="Y24" s="10">
        <v>69.86</v>
      </c>
      <c r="Z24" s="10">
        <v>68.400000000000006</v>
      </c>
      <c r="AA24" s="10">
        <v>69.7</v>
      </c>
      <c r="AB24" s="95">
        <v>5168500</v>
      </c>
      <c r="AC24" s="10">
        <v>69.7</v>
      </c>
      <c r="AD24" s="2">
        <f t="shared" si="0"/>
        <v>1.4599999999999937</v>
      </c>
      <c r="AE24" s="138">
        <f t="shared" si="1"/>
        <v>-4.1434490641518718E-3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42643</v>
      </c>
      <c r="X25" s="10">
        <v>69.58</v>
      </c>
      <c r="Y25" s="10">
        <v>70.47</v>
      </c>
      <c r="Z25" s="10">
        <v>68.77</v>
      </c>
      <c r="AA25" s="10">
        <v>69.989999999999995</v>
      </c>
      <c r="AB25" s="95">
        <v>4880800</v>
      </c>
      <c r="AC25" s="10">
        <v>69.989999999999995</v>
      </c>
      <c r="AD25" s="2">
        <f t="shared" si="0"/>
        <v>1.7000000000000028</v>
      </c>
      <c r="AE25" s="138">
        <f t="shared" si="1"/>
        <v>9.6653202538949934E-3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ref="F26" si="6">C26*(E26-D26)</f>
        <v>-6.5999999999999659</v>
      </c>
      <c r="G26" s="40">
        <f t="shared" ref="G26" si="7">D26*C26</f>
        <v>1441.6</v>
      </c>
      <c r="H26" s="231">
        <f t="shared" ref="H26" si="8">(E26-D26)/D26</f>
        <v>-4.5782463928967579E-3</v>
      </c>
      <c r="I26" s="40"/>
      <c r="W26" s="133">
        <v>42642</v>
      </c>
      <c r="X26" s="10">
        <v>70.260000000000005</v>
      </c>
      <c r="Y26" s="10">
        <v>70.349999999999994</v>
      </c>
      <c r="Z26" s="10">
        <v>69.16</v>
      </c>
      <c r="AA26" s="10">
        <v>69.319999999999993</v>
      </c>
      <c r="AB26" s="95">
        <v>4832200</v>
      </c>
      <c r="AC26" s="10">
        <v>69.319999999999993</v>
      </c>
      <c r="AD26" s="2">
        <f t="shared" si="0"/>
        <v>1.1899999999999977</v>
      </c>
      <c r="AE26" s="138">
        <f t="shared" si="1"/>
        <v>-1.6737588652482316E-2</v>
      </c>
    </row>
    <row r="27" spans="1:31" x14ac:dyDescent="0.25">
      <c r="B27" s="193">
        <v>42621</v>
      </c>
      <c r="C27" s="10">
        <v>40</v>
      </c>
      <c r="D27" s="40">
        <v>71.265000000000001</v>
      </c>
      <c r="E27" s="40">
        <v>70.67</v>
      </c>
      <c r="F27" s="40">
        <f t="shared" ref="F27" si="9">C27*(E27-D27)</f>
        <v>-23.799999999999955</v>
      </c>
      <c r="G27" s="40">
        <f t="shared" ref="G27" si="10">D27*C27</f>
        <v>2850.6</v>
      </c>
      <c r="H27" s="231">
        <f t="shared" ref="H27" si="11">(E27-D27)/D27</f>
        <v>-8.3491194836174676E-3</v>
      </c>
      <c r="I27" s="40"/>
      <c r="W27" s="133">
        <v>42641</v>
      </c>
      <c r="X27" s="10">
        <v>71.33</v>
      </c>
      <c r="Y27" s="10">
        <v>71.34</v>
      </c>
      <c r="Z27" s="10">
        <v>70.39</v>
      </c>
      <c r="AA27" s="10">
        <v>70.5</v>
      </c>
      <c r="AB27" s="95">
        <v>3430800</v>
      </c>
      <c r="AC27" s="10">
        <v>70.5</v>
      </c>
      <c r="AD27" s="2">
        <f t="shared" si="0"/>
        <v>0.95000000000000284</v>
      </c>
      <c r="AE27" s="138">
        <f t="shared" si="1"/>
        <v>-1.5363128491620026E-2</v>
      </c>
    </row>
    <row r="28" spans="1:31" x14ac:dyDescent="0.25">
      <c r="B28" s="193">
        <v>42627</v>
      </c>
      <c r="C28" s="10">
        <v>40</v>
      </c>
      <c r="D28" s="40">
        <v>71.265000000000001</v>
      </c>
      <c r="E28" s="40">
        <v>71.510000000000005</v>
      </c>
      <c r="F28" s="40">
        <f t="shared" ref="F28" si="12">C28*(E28-D28)</f>
        <v>9.8000000000001819</v>
      </c>
      <c r="G28" s="40">
        <f t="shared" ref="G28" si="13">D28*C28</f>
        <v>2850.6</v>
      </c>
      <c r="H28" s="231">
        <f t="shared" ref="H28" si="14">(E28-D28)/D28</f>
        <v>3.4378727285484397E-3</v>
      </c>
      <c r="I28" s="40"/>
      <c r="W28" s="133">
        <v>42640</v>
      </c>
      <c r="X28" s="10">
        <v>71.84</v>
      </c>
      <c r="Y28" s="10">
        <v>72.36</v>
      </c>
      <c r="Z28" s="10">
        <v>71.290000000000006</v>
      </c>
      <c r="AA28" s="10">
        <v>71.599999999999994</v>
      </c>
      <c r="AB28" s="95">
        <v>2416500</v>
      </c>
      <c r="AC28" s="10">
        <v>71.599999999999994</v>
      </c>
      <c r="AD28" s="2">
        <f t="shared" si="0"/>
        <v>1.0699999999999932</v>
      </c>
      <c r="AE28" s="138">
        <f t="shared" si="1"/>
        <v>-1.2554052169061469E-3</v>
      </c>
    </row>
    <row r="29" spans="1:31" x14ac:dyDescent="0.25">
      <c r="B29" s="193">
        <v>42628</v>
      </c>
      <c r="C29" s="10">
        <v>40</v>
      </c>
      <c r="D29" s="40">
        <v>71.265000000000001</v>
      </c>
      <c r="E29" s="40">
        <v>72.53</v>
      </c>
      <c r="F29" s="40">
        <f t="shared" ref="F29" si="15">C29*(E29-D29)</f>
        <v>50.600000000000023</v>
      </c>
      <c r="G29" s="40">
        <f t="shared" ref="G29" si="16">D29*C29</f>
        <v>2850.6</v>
      </c>
      <c r="H29" s="231">
        <f t="shared" ref="H29" si="17">(E29-D29)/D29</f>
        <v>1.7750648986178355E-2</v>
      </c>
      <c r="I29" s="40"/>
      <c r="W29" s="133">
        <v>42639</v>
      </c>
      <c r="X29" s="10">
        <v>71.63</v>
      </c>
      <c r="Y29" s="10">
        <v>72</v>
      </c>
      <c r="Z29" s="10">
        <v>71.5</v>
      </c>
      <c r="AA29" s="10">
        <v>71.69</v>
      </c>
      <c r="AB29" s="95">
        <v>2461600</v>
      </c>
      <c r="AC29" s="10">
        <v>71.69</v>
      </c>
      <c r="AD29" s="2">
        <f t="shared" si="0"/>
        <v>0.5</v>
      </c>
      <c r="AE29" s="138">
        <f t="shared" si="1"/>
        <v>-5.5486197808295445E-3</v>
      </c>
    </row>
    <row r="30" spans="1:31" x14ac:dyDescent="0.25">
      <c r="B30" s="193">
        <v>42641</v>
      </c>
      <c r="C30" s="10">
        <v>40</v>
      </c>
      <c r="D30" s="40">
        <v>71.265000000000001</v>
      </c>
      <c r="E30" s="40">
        <v>70.5</v>
      </c>
      <c r="F30" s="40">
        <f t="shared" ref="F30" si="18">C30*(E30-D30)</f>
        <v>-30.600000000000023</v>
      </c>
      <c r="G30" s="40">
        <f t="shared" ref="G30" si="19">D30*C30</f>
        <v>2850.6</v>
      </c>
      <c r="H30" s="231">
        <f t="shared" ref="H30" si="20">(E30-D30)/D30</f>
        <v>-1.0734582193222488E-2</v>
      </c>
      <c r="I30" s="40"/>
      <c r="W30" s="133">
        <v>42636</v>
      </c>
      <c r="X30" s="10">
        <v>71.27</v>
      </c>
      <c r="Y30" s="10">
        <v>72.5</v>
      </c>
      <c r="Z30" s="10">
        <v>71.260000000000005</v>
      </c>
      <c r="AA30" s="10">
        <v>72.09</v>
      </c>
      <c r="AB30" s="95">
        <v>2711800</v>
      </c>
      <c r="AC30" s="10">
        <v>72.09</v>
      </c>
      <c r="AD30" s="2">
        <f t="shared" si="0"/>
        <v>1.2399999999999949</v>
      </c>
      <c r="AE30" s="138">
        <f t="shared" si="1"/>
        <v>2.7820280984838242E-3</v>
      </c>
    </row>
    <row r="31" spans="1:31" x14ac:dyDescent="0.25">
      <c r="B31" s="193">
        <v>42647</v>
      </c>
      <c r="C31" s="10">
        <v>40</v>
      </c>
      <c r="D31" s="40">
        <v>71.265000000000001</v>
      </c>
      <c r="E31" s="40">
        <v>68.05</v>
      </c>
      <c r="F31" s="40">
        <f t="shared" ref="F31:F32" si="21">C31*(E31-D31)</f>
        <v>-128.60000000000014</v>
      </c>
      <c r="G31" s="40">
        <f t="shared" ref="G31:G32" si="22">D31*C31</f>
        <v>2850.6</v>
      </c>
      <c r="H31" s="231">
        <f t="shared" ref="H31:H32" si="23">(E31-D31)/D31</f>
        <v>-4.5113309478706287E-2</v>
      </c>
      <c r="I31" s="40"/>
      <c r="W31" s="133">
        <v>42635</v>
      </c>
      <c r="X31" s="10">
        <v>72.39</v>
      </c>
      <c r="Y31" s="10">
        <v>72.8</v>
      </c>
      <c r="Z31" s="10">
        <v>71.59</v>
      </c>
      <c r="AA31" s="10">
        <v>71.89</v>
      </c>
      <c r="AB31" s="95">
        <v>4682900</v>
      </c>
      <c r="AC31" s="10">
        <v>71.89</v>
      </c>
      <c r="AD31" s="2">
        <f t="shared" si="0"/>
        <v>1.2099999999999937</v>
      </c>
      <c r="AE31" s="138">
        <f t="shared" si="1"/>
        <v>-4.0177334441674484E-3</v>
      </c>
    </row>
    <row r="32" spans="1:31" x14ac:dyDescent="0.25">
      <c r="B32" s="193">
        <v>42648</v>
      </c>
      <c r="C32" s="10">
        <v>65</v>
      </c>
      <c r="D32" s="40">
        <v>69.809200000000004</v>
      </c>
      <c r="E32" s="40">
        <v>66.97</v>
      </c>
      <c r="F32" s="40">
        <f t="shared" si="21"/>
        <v>-184.54800000000034</v>
      </c>
      <c r="G32" s="40">
        <f t="shared" si="22"/>
        <v>4537.598</v>
      </c>
      <c r="H32" s="231">
        <f t="shared" si="23"/>
        <v>-4.0670857136308754E-2</v>
      </c>
      <c r="I32" s="40"/>
      <c r="W32" s="133">
        <v>42634</v>
      </c>
      <c r="X32" s="10">
        <v>71.62</v>
      </c>
      <c r="Y32" s="10">
        <v>72.260000000000005</v>
      </c>
      <c r="Z32" s="10">
        <v>71.400000000000006</v>
      </c>
      <c r="AA32" s="10">
        <v>72.180000000000007</v>
      </c>
      <c r="AB32" s="95">
        <v>3098500</v>
      </c>
      <c r="AC32" s="10">
        <v>72.180000000000007</v>
      </c>
      <c r="AD32" s="2">
        <f t="shared" si="0"/>
        <v>0.85999999999999943</v>
      </c>
      <c r="AE32" s="138">
        <f t="shared" si="1"/>
        <v>6.4138315672059854E-3</v>
      </c>
    </row>
    <row r="33" spans="2:31" x14ac:dyDescent="0.25">
      <c r="B33" s="193">
        <v>42649</v>
      </c>
      <c r="C33" s="10">
        <v>65</v>
      </c>
      <c r="D33" s="40">
        <v>69.809200000000004</v>
      </c>
      <c r="E33" s="40">
        <v>69.05</v>
      </c>
      <c r="F33" s="40">
        <f t="shared" ref="F33" si="24">C33*(E33-D33)</f>
        <v>-49.348000000000454</v>
      </c>
      <c r="G33" s="40">
        <f t="shared" ref="G33" si="25">D33*C33</f>
        <v>4537.598</v>
      </c>
      <c r="H33" s="231">
        <f t="shared" ref="H33" si="26">(E33-D33)/D33</f>
        <v>-1.0875357402749307E-2</v>
      </c>
      <c r="I33" s="40"/>
      <c r="W33" s="133">
        <v>42633</v>
      </c>
      <c r="X33" s="10">
        <v>71.930000000000007</v>
      </c>
      <c r="Y33" s="10">
        <v>72.31</v>
      </c>
      <c r="Z33" s="10">
        <v>71.290000000000006</v>
      </c>
      <c r="AA33" s="10">
        <v>71.72</v>
      </c>
      <c r="AB33" s="95">
        <v>2792700</v>
      </c>
      <c r="AC33" s="10">
        <v>71.72</v>
      </c>
      <c r="AD33" s="2">
        <f t="shared" si="0"/>
        <v>1.019999999999996</v>
      </c>
      <c r="AE33" s="138">
        <f t="shared" si="1"/>
        <v>-1.5313935681470214E-3</v>
      </c>
    </row>
    <row r="34" spans="2:31" x14ac:dyDescent="0.25">
      <c r="B34" s="193">
        <v>42650</v>
      </c>
      <c r="C34" s="10">
        <v>65</v>
      </c>
      <c r="D34" s="40">
        <v>69.809200000000004</v>
      </c>
      <c r="E34" s="40">
        <v>69.66</v>
      </c>
      <c r="F34" s="40">
        <f t="shared" ref="F34" si="27">C34*(E34-D34)</f>
        <v>-9.6980000000004907</v>
      </c>
      <c r="G34" s="40">
        <f t="shared" ref="G34" si="28">D34*C34</f>
        <v>4537.598</v>
      </c>
      <c r="H34" s="231">
        <f t="shared" ref="H34" si="29">(E34-D34)/D34</f>
        <v>-2.1372541155035086E-3</v>
      </c>
      <c r="I34" s="40"/>
      <c r="W34" s="133">
        <v>42632</v>
      </c>
      <c r="X34" s="10">
        <v>71.92</v>
      </c>
      <c r="Y34" s="10">
        <v>72.47</v>
      </c>
      <c r="Z34" s="10">
        <v>71.52</v>
      </c>
      <c r="AA34" s="10">
        <v>71.83</v>
      </c>
      <c r="AB34" s="95">
        <v>4095400</v>
      </c>
      <c r="AC34" s="10">
        <v>71.83</v>
      </c>
      <c r="AD34" s="2">
        <f t="shared" si="0"/>
        <v>0.95000000000000284</v>
      </c>
      <c r="AE34" s="138">
        <f t="shared" si="1"/>
        <v>-1.112501738283922E-3</v>
      </c>
    </row>
    <row r="35" spans="2:31" x14ac:dyDescent="0.25">
      <c r="B35" s="193">
        <v>42674</v>
      </c>
      <c r="C35" s="10">
        <v>65</v>
      </c>
      <c r="D35" s="40">
        <v>69.809200000000004</v>
      </c>
      <c r="E35" s="40">
        <v>69.09</v>
      </c>
      <c r="F35" s="40">
        <f t="shared" ref="F35" si="30">C35*(E35-D35)</f>
        <v>-46.748000000000047</v>
      </c>
      <c r="G35" s="40">
        <f t="shared" ref="G35" si="31">D35*C35</f>
        <v>4537.598</v>
      </c>
      <c r="H35" s="231">
        <f t="shared" ref="H35" si="32">(E35-D35)/D35</f>
        <v>-1.0302367023257689E-2</v>
      </c>
      <c r="I35" s="40"/>
      <c r="W35" s="133">
        <v>42629</v>
      </c>
      <c r="X35" s="10">
        <v>71.89</v>
      </c>
      <c r="Y35" s="10">
        <v>72.36</v>
      </c>
      <c r="Z35" s="10">
        <v>71.11</v>
      </c>
      <c r="AA35" s="10">
        <v>71.91</v>
      </c>
      <c r="AB35" s="95">
        <v>9022600</v>
      </c>
      <c r="AC35" s="10">
        <v>71.91</v>
      </c>
      <c r="AD35" s="2">
        <f t="shared" si="0"/>
        <v>1.25</v>
      </c>
      <c r="AE35" s="138">
        <f t="shared" si="1"/>
        <v>-8.5481869571212288E-3</v>
      </c>
    </row>
    <row r="36" spans="2:31" x14ac:dyDescent="0.25">
      <c r="B36" s="193">
        <v>42676</v>
      </c>
      <c r="C36" s="10">
        <v>65</v>
      </c>
      <c r="D36" s="40">
        <v>69.809200000000004</v>
      </c>
      <c r="E36" s="40">
        <v>69.599999999999994</v>
      </c>
      <c r="F36" s="40">
        <f t="shared" ref="F36" si="33">C36*(E36-D36)</f>
        <v>-13.598000000000638</v>
      </c>
      <c r="G36" s="40">
        <f t="shared" ref="G36" si="34">D36*C36</f>
        <v>4537.598</v>
      </c>
      <c r="H36" s="231">
        <f t="shared" ref="H36" si="35">(E36-D36)/D36</f>
        <v>-2.9967396847408339E-3</v>
      </c>
      <c r="I36" s="40"/>
      <c r="W36" s="133">
        <v>42628</v>
      </c>
      <c r="X36" s="10">
        <v>71.5</v>
      </c>
      <c r="Y36" s="10">
        <v>72.61</v>
      </c>
      <c r="Z36" s="10">
        <v>71.09</v>
      </c>
      <c r="AA36" s="10">
        <v>72.53</v>
      </c>
      <c r="AB36" s="95">
        <v>4934100</v>
      </c>
      <c r="AC36" s="10">
        <v>72.53</v>
      </c>
      <c r="AD36" s="2">
        <f t="shared" si="0"/>
        <v>1.519999999999996</v>
      </c>
      <c r="AE36" s="138">
        <f t="shared" si="1"/>
        <v>1.4263739337155634E-2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42627</v>
      </c>
      <c r="X37" s="10">
        <v>70.42</v>
      </c>
      <c r="Y37" s="10">
        <v>71.67</v>
      </c>
      <c r="Z37" s="10">
        <v>70.25</v>
      </c>
      <c r="AA37" s="10">
        <v>71.510000000000005</v>
      </c>
      <c r="AB37" s="95">
        <v>5729800</v>
      </c>
      <c r="AC37" s="10">
        <v>71.510000000000005</v>
      </c>
      <c r="AD37" s="2">
        <f t="shared" si="0"/>
        <v>1.4200000000000017</v>
      </c>
      <c r="AE37" s="138">
        <f t="shared" si="1"/>
        <v>1.6055697641375488E-2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42626</v>
      </c>
      <c r="X38" s="10">
        <v>71.569999999999993</v>
      </c>
      <c r="Y38" s="10">
        <v>71.709999999999994</v>
      </c>
      <c r="Z38" s="10">
        <v>70.05</v>
      </c>
      <c r="AA38" s="10">
        <v>70.38</v>
      </c>
      <c r="AB38" s="95">
        <v>4145800</v>
      </c>
      <c r="AC38" s="10">
        <v>70.38</v>
      </c>
      <c r="AD38" s="2">
        <f t="shared" si="0"/>
        <v>1.6599999999999966</v>
      </c>
      <c r="AE38" s="138">
        <f t="shared" si="1"/>
        <v>-1.9367423714644061E-2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42625</v>
      </c>
      <c r="X39" s="10">
        <v>70.489999999999995</v>
      </c>
      <c r="Y39" s="10">
        <v>71.92</v>
      </c>
      <c r="Z39" s="10">
        <v>70.06</v>
      </c>
      <c r="AA39" s="10">
        <v>71.77</v>
      </c>
      <c r="AB39" s="95">
        <v>5023600</v>
      </c>
      <c r="AC39" s="10">
        <v>71.77</v>
      </c>
      <c r="AD39" s="2">
        <f t="shared" si="0"/>
        <v>1.8599999999999994</v>
      </c>
      <c r="AE39" s="138" t="e">
        <f t="shared" si="1"/>
        <v>#DIV/0!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8" t="s">
        <v>78</v>
      </c>
      <c r="P40" s="588"/>
      <c r="W40" s="133">
        <v>42625</v>
      </c>
      <c r="X40" s="10" t="s">
        <v>125</v>
      </c>
      <c r="Y40" s="10"/>
      <c r="Z40" s="10"/>
      <c r="AA40" s="10"/>
      <c r="AB40" s="95"/>
      <c r="AC40" s="10"/>
      <c r="AD40" s="2">
        <f t="shared" si="0"/>
        <v>0</v>
      </c>
      <c r="AE40" s="138">
        <f t="shared" si="1"/>
        <v>-1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76.56</v>
      </c>
      <c r="Q41" s="2"/>
      <c r="W41" s="133">
        <v>42622</v>
      </c>
      <c r="X41" s="10">
        <v>70.44</v>
      </c>
      <c r="Y41" s="10">
        <v>71.3</v>
      </c>
      <c r="Z41" s="10">
        <v>70.099999999999994</v>
      </c>
      <c r="AA41" s="10">
        <v>70.58</v>
      </c>
      <c r="AB41" s="95">
        <v>5818700</v>
      </c>
      <c r="AC41" s="10">
        <v>70.33</v>
      </c>
      <c r="AD41" s="2">
        <f t="shared" si="0"/>
        <v>1.2000000000000028</v>
      </c>
      <c r="AE41" s="138">
        <f t="shared" si="1"/>
        <v>-1.2780460096564195E-3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75.864000000000004</v>
      </c>
      <c r="Q42" s="2"/>
      <c r="T42" s="91" t="s">
        <v>113</v>
      </c>
      <c r="W42" s="133">
        <v>42621</v>
      </c>
      <c r="X42" s="10">
        <v>71.239999999999995</v>
      </c>
      <c r="Y42" s="10">
        <v>71.599999999999994</v>
      </c>
      <c r="Z42" s="10">
        <v>70.44</v>
      </c>
      <c r="AA42" s="10">
        <v>70.67</v>
      </c>
      <c r="AB42" s="95">
        <v>5009600</v>
      </c>
      <c r="AC42" s="10">
        <v>70.42</v>
      </c>
      <c r="AD42" s="2">
        <f t="shared" si="0"/>
        <v>1.1599999999999966</v>
      </c>
      <c r="AE42" s="138">
        <f t="shared" si="1"/>
        <v>-1.51048951048951E-2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75.167999999999992</v>
      </c>
      <c r="Q43" s="2"/>
      <c r="T43" s="128" t="s">
        <v>98</v>
      </c>
      <c r="U43" s="129">
        <v>69.05</v>
      </c>
      <c r="W43" s="133">
        <v>42620</v>
      </c>
      <c r="X43" s="10">
        <v>71.959999999999994</v>
      </c>
      <c r="Y43" s="10">
        <v>72.33</v>
      </c>
      <c r="Z43" s="10">
        <v>70.87</v>
      </c>
      <c r="AA43" s="10">
        <v>71.75</v>
      </c>
      <c r="AB43" s="95">
        <v>7301300</v>
      </c>
      <c r="AC43" s="10">
        <v>71.5</v>
      </c>
      <c r="AD43" s="2">
        <f t="shared" si="0"/>
        <v>1.4599999999999937</v>
      </c>
      <c r="AE43" s="138">
        <f t="shared" si="1"/>
        <v>-3.3454139949817829E-3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74.471999999999994</v>
      </c>
      <c r="Q44" s="2"/>
      <c r="T44" s="93" t="s">
        <v>99</v>
      </c>
      <c r="U44" s="130">
        <v>68.849999999999994</v>
      </c>
      <c r="W44" s="133">
        <v>42619</v>
      </c>
      <c r="X44" s="10">
        <v>73.02</v>
      </c>
      <c r="Y44" s="10">
        <v>73.5</v>
      </c>
      <c r="Z44" s="10">
        <v>71.930000000000007</v>
      </c>
      <c r="AA44" s="10">
        <v>72</v>
      </c>
      <c r="AB44" s="95">
        <v>7066000</v>
      </c>
      <c r="AC44" s="10">
        <v>71.739999999999995</v>
      </c>
      <c r="AD44" s="2">
        <f t="shared" si="0"/>
        <v>1.5699999999999932</v>
      </c>
      <c r="AE44" s="138">
        <f t="shared" si="1"/>
        <v>-1.8067341910758428E-2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6"/>
        <v>73.775999999999996</v>
      </c>
      <c r="Q45" s="2"/>
      <c r="T45" s="93" t="s">
        <v>100</v>
      </c>
      <c r="U45" s="130" t="s">
        <v>590</v>
      </c>
      <c r="W45" s="133">
        <v>42615</v>
      </c>
      <c r="X45" s="10">
        <v>73.81</v>
      </c>
      <c r="Y45" s="10">
        <v>74.349999999999994</v>
      </c>
      <c r="Z45" s="10">
        <v>72.87</v>
      </c>
      <c r="AA45" s="10">
        <v>73.319999999999993</v>
      </c>
      <c r="AB45" s="95">
        <v>4301200</v>
      </c>
      <c r="AC45" s="10">
        <v>73.06</v>
      </c>
      <c r="AD45" s="2">
        <f t="shared" si="0"/>
        <v>1.4799999999999898</v>
      </c>
      <c r="AE45" s="138">
        <f t="shared" si="1"/>
        <v>-6.256800870511392E-3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6"/>
        <v>73.08</v>
      </c>
      <c r="Q46" s="2"/>
      <c r="T46" s="93" t="s">
        <v>101</v>
      </c>
      <c r="U46" s="130" t="s">
        <v>591</v>
      </c>
      <c r="W46" s="133">
        <v>42614</v>
      </c>
      <c r="X46" s="10">
        <v>73.89</v>
      </c>
      <c r="Y46" s="10">
        <v>74.39</v>
      </c>
      <c r="Z46" s="10">
        <v>73.069999999999993</v>
      </c>
      <c r="AA46" s="10">
        <v>73.78</v>
      </c>
      <c r="AB46" s="95">
        <v>5608000</v>
      </c>
      <c r="AC46" s="10">
        <v>73.52</v>
      </c>
      <c r="AD46" s="2">
        <f t="shared" si="0"/>
        <v>1.3200000000000074</v>
      </c>
      <c r="AE46" s="138">
        <f t="shared" si="1"/>
        <v>5.0580997949418727E-3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36"/>
        <v>72.384</v>
      </c>
      <c r="Q47" s="2"/>
      <c r="T47" s="93" t="s">
        <v>102</v>
      </c>
      <c r="U47" s="130">
        <v>83.39</v>
      </c>
      <c r="W47" s="133">
        <v>42613</v>
      </c>
      <c r="X47" s="10">
        <v>75.17</v>
      </c>
      <c r="Y47" s="10">
        <v>75.25</v>
      </c>
      <c r="Z47" s="10">
        <v>73.19</v>
      </c>
      <c r="AA47" s="10">
        <v>73.41</v>
      </c>
      <c r="AB47" s="95">
        <v>9670000</v>
      </c>
      <c r="AC47" s="10">
        <v>73.150000000000006</v>
      </c>
      <c r="AD47" s="2">
        <f t="shared" si="0"/>
        <v>2.0600000000000023</v>
      </c>
      <c r="AE47" s="138">
        <f t="shared" si="1"/>
        <v>-2.9583443884319327E-2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6"/>
        <v>71.688000000000002</v>
      </c>
      <c r="Q48" s="2"/>
      <c r="T48" s="93" t="s">
        <v>103</v>
      </c>
      <c r="U48" s="130">
        <v>0.77164100000000002</v>
      </c>
      <c r="W48" s="133">
        <v>42612</v>
      </c>
      <c r="X48" s="10">
        <v>77.19</v>
      </c>
      <c r="Y48" s="10">
        <v>77.45</v>
      </c>
      <c r="Z48" s="10">
        <v>75.400000000000006</v>
      </c>
      <c r="AA48" s="10">
        <v>75.650000000000006</v>
      </c>
      <c r="AB48" s="95">
        <v>5509000</v>
      </c>
      <c r="AC48" s="10">
        <v>75.38</v>
      </c>
      <c r="AD48" s="2">
        <f t="shared" si="0"/>
        <v>2.0499999999999972</v>
      </c>
      <c r="AE48" s="138">
        <f t="shared" si="1"/>
        <v>-2.3828023828023848E-2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6"/>
        <v>70.99199999999999</v>
      </c>
      <c r="Q49" s="2"/>
      <c r="T49" s="93" t="s">
        <v>122</v>
      </c>
      <c r="U49" s="130" t="s">
        <v>323</v>
      </c>
      <c r="W49" s="133">
        <v>42611</v>
      </c>
      <c r="X49" s="10">
        <v>75.78</v>
      </c>
      <c r="Y49" s="10">
        <v>77.790000000000006</v>
      </c>
      <c r="Z49" s="10">
        <v>75.48</v>
      </c>
      <c r="AA49" s="10">
        <v>77.489999999999995</v>
      </c>
      <c r="AB49" s="95">
        <v>8034100</v>
      </c>
      <c r="AC49" s="10">
        <v>77.22</v>
      </c>
      <c r="AD49" s="2">
        <f t="shared" si="0"/>
        <v>2.3100000000000023</v>
      </c>
      <c r="AE49" s="138">
        <f t="shared" si="1"/>
        <v>2.6452213212813991E-2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6"/>
        <v>70.295999999999992</v>
      </c>
      <c r="Q50" s="2"/>
      <c r="T50" s="93"/>
      <c r="U50" s="130"/>
      <c r="W50" s="133">
        <v>42608</v>
      </c>
      <c r="X50" s="10">
        <v>75.239999999999995</v>
      </c>
      <c r="Y50" s="10">
        <v>77.36</v>
      </c>
      <c r="Z50" s="10">
        <v>75.2</v>
      </c>
      <c r="AA50" s="10">
        <v>75.5</v>
      </c>
      <c r="AB50" s="95">
        <v>11792200</v>
      </c>
      <c r="AC50" s="10">
        <v>75.23</v>
      </c>
      <c r="AD50" s="2">
        <f t="shared" si="0"/>
        <v>2.1599999999999966</v>
      </c>
      <c r="AE50" s="138">
        <f t="shared" si="1"/>
        <v>-1.4600477833820458E-3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6"/>
        <v>69.599999999999994</v>
      </c>
      <c r="Q51" s="2"/>
      <c r="T51" s="93" t="s">
        <v>105</v>
      </c>
      <c r="U51" s="130" t="s">
        <v>592</v>
      </c>
      <c r="W51" s="133">
        <v>42607</v>
      </c>
      <c r="X51" s="10">
        <v>81.59</v>
      </c>
      <c r="Y51" s="10">
        <v>82.28</v>
      </c>
      <c r="Z51" s="10">
        <v>75.13</v>
      </c>
      <c r="AA51" s="10">
        <v>75.61</v>
      </c>
      <c r="AB51" s="95">
        <v>29850400</v>
      </c>
      <c r="AC51" s="10">
        <v>75.34</v>
      </c>
      <c r="AD51" s="2">
        <f t="shared" si="0"/>
        <v>7.1500000000000057</v>
      </c>
      <c r="AE51" s="138">
        <f t="shared" si="1"/>
        <v>-0.17625191340476698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6"/>
        <v>68.903999999999996</v>
      </c>
      <c r="Q52" s="2"/>
      <c r="T52" s="93" t="s">
        <v>106</v>
      </c>
      <c r="U52" s="130" t="s">
        <v>324</v>
      </c>
      <c r="W52" s="133">
        <v>42606</v>
      </c>
      <c r="X52" s="10">
        <v>91.6</v>
      </c>
      <c r="Y52" s="10">
        <v>92.01</v>
      </c>
      <c r="Z52" s="10">
        <v>91.4</v>
      </c>
      <c r="AA52" s="10">
        <v>91.79</v>
      </c>
      <c r="AB52" s="95">
        <v>3004900</v>
      </c>
      <c r="AC52" s="10">
        <v>91.46</v>
      </c>
      <c r="AD52" s="2">
        <f t="shared" si="0"/>
        <v>0.60999999999999943</v>
      </c>
      <c r="AE52" s="138">
        <f t="shared" si="1"/>
        <v>3.1808709005154423E-3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6"/>
        <v>68.207999999999998</v>
      </c>
      <c r="Q53" s="2"/>
      <c r="T53" s="93" t="s">
        <v>107</v>
      </c>
      <c r="U53" s="131">
        <v>2647851</v>
      </c>
      <c r="W53" s="133">
        <v>42605</v>
      </c>
      <c r="X53" s="10">
        <v>91.13</v>
      </c>
      <c r="Y53" s="10">
        <v>91.68</v>
      </c>
      <c r="Z53" s="10">
        <v>90.9</v>
      </c>
      <c r="AA53" s="10">
        <v>91.49</v>
      </c>
      <c r="AB53" s="95">
        <v>2038300</v>
      </c>
      <c r="AC53" s="10">
        <v>91.17</v>
      </c>
      <c r="AD53" s="2">
        <f t="shared" si="0"/>
        <v>0.78000000000000114</v>
      </c>
      <c r="AE53" s="138">
        <f t="shared" si="1"/>
        <v>7.6259946949601698E-3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6"/>
        <v>67.511999999999986</v>
      </c>
      <c r="T54" s="93" t="s">
        <v>110</v>
      </c>
      <c r="U54" s="131">
        <v>4117140</v>
      </c>
      <c r="W54" s="133">
        <v>42604</v>
      </c>
      <c r="X54" s="10">
        <v>91.12</v>
      </c>
      <c r="Y54" s="10">
        <v>91.38</v>
      </c>
      <c r="Z54" s="10">
        <v>90.24</v>
      </c>
      <c r="AA54" s="10">
        <v>90.8</v>
      </c>
      <c r="AB54" s="95">
        <v>2580800</v>
      </c>
      <c r="AC54" s="10">
        <v>90.48</v>
      </c>
      <c r="AD54" s="2">
        <f t="shared" si="0"/>
        <v>1.1400000000000006</v>
      </c>
      <c r="AE54" s="138">
        <f t="shared" si="1"/>
        <v>-5.5230310394338566E-4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6"/>
        <v>66.815999999999988</v>
      </c>
      <c r="T55" s="93" t="s">
        <v>108</v>
      </c>
      <c r="U55" s="130" t="s">
        <v>593</v>
      </c>
      <c r="W55" s="133">
        <v>42601</v>
      </c>
      <c r="X55" s="10">
        <v>91.6</v>
      </c>
      <c r="Y55" s="10">
        <v>91.87</v>
      </c>
      <c r="Z55" s="10">
        <v>90.42</v>
      </c>
      <c r="AA55" s="10">
        <v>90.85</v>
      </c>
      <c r="AB55" s="95">
        <v>2073500</v>
      </c>
      <c r="AC55" s="10">
        <v>90.53</v>
      </c>
      <c r="AD55" s="2">
        <f t="shared" si="0"/>
        <v>1.4500000000000028</v>
      </c>
      <c r="AE55" s="138">
        <f t="shared" si="1"/>
        <v>-9.1933895151581346E-3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6"/>
        <v>66.11999999999999</v>
      </c>
      <c r="T56" s="93" t="s">
        <v>111</v>
      </c>
      <c r="U56" s="130">
        <v>16.28</v>
      </c>
      <c r="W56" s="133">
        <v>42600</v>
      </c>
      <c r="X56" s="10">
        <v>91.25</v>
      </c>
      <c r="Y56" s="10">
        <v>92.04</v>
      </c>
      <c r="Z56" s="10">
        <v>90.63</v>
      </c>
      <c r="AA56" s="10">
        <v>91.69</v>
      </c>
      <c r="AB56" s="95">
        <v>2397200</v>
      </c>
      <c r="AC56" s="10">
        <v>91.37</v>
      </c>
      <c r="AD56" s="2">
        <f t="shared" si="0"/>
        <v>1.4100000000000108</v>
      </c>
      <c r="AE56" s="138">
        <f t="shared" si="1"/>
        <v>8.4988962472407614E-3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6"/>
        <v>65.423999999999992</v>
      </c>
      <c r="T57" s="93" t="s">
        <v>112</v>
      </c>
      <c r="U57" s="130">
        <v>4.28</v>
      </c>
      <c r="W57" s="133">
        <v>42599</v>
      </c>
      <c r="X57" s="10">
        <v>88.68</v>
      </c>
      <c r="Y57" s="10">
        <v>91.31</v>
      </c>
      <c r="Z57" s="10">
        <v>88.07</v>
      </c>
      <c r="AA57" s="10">
        <v>90.92</v>
      </c>
      <c r="AB57" s="95">
        <v>4556800</v>
      </c>
      <c r="AC57" s="10">
        <v>90.6</v>
      </c>
      <c r="AD57" s="2">
        <f t="shared" si="0"/>
        <v>3.2400000000000091</v>
      </c>
      <c r="AE57" s="138">
        <f t="shared" si="1"/>
        <v>1.603678367163841E-2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6"/>
        <v>64.727999999999994</v>
      </c>
      <c r="T58" s="93" t="s">
        <v>109</v>
      </c>
      <c r="U58" s="130" t="s">
        <v>445</v>
      </c>
      <c r="W58" s="133">
        <v>42598</v>
      </c>
      <c r="X58" s="10">
        <v>91.76</v>
      </c>
      <c r="Y58" s="10">
        <v>92.1</v>
      </c>
      <c r="Z58" s="10">
        <v>89.06</v>
      </c>
      <c r="AA58" s="10">
        <v>89.49</v>
      </c>
      <c r="AB58" s="95">
        <v>4371500</v>
      </c>
      <c r="AC58" s="10">
        <v>89.17</v>
      </c>
      <c r="AD58" s="2">
        <f t="shared" si="0"/>
        <v>3.039999999999992</v>
      </c>
      <c r="AE58" s="138">
        <f t="shared" si="1"/>
        <v>-2.864923747276682E-2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6"/>
        <v>64.031999999999996</v>
      </c>
      <c r="W59" s="133">
        <v>42597</v>
      </c>
      <c r="X59" s="10">
        <v>92.2</v>
      </c>
      <c r="Y59" s="10">
        <v>92.65</v>
      </c>
      <c r="Z59" s="10">
        <v>91.75</v>
      </c>
      <c r="AA59" s="10">
        <v>92.13</v>
      </c>
      <c r="AB59" s="95">
        <v>2455200</v>
      </c>
      <c r="AC59" s="10">
        <v>91.8</v>
      </c>
      <c r="AD59" s="2">
        <f t="shared" si="0"/>
        <v>0.90000000000000568</v>
      </c>
      <c r="AE59" s="138">
        <f t="shared" si="1"/>
        <v>-8.4251458198315587E-3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6"/>
        <v>63.335999999999999</v>
      </c>
      <c r="W60" s="133">
        <v>42594</v>
      </c>
      <c r="X60" s="10">
        <v>92.69</v>
      </c>
      <c r="Y60" s="10">
        <v>93.11</v>
      </c>
      <c r="Z60" s="10">
        <v>92.31</v>
      </c>
      <c r="AA60" s="10">
        <v>92.91</v>
      </c>
      <c r="AB60" s="95">
        <v>1629000</v>
      </c>
      <c r="AC60" s="10">
        <v>92.58</v>
      </c>
      <c r="AD60" s="2">
        <f t="shared" si="0"/>
        <v>0.79999999999999716</v>
      </c>
      <c r="AE60" s="138">
        <f t="shared" si="1"/>
        <v>2.0564996211711595E-3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6"/>
        <v>62.639999999999993</v>
      </c>
      <c r="W61" s="133">
        <v>42593</v>
      </c>
      <c r="X61" s="10">
        <v>94.08</v>
      </c>
      <c r="Y61" s="10">
        <v>94.75</v>
      </c>
      <c r="Z61" s="10">
        <v>92.26</v>
      </c>
      <c r="AA61" s="10">
        <v>92.72</v>
      </c>
      <c r="AB61" s="95">
        <v>2463200</v>
      </c>
      <c r="AC61" s="10">
        <v>92.39</v>
      </c>
      <c r="AD61" s="2">
        <f t="shared" si="0"/>
        <v>2.4899999999999949</v>
      </c>
      <c r="AE61" s="138">
        <f t="shared" si="1"/>
        <v>-3.2365951019527328E-3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42592</v>
      </c>
      <c r="X62" s="10">
        <v>92.44</v>
      </c>
      <c r="Y62" s="10">
        <v>93.49</v>
      </c>
      <c r="Z62" s="10">
        <v>92.28</v>
      </c>
      <c r="AA62" s="10">
        <v>93.02</v>
      </c>
      <c r="AB62" s="95">
        <v>2533800</v>
      </c>
      <c r="AC62" s="10">
        <v>92.69</v>
      </c>
      <c r="AD62" s="2">
        <f t="shared" si="0"/>
        <v>1.2099999999999937</v>
      </c>
      <c r="AE62" s="138">
        <f t="shared" si="1"/>
        <v>1.0685857594591619E-2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42591</v>
      </c>
      <c r="X63" s="10">
        <v>92.76</v>
      </c>
      <c r="Y63" s="10">
        <v>92.76</v>
      </c>
      <c r="Z63" s="10">
        <v>91.83</v>
      </c>
      <c r="AA63" s="10">
        <v>92.04</v>
      </c>
      <c r="AB63" s="95">
        <v>2296800</v>
      </c>
      <c r="AC63" s="10">
        <v>91.71</v>
      </c>
      <c r="AD63" s="2">
        <f t="shared" si="0"/>
        <v>0.93000000000000682</v>
      </c>
      <c r="AE63" s="138">
        <f t="shared" si="1"/>
        <v>-1.0252536153680158E-2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42590</v>
      </c>
      <c r="X64" s="10">
        <v>94.32</v>
      </c>
      <c r="Y64" s="10">
        <v>94.32</v>
      </c>
      <c r="Z64" s="10">
        <v>92.78</v>
      </c>
      <c r="AA64" s="10">
        <v>92.99</v>
      </c>
      <c r="AB64" s="95">
        <v>1311100</v>
      </c>
      <c r="AC64" s="10">
        <v>92.66</v>
      </c>
      <c r="AD64" s="2">
        <f t="shared" si="0"/>
        <v>1.539999999999992</v>
      </c>
      <c r="AE64" s="138">
        <f t="shared" si="1"/>
        <v>-1.4674606550404201E-2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42587</v>
      </c>
      <c r="X65" s="10">
        <v>93.41</v>
      </c>
      <c r="Y65" s="10">
        <v>94.62</v>
      </c>
      <c r="Z65" s="10">
        <v>93.28</v>
      </c>
      <c r="AA65" s="10">
        <v>94.37</v>
      </c>
      <c r="AB65" s="95">
        <v>1551100</v>
      </c>
      <c r="AC65" s="10">
        <v>94.04</v>
      </c>
      <c r="AD65" s="2">
        <f t="shared" si="0"/>
        <v>1.3400000000000034</v>
      </c>
      <c r="AE65" s="138">
        <f t="shared" si="1"/>
        <v>1.3471279232675881E-2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42586</v>
      </c>
      <c r="X66" s="10">
        <v>93.85</v>
      </c>
      <c r="Y66" s="10">
        <v>94.23</v>
      </c>
      <c r="Z66" s="10">
        <v>92.9</v>
      </c>
      <c r="AA66" s="10">
        <v>93.12</v>
      </c>
      <c r="AB66" s="95">
        <v>1409300</v>
      </c>
      <c r="AC66" s="10">
        <v>92.79</v>
      </c>
      <c r="AD66" s="2">
        <f t="shared" si="0"/>
        <v>1.3299999999999983</v>
      </c>
      <c r="AE66" s="138">
        <f t="shared" si="1"/>
        <v>-6.9563356164382695E-3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42585</v>
      </c>
      <c r="X67" s="10">
        <v>92.58</v>
      </c>
      <c r="Y67" s="10">
        <v>93.95</v>
      </c>
      <c r="Z67" s="10">
        <v>92.13</v>
      </c>
      <c r="AA67" s="10">
        <v>93.77</v>
      </c>
      <c r="AB67" s="95">
        <v>1570700</v>
      </c>
      <c r="AC67" s="10">
        <v>93.44</v>
      </c>
      <c r="AD67" s="2">
        <f>Y67-Z67</f>
        <v>1.8200000000000074</v>
      </c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42584</v>
      </c>
      <c r="X68" s="10">
        <v>93.98</v>
      </c>
      <c r="Y68" s="10">
        <v>94.24</v>
      </c>
      <c r="Z68" s="10">
        <v>92.82</v>
      </c>
      <c r="AA68" s="10">
        <v>93.16</v>
      </c>
      <c r="AB68" s="95">
        <v>2008500</v>
      </c>
      <c r="AC68" s="10">
        <v>92.83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47" priority="9">
      <formula>F47&gt;0</formula>
    </cfRule>
    <cfRule type="expression" dxfId="746" priority="10">
      <formula>F47&lt;0</formula>
    </cfRule>
  </conditionalFormatting>
  <conditionalFormatting sqref="Q7">
    <cfRule type="expression" dxfId="745" priority="7">
      <formula>Q7&gt;0</formula>
    </cfRule>
    <cfRule type="expression" dxfId="744" priority="8">
      <formula>Q7&lt;0</formula>
    </cfRule>
  </conditionalFormatting>
  <conditionalFormatting sqref="Q8">
    <cfRule type="expression" dxfId="743" priority="5">
      <formula>Q8&gt;0</formula>
    </cfRule>
    <cfRule type="expression" dxfId="742" priority="6">
      <formula>Q8&lt;0</formula>
    </cfRule>
  </conditionalFormatting>
  <conditionalFormatting sqref="F25:F46">
    <cfRule type="expression" dxfId="741" priority="3">
      <formula>F25&gt;0</formula>
    </cfRule>
    <cfRule type="expression" dxfId="740" priority="4">
      <formula>F25&lt;0</formula>
    </cfRule>
  </conditionalFormatting>
  <conditionalFormatting sqref="H25:H46">
    <cfRule type="expression" dxfId="739" priority="1">
      <formula>H25&gt;0</formula>
    </cfRule>
    <cfRule type="expression" dxfId="73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8554687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74">
        <v>42619</v>
      </c>
      <c r="C2" s="4">
        <v>50</v>
      </c>
      <c r="D2" s="3">
        <v>31.18</v>
      </c>
      <c r="E2" s="3">
        <v>0</v>
      </c>
      <c r="F2" s="3">
        <f>D2*C2+E2</f>
        <v>1559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42676</v>
      </c>
      <c r="X2" s="368">
        <v>31.2</v>
      </c>
      <c r="Y2" s="40">
        <v>31.89</v>
      </c>
      <c r="Z2" s="40">
        <v>31.2</v>
      </c>
      <c r="AA2" s="368">
        <v>31.53</v>
      </c>
      <c r="AB2" s="95">
        <v>653700</v>
      </c>
      <c r="AC2" s="243">
        <v>31.53</v>
      </c>
      <c r="AD2" s="2">
        <f>Y2-Z2</f>
        <v>0.69000000000000128</v>
      </c>
      <c r="AE2" s="138">
        <f>AC2/AC3-1</f>
        <v>1.2849341471249609E-2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31.18</v>
      </c>
      <c r="T3" s="121"/>
      <c r="W3" s="94">
        <v>42675</v>
      </c>
      <c r="X3" s="368">
        <v>31.74</v>
      </c>
      <c r="Y3" s="40">
        <v>31.74</v>
      </c>
      <c r="Z3" s="40">
        <v>30.78</v>
      </c>
      <c r="AA3" s="368">
        <v>31.13</v>
      </c>
      <c r="AB3" s="95">
        <v>896800</v>
      </c>
      <c r="AC3" s="243">
        <v>31.13</v>
      </c>
      <c r="AD3" s="2">
        <f>Y3-Z3</f>
        <v>0.9599999999999973</v>
      </c>
      <c r="AE3" s="138">
        <f>AC3/AC4-1</f>
        <v>-2.229899497487442E-2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31.54</v>
      </c>
      <c r="R4" s="527">
        <v>1.2800000000000001E-2</v>
      </c>
      <c r="T4" s="121"/>
      <c r="W4" s="94">
        <v>42674</v>
      </c>
      <c r="X4" s="368">
        <v>31.85</v>
      </c>
      <c r="Y4" s="40">
        <v>32.130000000000003</v>
      </c>
      <c r="Z4" s="40">
        <v>31.79</v>
      </c>
      <c r="AA4" s="368">
        <v>31.84</v>
      </c>
      <c r="AB4" s="95">
        <v>564700</v>
      </c>
      <c r="AC4" s="243">
        <v>31.84</v>
      </c>
      <c r="AD4" s="2">
        <f t="shared" ref="AD4:AD67" si="0">Y4-Z4</f>
        <v>0.34000000000000341</v>
      </c>
      <c r="AE4" s="138">
        <f t="shared" ref="AE4:AE67" si="1">AC4/AC5-1</f>
        <v>1.2578616352201255E-3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1577</v>
      </c>
      <c r="W5" s="94">
        <v>42671</v>
      </c>
      <c r="X5" s="368">
        <v>32.07</v>
      </c>
      <c r="Y5" s="40">
        <v>32.24</v>
      </c>
      <c r="Z5" s="40">
        <v>31.67</v>
      </c>
      <c r="AA5" s="368">
        <v>31.8</v>
      </c>
      <c r="AB5" s="95">
        <v>400000</v>
      </c>
      <c r="AC5" s="243">
        <v>31.8</v>
      </c>
      <c r="AD5" s="2">
        <f t="shared" si="0"/>
        <v>0.57000000000000028</v>
      </c>
      <c r="AE5" s="138">
        <f t="shared" si="1"/>
        <v>-6.2499999999999778E-3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1559</v>
      </c>
      <c r="W6" s="94">
        <v>42670</v>
      </c>
      <c r="X6" s="368">
        <v>32.17</v>
      </c>
      <c r="Y6" s="40">
        <v>32.75</v>
      </c>
      <c r="Z6" s="40">
        <v>31.92</v>
      </c>
      <c r="AA6" s="368">
        <v>32</v>
      </c>
      <c r="AB6" s="95">
        <v>636100</v>
      </c>
      <c r="AC6" s="243">
        <v>32</v>
      </c>
      <c r="AD6" s="2">
        <f t="shared" si="0"/>
        <v>0.82999999999999829</v>
      </c>
      <c r="AE6" s="138">
        <f t="shared" si="1"/>
        <v>-1.2484394506866447E-3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184</v>
      </c>
      <c r="P7"/>
      <c r="Q7" s="2">
        <f>Q10+Q8</f>
        <v>18</v>
      </c>
      <c r="R7">
        <v>50</v>
      </c>
      <c r="T7" s="85"/>
      <c r="W7" s="94">
        <v>42669</v>
      </c>
      <c r="X7" s="368">
        <v>32.090000000000003</v>
      </c>
      <c r="Y7" s="40">
        <v>32.450000000000003</v>
      </c>
      <c r="Z7" s="40">
        <v>31.95</v>
      </c>
      <c r="AA7" s="368">
        <v>32.04</v>
      </c>
      <c r="AB7" s="95">
        <v>453100</v>
      </c>
      <c r="AC7" s="243">
        <v>32.04</v>
      </c>
      <c r="AD7" s="2">
        <f t="shared" si="0"/>
        <v>0.50000000000000355</v>
      </c>
      <c r="AE7" s="138">
        <f t="shared" si="1"/>
        <v>-6.5116279069767913E-3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187</v>
      </c>
      <c r="Q8" s="2">
        <f>K18+M18-F18+Q2*Q4</f>
        <v>18</v>
      </c>
      <c r="W8" s="94">
        <v>42668</v>
      </c>
      <c r="X8" s="368">
        <v>32.43</v>
      </c>
      <c r="Y8" s="40">
        <v>32.75</v>
      </c>
      <c r="Z8" s="40">
        <v>32.119999999999997</v>
      </c>
      <c r="AA8" s="368">
        <v>32.25</v>
      </c>
      <c r="AB8" s="95">
        <v>603900</v>
      </c>
      <c r="AC8" s="243">
        <v>32.25</v>
      </c>
      <c r="AD8" s="2">
        <f t="shared" si="0"/>
        <v>0.63000000000000256</v>
      </c>
      <c r="AE8" s="138">
        <f t="shared" si="1"/>
        <v>-3.3992583436340817E-3</v>
      </c>
    </row>
    <row r="9" spans="1:40" x14ac:dyDescent="0.25">
      <c r="O9" s="11" t="s">
        <v>219</v>
      </c>
      <c r="P9"/>
      <c r="Q9" s="138">
        <f>IF(Q2=0, 0, Q8/Q6)</f>
        <v>1.1545862732520847E-2</v>
      </c>
      <c r="W9" s="94">
        <v>42667</v>
      </c>
      <c r="X9" s="368">
        <v>32.299999999999997</v>
      </c>
      <c r="Y9" s="40">
        <v>32.630000000000003</v>
      </c>
      <c r="Z9" s="40">
        <v>32.19</v>
      </c>
      <c r="AA9" s="368">
        <v>32.36</v>
      </c>
      <c r="AB9" s="95">
        <v>498200</v>
      </c>
      <c r="AC9" s="243">
        <v>32.36</v>
      </c>
      <c r="AD9" s="2">
        <f t="shared" si="0"/>
        <v>0.44000000000000483</v>
      </c>
      <c r="AE9" s="138">
        <f t="shared" si="1"/>
        <v>2.1678538247136281E-3</v>
      </c>
      <c r="AK9" s="234"/>
      <c r="AN9" s="234"/>
    </row>
    <row r="10" spans="1:40" ht="12.75" customHeight="1" x14ac:dyDescent="0.25">
      <c r="O10" s="11" t="s">
        <v>218</v>
      </c>
      <c r="Q10" s="2">
        <f>M37</f>
        <v>0</v>
      </c>
      <c r="W10" s="94">
        <v>42664</v>
      </c>
      <c r="X10" s="368">
        <v>32.53</v>
      </c>
      <c r="Y10" s="40">
        <v>32.68</v>
      </c>
      <c r="Z10" s="40">
        <v>32.200000000000003</v>
      </c>
      <c r="AA10" s="368">
        <v>32.29</v>
      </c>
      <c r="AB10" s="95">
        <v>393100</v>
      </c>
      <c r="AC10" s="243">
        <v>32.29</v>
      </c>
      <c r="AD10" s="2">
        <f t="shared" si="0"/>
        <v>0.47999999999999687</v>
      </c>
      <c r="AE10" s="138">
        <f t="shared" si="1"/>
        <v>-3.7025609379820468E-3</v>
      </c>
    </row>
    <row r="11" spans="1:40" x14ac:dyDescent="0.25">
      <c r="O11" s="11" t="s">
        <v>181</v>
      </c>
      <c r="Q11" s="138">
        <v>0</v>
      </c>
      <c r="W11" s="94">
        <v>42663</v>
      </c>
      <c r="X11" s="368">
        <v>32.130000000000003</v>
      </c>
      <c r="Y11" s="40">
        <v>32.56</v>
      </c>
      <c r="Z11" s="40">
        <v>32.11</v>
      </c>
      <c r="AA11" s="368">
        <v>32.409999999999997</v>
      </c>
      <c r="AB11" s="95">
        <v>494600</v>
      </c>
      <c r="AC11" s="243">
        <v>32.409999999999997</v>
      </c>
      <c r="AD11" s="2">
        <f t="shared" si="0"/>
        <v>0.45000000000000284</v>
      </c>
      <c r="AE11" s="138">
        <f t="shared" si="1"/>
        <v>5.2729528535977455E-3</v>
      </c>
      <c r="AK11" s="234"/>
      <c r="AN11" s="234"/>
    </row>
    <row r="12" spans="1:40" x14ac:dyDescent="0.25">
      <c r="W12" s="94">
        <v>42662</v>
      </c>
      <c r="X12" s="368">
        <v>32.25</v>
      </c>
      <c r="Y12" s="40">
        <v>32.79</v>
      </c>
      <c r="Z12" s="40">
        <v>31.94</v>
      </c>
      <c r="AA12" s="368">
        <v>32.24</v>
      </c>
      <c r="AB12" s="95">
        <v>464000</v>
      </c>
      <c r="AC12" s="243">
        <v>32.24</v>
      </c>
      <c r="AD12" s="2">
        <f t="shared" si="0"/>
        <v>0.84999999999999787</v>
      </c>
      <c r="AE12" s="138">
        <f t="shared" si="1"/>
        <v>-1.5484670176524329E-3</v>
      </c>
    </row>
    <row r="13" spans="1:40" x14ac:dyDescent="0.25">
      <c r="W13" s="94">
        <v>42661</v>
      </c>
      <c r="X13" s="368">
        <v>32.36</v>
      </c>
      <c r="Y13" s="40">
        <v>32.78</v>
      </c>
      <c r="Z13" s="40">
        <v>32.21</v>
      </c>
      <c r="AA13" s="368">
        <v>32.29</v>
      </c>
      <c r="AB13" s="95">
        <v>279800</v>
      </c>
      <c r="AC13" s="243">
        <v>32.29</v>
      </c>
      <c r="AD13" s="2">
        <f t="shared" si="0"/>
        <v>0.57000000000000028</v>
      </c>
      <c r="AE13" s="138">
        <f t="shared" si="1"/>
        <v>4.3545878693624918E-3</v>
      </c>
      <c r="AK13" s="234"/>
      <c r="AN13" s="234"/>
    </row>
    <row r="14" spans="1:40" x14ac:dyDescent="0.25">
      <c r="T14" s="84"/>
      <c r="U14" s="11"/>
      <c r="W14" s="94">
        <v>42660</v>
      </c>
      <c r="X14" s="368">
        <v>32.06</v>
      </c>
      <c r="Y14" s="40">
        <v>32.35</v>
      </c>
      <c r="Z14" s="40">
        <v>31.94</v>
      </c>
      <c r="AA14" s="368">
        <v>32.15</v>
      </c>
      <c r="AB14" s="95">
        <v>390300</v>
      </c>
      <c r="AC14" s="243">
        <v>32.15</v>
      </c>
      <c r="AD14" s="2">
        <f t="shared" si="0"/>
        <v>0.41000000000000014</v>
      </c>
      <c r="AE14" s="138">
        <f t="shared" si="1"/>
        <v>2.1820448877805099E-3</v>
      </c>
    </row>
    <row r="15" spans="1:40" x14ac:dyDescent="0.25">
      <c r="W15" s="94">
        <v>42657</v>
      </c>
      <c r="X15" s="368">
        <v>32.11</v>
      </c>
      <c r="Y15" s="40">
        <v>32.36</v>
      </c>
      <c r="Z15" s="40">
        <v>31.88</v>
      </c>
      <c r="AA15" s="368">
        <v>32.08</v>
      </c>
      <c r="AB15" s="95">
        <v>321000</v>
      </c>
      <c r="AC15" s="243">
        <v>32.08</v>
      </c>
      <c r="AD15" s="2">
        <f t="shared" si="0"/>
        <v>0.48000000000000043</v>
      </c>
      <c r="AE15" s="138">
        <f t="shared" si="1"/>
        <v>1.2484394506866447E-3</v>
      </c>
      <c r="AK15" s="234"/>
      <c r="AN15" s="234"/>
    </row>
    <row r="16" spans="1:40" x14ac:dyDescent="0.25">
      <c r="W16" s="94">
        <v>42656</v>
      </c>
      <c r="X16" s="368">
        <v>32.21</v>
      </c>
      <c r="Y16" s="40">
        <v>32.29</v>
      </c>
      <c r="Z16" s="40">
        <v>31.74</v>
      </c>
      <c r="AA16" s="368">
        <v>32.04</v>
      </c>
      <c r="AB16" s="95">
        <v>288700</v>
      </c>
      <c r="AC16" s="243">
        <v>32.04</v>
      </c>
      <c r="AD16" s="2">
        <f t="shared" si="0"/>
        <v>0.55000000000000071</v>
      </c>
      <c r="AE16" s="138">
        <f t="shared" si="1"/>
        <v>-7.7423350882626085E-3</v>
      </c>
    </row>
    <row r="17" spans="1:40" x14ac:dyDescent="0.25">
      <c r="W17" s="94">
        <v>42655</v>
      </c>
      <c r="X17" s="368">
        <v>32.1</v>
      </c>
      <c r="Y17" s="40">
        <v>32.479999999999997</v>
      </c>
      <c r="Z17" s="40">
        <v>32.01</v>
      </c>
      <c r="AA17" s="368">
        <v>32.29</v>
      </c>
      <c r="AB17" s="95">
        <v>533200</v>
      </c>
      <c r="AC17" s="243">
        <v>32.29</v>
      </c>
      <c r="AD17" s="2">
        <f t="shared" si="0"/>
        <v>0.46999999999999886</v>
      </c>
      <c r="AE17" s="138">
        <f t="shared" si="1"/>
        <v>1.000938379731009E-2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1559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42654</v>
      </c>
      <c r="X18" s="368">
        <v>31.62</v>
      </c>
      <c r="Y18" s="40">
        <v>32.07</v>
      </c>
      <c r="Z18" s="40">
        <v>31.47</v>
      </c>
      <c r="AA18" s="368">
        <v>31.97</v>
      </c>
      <c r="AB18" s="95">
        <v>594500</v>
      </c>
      <c r="AC18" s="243">
        <v>31.97</v>
      </c>
      <c r="AD18" s="2">
        <f t="shared" si="0"/>
        <v>0.60000000000000142</v>
      </c>
      <c r="AE18" s="138">
        <f t="shared" si="1"/>
        <v>3.4526051475203268E-3</v>
      </c>
    </row>
    <row r="19" spans="1:40" x14ac:dyDescent="0.25">
      <c r="W19" s="94">
        <v>42653</v>
      </c>
      <c r="X19" s="368">
        <v>31.73</v>
      </c>
      <c r="Y19" s="40">
        <v>31.97</v>
      </c>
      <c r="Z19" s="40">
        <v>31.73</v>
      </c>
      <c r="AA19" s="368">
        <v>31.86</v>
      </c>
      <c r="AB19" s="95">
        <v>188700</v>
      </c>
      <c r="AC19" s="243">
        <v>31.86</v>
      </c>
      <c r="AD19" s="2">
        <f t="shared" si="0"/>
        <v>0.23999999999999844</v>
      </c>
      <c r="AE19" s="138">
        <f t="shared" si="1"/>
        <v>9.1859360152042324E-3</v>
      </c>
      <c r="AK19" s="234"/>
      <c r="AN19" s="234"/>
    </row>
    <row r="20" spans="1:40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4" t="s">
        <v>65</v>
      </c>
      <c r="G20" s="229" t="s">
        <v>154</v>
      </c>
      <c r="H20" s="229" t="s">
        <v>88</v>
      </c>
      <c r="I20" s="229" t="s">
        <v>158</v>
      </c>
      <c r="W20" s="94">
        <v>42650</v>
      </c>
      <c r="X20" s="368">
        <v>31.58</v>
      </c>
      <c r="Y20" s="40">
        <v>31.64</v>
      </c>
      <c r="Z20" s="40">
        <v>31.28</v>
      </c>
      <c r="AA20" s="368">
        <v>31.57</v>
      </c>
      <c r="AB20" s="95">
        <v>304200</v>
      </c>
      <c r="AC20" s="243">
        <v>31.57</v>
      </c>
      <c r="AD20" s="2">
        <f t="shared" si="0"/>
        <v>0.35999999999999943</v>
      </c>
      <c r="AE20" s="138">
        <f t="shared" si="1"/>
        <v>-1.2654223347041693E-3</v>
      </c>
    </row>
    <row r="21" spans="1:40" x14ac:dyDescent="0.25">
      <c r="B21" s="193">
        <v>42619</v>
      </c>
      <c r="C21" s="10">
        <v>50</v>
      </c>
      <c r="D21" s="40">
        <v>31.18</v>
      </c>
      <c r="E21" s="40">
        <v>31.29</v>
      </c>
      <c r="F21" s="40">
        <f t="shared" ref="F21:F26" si="2">C21*(E21-D21)</f>
        <v>5.4999999999999716</v>
      </c>
      <c r="G21" s="40">
        <f t="shared" ref="G21:G26" si="3">D21*C21</f>
        <v>1559</v>
      </c>
      <c r="H21" s="231">
        <f t="shared" ref="H21:H26" si="4">(E21-D21)/D21</f>
        <v>3.5279025016035736E-3</v>
      </c>
      <c r="I21" s="40"/>
      <c r="W21" s="94">
        <v>42649</v>
      </c>
      <c r="X21" s="368">
        <v>31.88</v>
      </c>
      <c r="Y21" s="40">
        <v>31.88</v>
      </c>
      <c r="Z21" s="40">
        <v>31.5</v>
      </c>
      <c r="AA21" s="368">
        <v>31.61</v>
      </c>
      <c r="AB21" s="95">
        <v>306900</v>
      </c>
      <c r="AC21" s="243">
        <v>31.61</v>
      </c>
      <c r="AD21" s="2">
        <f t="shared" si="0"/>
        <v>0.37999999999999901</v>
      </c>
      <c r="AE21" s="138">
        <f t="shared" si="1"/>
        <v>-8.1581424537182645E-3</v>
      </c>
      <c r="AK21" s="234"/>
      <c r="AN21" s="234"/>
    </row>
    <row r="22" spans="1:40" x14ac:dyDescent="0.25">
      <c r="B22" s="193">
        <v>42620</v>
      </c>
      <c r="C22" s="10">
        <v>50</v>
      </c>
      <c r="D22" s="40">
        <v>31.18</v>
      </c>
      <c r="E22" s="40">
        <v>31.51</v>
      </c>
      <c r="F22" s="40">
        <f t="shared" si="2"/>
        <v>16.500000000000092</v>
      </c>
      <c r="G22" s="40">
        <f t="shared" si="3"/>
        <v>1559</v>
      </c>
      <c r="H22" s="231">
        <f t="shared" si="4"/>
        <v>1.0583707504810835E-2</v>
      </c>
      <c r="I22" s="40"/>
      <c r="W22" s="94">
        <v>42648</v>
      </c>
      <c r="X22" s="368">
        <v>31.62</v>
      </c>
      <c r="Y22" s="40">
        <v>32.07</v>
      </c>
      <c r="Z22" s="40">
        <v>31.4</v>
      </c>
      <c r="AA22" s="368">
        <v>31.87</v>
      </c>
      <c r="AB22" s="95">
        <v>582000</v>
      </c>
      <c r="AC22" s="243">
        <v>31.87</v>
      </c>
      <c r="AD22" s="2">
        <f t="shared" si="0"/>
        <v>0.67000000000000171</v>
      </c>
      <c r="AE22" s="138">
        <f t="shared" si="1"/>
        <v>1.1746031746031838E-2</v>
      </c>
    </row>
    <row r="23" spans="1:40" x14ac:dyDescent="0.25">
      <c r="B23" s="193">
        <v>42621</v>
      </c>
      <c r="C23" s="10">
        <v>50</v>
      </c>
      <c r="D23" s="40">
        <v>31.18</v>
      </c>
      <c r="E23" s="40">
        <v>31.65</v>
      </c>
      <c r="F23" s="40">
        <f t="shared" si="2"/>
        <v>23.499999999999943</v>
      </c>
      <c r="G23" s="40">
        <f t="shared" si="3"/>
        <v>1559</v>
      </c>
      <c r="H23" s="231">
        <f t="shared" si="4"/>
        <v>1.5073765234124403E-2</v>
      </c>
      <c r="I23" s="40"/>
      <c r="W23" s="94">
        <v>42647</v>
      </c>
      <c r="X23" s="368">
        <v>32.07</v>
      </c>
      <c r="Y23" s="40">
        <v>32.39</v>
      </c>
      <c r="Z23" s="40">
        <v>31.42</v>
      </c>
      <c r="AA23" s="368">
        <v>31.5</v>
      </c>
      <c r="AB23" s="95">
        <v>965100</v>
      </c>
      <c r="AC23" s="243">
        <v>31.5</v>
      </c>
      <c r="AD23" s="2">
        <f t="shared" si="0"/>
        <v>0.96999999999999886</v>
      </c>
      <c r="AE23" s="138">
        <f t="shared" si="1"/>
        <v>-1.6239850093691555E-2</v>
      </c>
      <c r="AK23" s="234"/>
    </row>
    <row r="24" spans="1:40" x14ac:dyDescent="0.25">
      <c r="B24" s="193">
        <v>42622</v>
      </c>
      <c r="C24" s="10">
        <v>50</v>
      </c>
      <c r="D24" s="40">
        <v>31.18</v>
      </c>
      <c r="E24" s="40">
        <v>31.5</v>
      </c>
      <c r="F24" s="40">
        <f t="shared" si="2"/>
        <v>16.000000000000014</v>
      </c>
      <c r="G24" s="40">
        <f t="shared" si="3"/>
        <v>1559</v>
      </c>
      <c r="H24" s="231">
        <f t="shared" si="4"/>
        <v>1.0262989095574096E-2</v>
      </c>
      <c r="I24" s="40"/>
      <c r="W24" s="94">
        <v>42646</v>
      </c>
      <c r="X24" s="368">
        <v>32.409999999999997</v>
      </c>
      <c r="Y24" s="40">
        <v>32.409999999999997</v>
      </c>
      <c r="Z24" s="40">
        <v>31.94</v>
      </c>
      <c r="AA24" s="368">
        <v>32.020000000000003</v>
      </c>
      <c r="AB24" s="95">
        <v>345600</v>
      </c>
      <c r="AC24" s="243">
        <v>32.020000000000003</v>
      </c>
      <c r="AD24" s="2">
        <f t="shared" si="0"/>
        <v>0.46999999999999531</v>
      </c>
      <c r="AE24" s="138">
        <f t="shared" si="1"/>
        <v>-9.894867037724242E-3</v>
      </c>
    </row>
    <row r="25" spans="1:40" x14ac:dyDescent="0.25">
      <c r="B25" s="193">
        <v>42634</v>
      </c>
      <c r="C25" s="10">
        <v>50</v>
      </c>
      <c r="D25" s="40">
        <v>31.18</v>
      </c>
      <c r="E25" s="40">
        <v>32.049999999999997</v>
      </c>
      <c r="F25" s="40">
        <f t="shared" si="2"/>
        <v>43.499999999999872</v>
      </c>
      <c r="G25" s="40">
        <f t="shared" si="3"/>
        <v>1559</v>
      </c>
      <c r="H25" s="231">
        <f t="shared" si="4"/>
        <v>2.7902501603591964E-2</v>
      </c>
      <c r="I25" s="40"/>
      <c r="W25" s="94">
        <v>42643</v>
      </c>
      <c r="X25" s="368">
        <v>31.74</v>
      </c>
      <c r="Y25" s="40">
        <v>32.520000000000003</v>
      </c>
      <c r="Z25" s="40">
        <v>31.6</v>
      </c>
      <c r="AA25" s="368">
        <v>32.340000000000003</v>
      </c>
      <c r="AB25" s="95">
        <v>552200</v>
      </c>
      <c r="AC25" s="243">
        <v>32.340000000000003</v>
      </c>
      <c r="AD25" s="2">
        <f t="shared" si="0"/>
        <v>0.92000000000000171</v>
      </c>
      <c r="AE25" s="138">
        <f t="shared" si="1"/>
        <v>1.9546027742749272E-2</v>
      </c>
    </row>
    <row r="26" spans="1:40" x14ac:dyDescent="0.25">
      <c r="B26" s="193">
        <v>42648</v>
      </c>
      <c r="C26" s="10">
        <v>50</v>
      </c>
      <c r="D26" s="40">
        <v>31.18</v>
      </c>
      <c r="E26" s="40">
        <v>31.87</v>
      </c>
      <c r="F26" s="40">
        <f t="shared" si="2"/>
        <v>34.500000000000064</v>
      </c>
      <c r="G26" s="40">
        <f t="shared" si="3"/>
        <v>1559</v>
      </c>
      <c r="H26" s="231">
        <f t="shared" si="4"/>
        <v>2.2129570237331662E-2</v>
      </c>
      <c r="I26" s="40"/>
      <c r="W26" s="94">
        <v>42642</v>
      </c>
      <c r="X26" s="368">
        <v>31.62</v>
      </c>
      <c r="Y26" s="40">
        <v>32.24</v>
      </c>
      <c r="Z26" s="40">
        <v>31.58</v>
      </c>
      <c r="AA26" s="368">
        <v>31.72</v>
      </c>
      <c r="AB26" s="95">
        <v>406400</v>
      </c>
      <c r="AC26" s="243">
        <v>31.72</v>
      </c>
      <c r="AD26" s="2">
        <f t="shared" si="0"/>
        <v>0.66000000000000369</v>
      </c>
      <c r="AE26" s="138">
        <f t="shared" si="1"/>
        <v>6.309148264984632E-4</v>
      </c>
    </row>
    <row r="27" spans="1:40" x14ac:dyDescent="0.25">
      <c r="B27" s="193">
        <v>42649</v>
      </c>
      <c r="C27" s="10">
        <v>50</v>
      </c>
      <c r="D27" s="40">
        <v>31.18</v>
      </c>
      <c r="E27" s="40">
        <v>31.61</v>
      </c>
      <c r="F27" s="40">
        <f t="shared" ref="F27" si="5">C27*(E27-D27)</f>
        <v>21.499999999999986</v>
      </c>
      <c r="G27" s="40">
        <f t="shared" ref="G27" si="6">D27*C27</f>
        <v>1559</v>
      </c>
      <c r="H27" s="231">
        <f t="shared" ref="H27" si="7">(E27-D27)/D27</f>
        <v>1.379089159717767E-2</v>
      </c>
      <c r="I27" s="40"/>
      <c r="W27" s="94">
        <v>42641</v>
      </c>
      <c r="X27" s="368">
        <v>32.19</v>
      </c>
      <c r="Y27" s="40">
        <v>32.5</v>
      </c>
      <c r="Z27" s="40">
        <v>31.47</v>
      </c>
      <c r="AA27" s="368">
        <v>31.7</v>
      </c>
      <c r="AB27" s="95">
        <v>603100</v>
      </c>
      <c r="AC27" s="243">
        <v>31.7</v>
      </c>
      <c r="AD27" s="2">
        <f t="shared" si="0"/>
        <v>1.0300000000000011</v>
      </c>
      <c r="AE27" s="138">
        <f t="shared" si="1"/>
        <v>-1.2461059190031265E-2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42640</v>
      </c>
      <c r="X28" s="368">
        <v>31.97</v>
      </c>
      <c r="Y28" s="40">
        <v>32.56</v>
      </c>
      <c r="Z28" s="40">
        <v>31.89</v>
      </c>
      <c r="AA28" s="368">
        <v>32.1</v>
      </c>
      <c r="AB28" s="95">
        <v>580900</v>
      </c>
      <c r="AC28" s="243">
        <v>32.1</v>
      </c>
      <c r="AD28" s="2">
        <f t="shared" si="0"/>
        <v>0.67000000000000171</v>
      </c>
      <c r="AE28" s="138">
        <f t="shared" si="1"/>
        <v>2.4984384759525469E-3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42639</v>
      </c>
      <c r="X29" s="368">
        <v>32.090000000000003</v>
      </c>
      <c r="Y29" s="40">
        <v>32.56</v>
      </c>
      <c r="Z29" s="40">
        <v>31.9</v>
      </c>
      <c r="AA29" s="368">
        <v>32.020000000000003</v>
      </c>
      <c r="AB29" s="95">
        <v>470900</v>
      </c>
      <c r="AC29" s="243">
        <v>32.020000000000003</v>
      </c>
      <c r="AD29" s="2">
        <f t="shared" si="0"/>
        <v>0.66000000000000369</v>
      </c>
      <c r="AE29" s="138">
        <f t="shared" si="1"/>
        <v>-2.1813649111872557E-3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42636</v>
      </c>
      <c r="X30" s="368">
        <v>31.91</v>
      </c>
      <c r="Y30" s="40">
        <v>32.5</v>
      </c>
      <c r="Z30" s="40">
        <v>31.91</v>
      </c>
      <c r="AA30" s="368">
        <v>32.090000000000003</v>
      </c>
      <c r="AB30" s="95">
        <v>323800</v>
      </c>
      <c r="AC30" s="243">
        <v>32.090000000000003</v>
      </c>
      <c r="AD30" s="2">
        <f t="shared" si="0"/>
        <v>0.58999999999999986</v>
      </c>
      <c r="AE30" s="138">
        <f t="shared" si="1"/>
        <v>-1.5556938394523101E-3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42635</v>
      </c>
      <c r="X31" s="368">
        <v>32.1</v>
      </c>
      <c r="Y31" s="40">
        <v>32.479999999999997</v>
      </c>
      <c r="Z31" s="40">
        <v>32.1</v>
      </c>
      <c r="AA31" s="368">
        <v>32.14</v>
      </c>
      <c r="AB31" s="95">
        <v>461100</v>
      </c>
      <c r="AC31" s="243">
        <v>32.14</v>
      </c>
      <c r="AD31" s="2">
        <f t="shared" si="0"/>
        <v>0.37999999999999545</v>
      </c>
      <c r="AE31" s="138">
        <f t="shared" si="1"/>
        <v>2.8081123244931838E-3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42634</v>
      </c>
      <c r="X32" s="368">
        <v>31.8</v>
      </c>
      <c r="Y32" s="40">
        <v>32.1</v>
      </c>
      <c r="Z32" s="40">
        <v>31.52</v>
      </c>
      <c r="AA32" s="368">
        <v>32.049999999999997</v>
      </c>
      <c r="AB32" s="95">
        <v>391300</v>
      </c>
      <c r="AC32" s="243">
        <v>32.049999999999997</v>
      </c>
      <c r="AD32" s="2">
        <f t="shared" si="0"/>
        <v>0.58000000000000185</v>
      </c>
      <c r="AE32" s="138">
        <f t="shared" si="1"/>
        <v>7.8616352201257289E-3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42633</v>
      </c>
      <c r="X33" s="368">
        <v>31.73</v>
      </c>
      <c r="Y33" s="40">
        <v>31.97</v>
      </c>
      <c r="Z33" s="40">
        <v>31.59</v>
      </c>
      <c r="AA33" s="368">
        <v>31.8</v>
      </c>
      <c r="AB33" s="95">
        <v>396600</v>
      </c>
      <c r="AC33" s="243">
        <v>31.8</v>
      </c>
      <c r="AD33" s="2">
        <f t="shared" si="0"/>
        <v>0.37999999999999901</v>
      </c>
      <c r="AE33" s="138">
        <f t="shared" si="1"/>
        <v>8.8832487309644659E-3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42632</v>
      </c>
      <c r="X34" s="368">
        <v>31.81</v>
      </c>
      <c r="Y34" s="40">
        <v>32.01</v>
      </c>
      <c r="Z34" s="40">
        <v>31.48</v>
      </c>
      <c r="AA34" s="368">
        <v>31.52</v>
      </c>
      <c r="AB34" s="95">
        <v>591400</v>
      </c>
      <c r="AC34" s="243">
        <v>31.52</v>
      </c>
      <c r="AD34" s="2">
        <f t="shared" si="0"/>
        <v>0.52999999999999758</v>
      </c>
      <c r="AE34" s="138">
        <f t="shared" si="1"/>
        <v>-6.3051702395964249E-3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42629</v>
      </c>
      <c r="X35" s="368">
        <v>31.55</v>
      </c>
      <c r="Y35" s="40">
        <v>31.92</v>
      </c>
      <c r="Z35" s="40">
        <v>31.36</v>
      </c>
      <c r="AA35" s="368">
        <v>31.72</v>
      </c>
      <c r="AB35" s="95">
        <v>787200</v>
      </c>
      <c r="AC35" s="243">
        <v>31.72</v>
      </c>
      <c r="AD35" s="2">
        <f t="shared" si="0"/>
        <v>0.56000000000000227</v>
      </c>
      <c r="AE35" s="138">
        <f t="shared" si="1"/>
        <v>-3.1515915537350114E-4</v>
      </c>
    </row>
    <row r="36" spans="1:31" x14ac:dyDescent="0.25">
      <c r="W36" s="94">
        <v>42628</v>
      </c>
      <c r="X36" s="368">
        <v>31.85</v>
      </c>
      <c r="Y36" s="40">
        <v>31.86</v>
      </c>
      <c r="Z36" s="40">
        <v>31.4</v>
      </c>
      <c r="AA36" s="368">
        <v>31.73</v>
      </c>
      <c r="AB36" s="95">
        <v>404500</v>
      </c>
      <c r="AC36" s="243">
        <v>31.73</v>
      </c>
      <c r="AD36" s="2">
        <f t="shared" si="0"/>
        <v>0.46000000000000085</v>
      </c>
      <c r="AE36" s="138">
        <f t="shared" si="1"/>
        <v>4.1139240506329333E-3</v>
      </c>
    </row>
    <row r="37" spans="1:31" x14ac:dyDescent="0.25">
      <c r="L37" t="s">
        <v>218</v>
      </c>
      <c r="M37" s="2">
        <f>M55+K55-F55</f>
        <v>0</v>
      </c>
      <c r="W37" s="94">
        <v>42627</v>
      </c>
      <c r="X37" s="368">
        <v>31.61</v>
      </c>
      <c r="Y37" s="40">
        <v>31.98</v>
      </c>
      <c r="Z37" s="40">
        <v>31.51</v>
      </c>
      <c r="AA37" s="368">
        <v>31.6</v>
      </c>
      <c r="AB37" s="95">
        <v>552400</v>
      </c>
      <c r="AC37" s="243">
        <v>31.6</v>
      </c>
      <c r="AD37" s="2">
        <f t="shared" si="0"/>
        <v>0.46999999999999886</v>
      </c>
      <c r="AE37" s="138">
        <f t="shared" si="1"/>
        <v>-3.4689372437716193E-3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42626</v>
      </c>
      <c r="X38" s="368">
        <v>31.34</v>
      </c>
      <c r="Y38" s="40">
        <v>31.87</v>
      </c>
      <c r="Z38" s="40">
        <v>31.33</v>
      </c>
      <c r="AA38" s="368">
        <v>31.71</v>
      </c>
      <c r="AB38" s="95">
        <v>507200</v>
      </c>
      <c r="AC38" s="243">
        <v>31.71</v>
      </c>
      <c r="AD38" s="2">
        <f t="shared" si="0"/>
        <v>0.5400000000000027</v>
      </c>
      <c r="AE38" s="138">
        <f t="shared" si="1"/>
        <v>3.1635558367606453E-3</v>
      </c>
    </row>
    <row r="39" spans="1:31" ht="20.25" thickBot="1" x14ac:dyDescent="0.35">
      <c r="A39" s="265" t="s">
        <v>23</v>
      </c>
      <c r="B39" s="266"/>
      <c r="C39" s="261"/>
      <c r="D39" s="262"/>
      <c r="E39" s="262"/>
      <c r="F39" s="262"/>
      <c r="G39" s="266"/>
      <c r="H39" s="267"/>
      <c r="I39" s="262"/>
      <c r="J39" s="262"/>
      <c r="K39" s="262"/>
      <c r="L39" s="266"/>
      <c r="M39" s="262"/>
      <c r="O39" s="11"/>
      <c r="P39" s="588" t="s">
        <v>78</v>
      </c>
      <c r="Q39" s="588"/>
      <c r="R39" s="34"/>
      <c r="T39" s="91" t="s">
        <v>113</v>
      </c>
      <c r="W39" s="94">
        <v>42625</v>
      </c>
      <c r="X39" s="368">
        <v>31.36</v>
      </c>
      <c r="Y39" s="40">
        <v>31.73</v>
      </c>
      <c r="Z39" s="40">
        <v>31.14</v>
      </c>
      <c r="AA39" s="368">
        <v>31.61</v>
      </c>
      <c r="AB39" s="95">
        <v>569600</v>
      </c>
      <c r="AC39" s="243">
        <v>31.61</v>
      </c>
      <c r="AD39" s="2">
        <f t="shared" si="0"/>
        <v>0.58999999999999986</v>
      </c>
      <c r="AE39" s="138">
        <f t="shared" si="1"/>
        <v>3.4920634920634352E-3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34.694000000000003</v>
      </c>
      <c r="R40" s="34"/>
      <c r="T40" s="97" t="s">
        <v>98</v>
      </c>
      <c r="U40" s="129">
        <v>31.13</v>
      </c>
      <c r="W40" s="94">
        <v>42622</v>
      </c>
      <c r="X40" s="368">
        <v>31.5</v>
      </c>
      <c r="Y40" s="40">
        <v>31.87</v>
      </c>
      <c r="Z40" s="40">
        <v>31.28</v>
      </c>
      <c r="AA40" s="368">
        <v>31.5</v>
      </c>
      <c r="AB40" s="95">
        <v>825700</v>
      </c>
      <c r="AC40" s="243">
        <v>31.5</v>
      </c>
      <c r="AD40" s="2">
        <f t="shared" si="0"/>
        <v>0.58999999999999986</v>
      </c>
      <c r="AE40" s="138">
        <f t="shared" si="1"/>
        <v>-4.7393364928909332E-3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8">P41*$Q$4</f>
        <v>34.378599999999999</v>
      </c>
      <c r="R41" s="34"/>
      <c r="T41" s="87" t="s">
        <v>99</v>
      </c>
      <c r="U41" s="130">
        <v>31.2</v>
      </c>
      <c r="W41" s="94">
        <v>42621</v>
      </c>
      <c r="X41" s="368">
        <v>31.52</v>
      </c>
      <c r="Y41" s="40">
        <v>31.75</v>
      </c>
      <c r="Z41" s="40">
        <v>31.44</v>
      </c>
      <c r="AA41" s="368">
        <v>31.65</v>
      </c>
      <c r="AB41" s="95">
        <v>551800</v>
      </c>
      <c r="AC41" s="243">
        <v>31.65</v>
      </c>
      <c r="AD41" s="2">
        <f t="shared" si="0"/>
        <v>0.30999999999999872</v>
      </c>
      <c r="AE41" s="138">
        <f t="shared" si="1"/>
        <v>4.4430339574736966E-3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8"/>
        <v>34.063200000000002</v>
      </c>
      <c r="R42" s="34"/>
      <c r="T42" s="87" t="s">
        <v>100</v>
      </c>
      <c r="U42" s="130" t="s">
        <v>594</v>
      </c>
      <c r="W42" s="94">
        <v>42620</v>
      </c>
      <c r="X42" s="368">
        <v>31.36</v>
      </c>
      <c r="Y42" s="40">
        <v>31.61</v>
      </c>
      <c r="Z42" s="40">
        <v>31.16</v>
      </c>
      <c r="AA42" s="368">
        <v>31.51</v>
      </c>
      <c r="AB42" s="95">
        <v>410300</v>
      </c>
      <c r="AC42" s="243">
        <v>31.51</v>
      </c>
      <c r="AD42" s="2">
        <f t="shared" si="0"/>
        <v>0.44999999999999929</v>
      </c>
      <c r="AE42" s="138">
        <f t="shared" si="1"/>
        <v>7.0310003195910298E-3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8"/>
        <v>33.747799999999998</v>
      </c>
      <c r="R43" s="83"/>
      <c r="T43" s="87" t="s">
        <v>101</v>
      </c>
      <c r="U43" s="130" t="s">
        <v>407</v>
      </c>
      <c r="W43" s="94">
        <v>42619</v>
      </c>
      <c r="X43" s="368">
        <v>31.84</v>
      </c>
      <c r="Y43" s="40">
        <v>31.95</v>
      </c>
      <c r="Z43" s="40">
        <v>30.91</v>
      </c>
      <c r="AA43" s="368">
        <v>31.29</v>
      </c>
      <c r="AB43" s="95">
        <v>651900</v>
      </c>
      <c r="AC43" s="243">
        <v>31.29</v>
      </c>
      <c r="AD43" s="2">
        <f t="shared" si="0"/>
        <v>1.0399999999999991</v>
      </c>
      <c r="AE43" s="138">
        <f t="shared" si="1"/>
        <v>-1.6037735849056656E-2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8"/>
        <v>33.432400000000001</v>
      </c>
      <c r="R44" s="83"/>
      <c r="T44" s="87" t="s">
        <v>102</v>
      </c>
      <c r="U44" s="130">
        <v>38.1</v>
      </c>
      <c r="W44" s="94">
        <v>42615</v>
      </c>
      <c r="X44" s="368">
        <v>31.8</v>
      </c>
      <c r="Y44" s="40">
        <v>31.9</v>
      </c>
      <c r="Z44" s="40">
        <v>31.5</v>
      </c>
      <c r="AA44" s="368">
        <v>31.8</v>
      </c>
      <c r="AB44" s="95">
        <v>524700</v>
      </c>
      <c r="AC44" s="243">
        <v>31.8</v>
      </c>
      <c r="AD44" s="2">
        <f t="shared" si="0"/>
        <v>0.39999999999999858</v>
      </c>
      <c r="AE44" s="138">
        <f t="shared" si="1"/>
        <v>6.0107560898450263E-3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8"/>
        <v>33.116999999999997</v>
      </c>
      <c r="R45" s="83"/>
      <c r="T45" s="87" t="s">
        <v>103</v>
      </c>
      <c r="U45" s="130">
        <v>0.53830299999999998</v>
      </c>
      <c r="W45" s="94">
        <v>42614</v>
      </c>
      <c r="X45" s="368">
        <v>31.65</v>
      </c>
      <c r="Y45" s="40">
        <v>31.78</v>
      </c>
      <c r="Z45" s="40">
        <v>31.5</v>
      </c>
      <c r="AA45" s="368">
        <v>31.61</v>
      </c>
      <c r="AB45" s="95">
        <v>562700</v>
      </c>
      <c r="AC45" s="243">
        <v>31.61</v>
      </c>
      <c r="AD45" s="2">
        <f t="shared" si="0"/>
        <v>0.28000000000000114</v>
      </c>
      <c r="AE45" s="138">
        <f t="shared" si="1"/>
        <v>-1.2638230647709081E-3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8"/>
        <v>32.801600000000001</v>
      </c>
      <c r="R46" s="83"/>
      <c r="T46" s="87" t="s">
        <v>104</v>
      </c>
      <c r="U46" s="232" t="s">
        <v>408</v>
      </c>
      <c r="W46" s="94">
        <v>42613</v>
      </c>
      <c r="X46" s="368">
        <v>31.6</v>
      </c>
      <c r="Y46" s="40">
        <v>31.74</v>
      </c>
      <c r="Z46" s="40">
        <v>31.45</v>
      </c>
      <c r="AA46" s="368">
        <v>31.65</v>
      </c>
      <c r="AB46" s="95">
        <v>490500</v>
      </c>
      <c r="AC46" s="243">
        <v>31.65</v>
      </c>
      <c r="AD46" s="2">
        <f t="shared" si="0"/>
        <v>0.28999999999999915</v>
      </c>
      <c r="AE46" s="138">
        <f t="shared" si="1"/>
        <v>1.5822784810126667E-3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8"/>
        <v>32.486199999999997</v>
      </c>
      <c r="R47" s="83"/>
      <c r="T47" s="87"/>
      <c r="U47" s="130"/>
      <c r="W47" s="94">
        <v>42612</v>
      </c>
      <c r="X47" s="368">
        <v>31.5</v>
      </c>
      <c r="Y47" s="40">
        <v>31.65</v>
      </c>
      <c r="Z47" s="40">
        <v>31.3</v>
      </c>
      <c r="AA47" s="368">
        <v>31.6</v>
      </c>
      <c r="AB47" s="95">
        <v>448000</v>
      </c>
      <c r="AC47" s="243">
        <v>31.6</v>
      </c>
      <c r="AD47" s="2">
        <f t="shared" si="0"/>
        <v>0.34999999999999787</v>
      </c>
      <c r="AE47" s="138">
        <f t="shared" si="1"/>
        <v>3.1746031746031633E-3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8"/>
        <v>32.1708</v>
      </c>
      <c r="R48" s="83"/>
      <c r="T48" s="87" t="s">
        <v>105</v>
      </c>
      <c r="U48" s="130" t="s">
        <v>595</v>
      </c>
      <c r="W48" s="94">
        <v>42611</v>
      </c>
      <c r="X48" s="368">
        <v>31.06</v>
      </c>
      <c r="Y48" s="40">
        <v>31.65</v>
      </c>
      <c r="Z48" s="40">
        <v>30.9</v>
      </c>
      <c r="AA48" s="368">
        <v>31.5</v>
      </c>
      <c r="AB48" s="95">
        <v>564000</v>
      </c>
      <c r="AC48" s="243">
        <v>31.5</v>
      </c>
      <c r="AD48" s="2">
        <f t="shared" si="0"/>
        <v>0.75</v>
      </c>
      <c r="AE48" s="138">
        <f t="shared" si="1"/>
        <v>2.1069692058346856E-2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8"/>
        <v>31.855399999999999</v>
      </c>
      <c r="R49" s="83"/>
      <c r="T49" s="87" t="s">
        <v>106</v>
      </c>
      <c r="U49" s="130" t="s">
        <v>377</v>
      </c>
      <c r="W49" s="94">
        <v>42608</v>
      </c>
      <c r="X49" s="368">
        <v>30.91</v>
      </c>
      <c r="Y49" s="40">
        <v>31.08</v>
      </c>
      <c r="Z49" s="40">
        <v>30.68</v>
      </c>
      <c r="AA49" s="368">
        <v>30.85</v>
      </c>
      <c r="AB49" s="95">
        <v>336900</v>
      </c>
      <c r="AC49" s="243">
        <v>30.85</v>
      </c>
      <c r="AD49" s="2">
        <f t="shared" si="0"/>
        <v>0.39999999999999858</v>
      </c>
      <c r="AE49" s="138">
        <f t="shared" si="1"/>
        <v>-3.8747174685178631E-3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8"/>
        <v>31.54</v>
      </c>
      <c r="R50" s="83"/>
      <c r="T50" s="87" t="s">
        <v>107</v>
      </c>
      <c r="U50" s="131">
        <v>653701</v>
      </c>
      <c r="W50" s="94">
        <v>42607</v>
      </c>
      <c r="X50" s="368">
        <v>30.84</v>
      </c>
      <c r="Y50" s="40">
        <v>31.09</v>
      </c>
      <c r="Z50" s="40">
        <v>30.72</v>
      </c>
      <c r="AA50" s="368">
        <v>30.97</v>
      </c>
      <c r="AB50" s="95">
        <v>496300</v>
      </c>
      <c r="AC50" s="243">
        <v>30.97</v>
      </c>
      <c r="AD50" s="2">
        <f t="shared" si="0"/>
        <v>0.37000000000000099</v>
      </c>
      <c r="AE50" s="138">
        <f t="shared" si="1"/>
        <v>3.5644847699287663E-3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8"/>
        <v>31.224599999999999</v>
      </c>
      <c r="R51" s="83"/>
      <c r="T51" s="87" t="s">
        <v>110</v>
      </c>
      <c r="U51" s="131">
        <v>539962</v>
      </c>
      <c r="W51" s="94">
        <v>42606</v>
      </c>
      <c r="X51" s="368">
        <v>31.32</v>
      </c>
      <c r="Y51" s="40">
        <v>31.37</v>
      </c>
      <c r="Z51" s="40">
        <v>30.76</v>
      </c>
      <c r="AA51" s="368">
        <v>30.86</v>
      </c>
      <c r="AB51" s="95">
        <v>532100</v>
      </c>
      <c r="AC51" s="243">
        <v>30.86</v>
      </c>
      <c r="AD51" s="2">
        <f t="shared" si="0"/>
        <v>0.60999999999999943</v>
      </c>
      <c r="AE51" s="138">
        <f t="shared" si="1"/>
        <v>-1.1531069827033891E-2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8"/>
        <v>30.909199999999998</v>
      </c>
      <c r="R52" s="83"/>
      <c r="T52" s="87" t="s">
        <v>108</v>
      </c>
      <c r="U52" s="130" t="s">
        <v>596</v>
      </c>
      <c r="W52" s="94">
        <v>42605</v>
      </c>
      <c r="X52" s="368">
        <v>31.13</v>
      </c>
      <c r="Y52" s="40">
        <v>31.78</v>
      </c>
      <c r="Z52" s="40">
        <v>30.61</v>
      </c>
      <c r="AA52" s="368">
        <v>31.22</v>
      </c>
      <c r="AB52" s="95">
        <v>2833100</v>
      </c>
      <c r="AC52" s="243">
        <v>31.22</v>
      </c>
      <c r="AD52" s="2">
        <f t="shared" si="0"/>
        <v>1.1700000000000017</v>
      </c>
      <c r="AE52" s="138">
        <f t="shared" si="1"/>
        <v>-7.4688796680497993E-2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8"/>
        <v>30.593799999999998</v>
      </c>
      <c r="R53" s="83"/>
      <c r="T53" s="87" t="s">
        <v>111</v>
      </c>
      <c r="U53" s="130">
        <v>23.65</v>
      </c>
      <c r="W53" s="94">
        <v>42604</v>
      </c>
      <c r="X53" s="368">
        <v>32.93</v>
      </c>
      <c r="Y53" s="40">
        <v>33.96</v>
      </c>
      <c r="Z53" s="40">
        <v>32.93</v>
      </c>
      <c r="AA53" s="368">
        <v>33.74</v>
      </c>
      <c r="AB53" s="95">
        <v>913900</v>
      </c>
      <c r="AC53" s="243">
        <v>33.74</v>
      </c>
      <c r="AD53" s="2">
        <f t="shared" si="0"/>
        <v>1.0300000000000011</v>
      </c>
      <c r="AE53" s="138">
        <f t="shared" si="1"/>
        <v>2.7405602923264327E-2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8"/>
        <v>30.278399999999998</v>
      </c>
      <c r="R54" s="83"/>
      <c r="T54" s="87" t="s">
        <v>112</v>
      </c>
      <c r="U54" s="130">
        <v>1.33</v>
      </c>
      <c r="W54" s="94">
        <v>42601</v>
      </c>
      <c r="X54" s="368">
        <v>32.82</v>
      </c>
      <c r="Y54" s="40">
        <v>33.380000000000003</v>
      </c>
      <c r="Z54" s="40">
        <v>32.46</v>
      </c>
      <c r="AA54" s="368">
        <v>32.840000000000003</v>
      </c>
      <c r="AB54" s="95">
        <v>315200</v>
      </c>
      <c r="AC54" s="243">
        <v>32.840000000000003</v>
      </c>
      <c r="AD54" s="2">
        <f t="shared" si="0"/>
        <v>0.92000000000000171</v>
      </c>
      <c r="AE54" s="138">
        <f t="shared" si="1"/>
        <v>2.1361000915471884E-3</v>
      </c>
    </row>
    <row r="55" spans="1:31" x14ac:dyDescent="0.25">
      <c r="A55" s="32" t="s">
        <v>81</v>
      </c>
      <c r="B55" s="14"/>
      <c r="C55" s="14">
        <f>SUM(C39:C43)</f>
        <v>0</v>
      </c>
      <c r="D55" s="14"/>
      <c r="E55" s="14"/>
      <c r="F55" s="18">
        <f>SUM(F39:F43)</f>
        <v>0</v>
      </c>
      <c r="G55" s="18"/>
      <c r="H55" s="73">
        <f>SUM(H39:H43)</f>
        <v>0</v>
      </c>
      <c r="I55" s="18"/>
      <c r="J55" s="18"/>
      <c r="K55" s="18">
        <f>SUM(K39:K43)</f>
        <v>0</v>
      </c>
      <c r="L55" s="18"/>
      <c r="M55" s="18">
        <f>SUM(M39:M43)</f>
        <v>0</v>
      </c>
      <c r="O55" s="2"/>
      <c r="P55" s="83">
        <v>0.95</v>
      </c>
      <c r="Q55" s="83">
        <f t="shared" si="8"/>
        <v>29.962999999999997</v>
      </c>
      <c r="R55" s="83"/>
      <c r="T55" s="87" t="s">
        <v>109</v>
      </c>
      <c r="U55" s="130" t="s">
        <v>123</v>
      </c>
      <c r="W55" s="94">
        <v>42600</v>
      </c>
      <c r="X55" s="368">
        <v>32.119999999999997</v>
      </c>
      <c r="Y55" s="40">
        <v>33.049999999999997</v>
      </c>
      <c r="Z55" s="40">
        <v>31.99</v>
      </c>
      <c r="AA55" s="368">
        <v>32.770000000000003</v>
      </c>
      <c r="AB55" s="95">
        <v>606900</v>
      </c>
      <c r="AC55" s="243">
        <v>32.770000000000003</v>
      </c>
      <c r="AD55" s="2">
        <f t="shared" si="0"/>
        <v>1.0599999999999987</v>
      </c>
      <c r="AE55" s="138">
        <f t="shared" si="1"/>
        <v>2.0236612702366319E-2</v>
      </c>
    </row>
    <row r="56" spans="1:31" x14ac:dyDescent="0.25">
      <c r="O56" s="2"/>
      <c r="P56" s="83">
        <v>0.94</v>
      </c>
      <c r="Q56" s="83">
        <f t="shared" si="8"/>
        <v>29.647599999999997</v>
      </c>
      <c r="R56" s="83"/>
      <c r="W56" s="94">
        <v>42599</v>
      </c>
      <c r="X56" s="368">
        <v>32.67</v>
      </c>
      <c r="Y56" s="40">
        <v>32.99</v>
      </c>
      <c r="Z56" s="40">
        <v>32.04</v>
      </c>
      <c r="AA56" s="368">
        <v>32.119999999999997</v>
      </c>
      <c r="AB56" s="95">
        <v>502900</v>
      </c>
      <c r="AC56" s="243">
        <v>32.119999999999997</v>
      </c>
      <c r="AD56" s="2">
        <f t="shared" si="0"/>
        <v>0.95000000000000284</v>
      </c>
      <c r="AE56" s="138">
        <f t="shared" si="1"/>
        <v>-1.562978853815522E-2</v>
      </c>
    </row>
    <row r="57" spans="1:31" x14ac:dyDescent="0.25">
      <c r="O57" s="2"/>
      <c r="P57" s="83">
        <v>0.93</v>
      </c>
      <c r="Q57" s="83">
        <f t="shared" si="8"/>
        <v>29.3322</v>
      </c>
      <c r="R57" s="83"/>
      <c r="W57" s="94">
        <v>42598</v>
      </c>
      <c r="X57" s="368">
        <v>32.869999999999997</v>
      </c>
      <c r="Y57" s="40">
        <v>32.94</v>
      </c>
      <c r="Z57" s="40">
        <v>32.630000000000003</v>
      </c>
      <c r="AA57" s="368">
        <v>32.630000000000003</v>
      </c>
      <c r="AB57" s="95">
        <v>234100</v>
      </c>
      <c r="AC57" s="243">
        <v>32.630000000000003</v>
      </c>
      <c r="AD57" s="2">
        <f t="shared" si="0"/>
        <v>0.30999999999999517</v>
      </c>
      <c r="AE57" s="138">
        <f t="shared" si="1"/>
        <v>-7.6034063260340679E-3</v>
      </c>
    </row>
    <row r="58" spans="1:31" x14ac:dyDescent="0.25">
      <c r="O58" s="2"/>
      <c r="P58" s="83">
        <v>0.92</v>
      </c>
      <c r="Q58" s="83">
        <f t="shared" si="8"/>
        <v>29.0168</v>
      </c>
      <c r="R58" s="83"/>
      <c r="W58" s="94">
        <v>42597</v>
      </c>
      <c r="X58" s="368">
        <v>32.909999999999997</v>
      </c>
      <c r="Y58" s="40">
        <v>33.31</v>
      </c>
      <c r="Z58" s="40">
        <v>32.64</v>
      </c>
      <c r="AA58" s="368">
        <v>32.880000000000003</v>
      </c>
      <c r="AB58" s="95">
        <v>372100</v>
      </c>
      <c r="AC58" s="243">
        <v>32.880000000000003</v>
      </c>
      <c r="AD58" s="2">
        <f t="shared" si="0"/>
        <v>0.67000000000000171</v>
      </c>
      <c r="AE58" s="138">
        <f t="shared" si="1"/>
        <v>2.4390243902441266E-3</v>
      </c>
    </row>
    <row r="59" spans="1:31" x14ac:dyDescent="0.25">
      <c r="O59" s="2"/>
      <c r="P59" s="83">
        <v>0.91</v>
      </c>
      <c r="Q59" s="83">
        <f t="shared" si="8"/>
        <v>28.7014</v>
      </c>
      <c r="R59" s="83"/>
      <c r="W59" s="94">
        <v>42594</v>
      </c>
      <c r="X59" s="368">
        <v>32.89</v>
      </c>
      <c r="Y59" s="40">
        <v>33.15</v>
      </c>
      <c r="Z59" s="40">
        <v>32.68</v>
      </c>
      <c r="AA59" s="368">
        <v>32.799999999999997</v>
      </c>
      <c r="AB59" s="95">
        <v>154400</v>
      </c>
      <c r="AC59" s="243">
        <v>32.799999999999997</v>
      </c>
      <c r="AD59" s="2">
        <f t="shared" si="0"/>
        <v>0.46999999999999886</v>
      </c>
      <c r="AE59" s="138">
        <f t="shared" si="1"/>
        <v>-6.6626287098729975E-3</v>
      </c>
    </row>
    <row r="60" spans="1:31" x14ac:dyDescent="0.25">
      <c r="O60" s="2"/>
      <c r="P60" s="83">
        <v>0.9</v>
      </c>
      <c r="Q60" s="83">
        <f t="shared" si="8"/>
        <v>28.385999999999999</v>
      </c>
      <c r="R60" s="83"/>
      <c r="W60" s="94">
        <v>42593</v>
      </c>
      <c r="X60" s="368">
        <v>32.979999999999997</v>
      </c>
      <c r="Y60" s="40">
        <v>33.36</v>
      </c>
      <c r="Z60" s="40">
        <v>32.9</v>
      </c>
      <c r="AA60" s="368">
        <v>33.020000000000003</v>
      </c>
      <c r="AB60" s="95">
        <v>209200</v>
      </c>
      <c r="AC60" s="243">
        <v>33.020000000000003</v>
      </c>
      <c r="AD60" s="2">
        <f t="shared" si="0"/>
        <v>0.46000000000000085</v>
      </c>
      <c r="AE60" s="138">
        <f t="shared" si="1"/>
        <v>6.0606060606072099E-4</v>
      </c>
    </row>
    <row r="61" spans="1:31" x14ac:dyDescent="0.25">
      <c r="W61" s="94">
        <v>42592</v>
      </c>
      <c r="X61" s="368">
        <v>32.99</v>
      </c>
      <c r="Y61" s="40">
        <v>33.47</v>
      </c>
      <c r="Z61" s="40">
        <v>32.86</v>
      </c>
      <c r="AA61" s="368">
        <v>33</v>
      </c>
      <c r="AB61" s="95">
        <v>427600</v>
      </c>
      <c r="AC61" s="243">
        <v>33</v>
      </c>
      <c r="AD61" s="2">
        <f t="shared" si="0"/>
        <v>0.60999999999999943</v>
      </c>
      <c r="AE61" s="138">
        <f t="shared" si="1"/>
        <v>-3.6231884057970065E-3</v>
      </c>
    </row>
    <row r="62" spans="1:31" x14ac:dyDescent="0.25">
      <c r="W62" s="94">
        <v>42591</v>
      </c>
      <c r="X62" s="368">
        <v>33.17</v>
      </c>
      <c r="Y62" s="40">
        <v>33.659999999999997</v>
      </c>
      <c r="Z62" s="40">
        <v>32.99</v>
      </c>
      <c r="AA62" s="368">
        <v>33.119999999999997</v>
      </c>
      <c r="AB62" s="95">
        <v>513600</v>
      </c>
      <c r="AC62" s="243">
        <v>33.119999999999997</v>
      </c>
      <c r="AD62" s="2">
        <f t="shared" si="0"/>
        <v>0.6699999999999946</v>
      </c>
      <c r="AE62" s="138">
        <f t="shared" si="1"/>
        <v>-2.4096385542170529E-3</v>
      </c>
    </row>
    <row r="63" spans="1:31" x14ac:dyDescent="0.25">
      <c r="W63" s="94">
        <v>42590</v>
      </c>
      <c r="X63" s="368">
        <v>33.659999999999997</v>
      </c>
      <c r="Y63" s="40">
        <v>34.130000000000003</v>
      </c>
      <c r="Z63" s="40">
        <v>33.159999999999997</v>
      </c>
      <c r="AA63" s="368">
        <v>33.200000000000003</v>
      </c>
      <c r="AB63" s="95">
        <v>409100</v>
      </c>
      <c r="AC63" s="243">
        <v>33.200000000000003</v>
      </c>
      <c r="AD63" s="2">
        <f t="shared" si="0"/>
        <v>0.97000000000000597</v>
      </c>
      <c r="AE63" s="138">
        <f t="shared" si="1"/>
        <v>-1.3372956909360911E-2</v>
      </c>
    </row>
    <row r="64" spans="1:31" x14ac:dyDescent="0.25">
      <c r="W64" s="94">
        <v>42587</v>
      </c>
      <c r="X64" s="368">
        <v>32.64</v>
      </c>
      <c r="Y64" s="40">
        <v>33.75</v>
      </c>
      <c r="Z64" s="40">
        <v>32.5</v>
      </c>
      <c r="AA64" s="368">
        <v>33.65</v>
      </c>
      <c r="AB64" s="95">
        <v>880400</v>
      </c>
      <c r="AC64" s="243">
        <v>33.65</v>
      </c>
      <c r="AD64" s="2">
        <f t="shared" si="0"/>
        <v>1.25</v>
      </c>
      <c r="AE64" s="138">
        <f t="shared" si="1"/>
        <v>4.1473228102754556E-2</v>
      </c>
    </row>
    <row r="65" spans="23:31" x14ac:dyDescent="0.25">
      <c r="W65" s="94">
        <v>42586</v>
      </c>
      <c r="X65" s="368">
        <v>32.799999999999997</v>
      </c>
      <c r="Y65" s="40">
        <v>32.880000000000003</v>
      </c>
      <c r="Z65" s="40">
        <v>32.15</v>
      </c>
      <c r="AA65" s="368">
        <v>32.31</v>
      </c>
      <c r="AB65" s="95">
        <v>414700</v>
      </c>
      <c r="AC65" s="243">
        <v>32.31</v>
      </c>
      <c r="AD65" s="2">
        <f t="shared" si="0"/>
        <v>0.73000000000000398</v>
      </c>
      <c r="AE65" s="138">
        <f t="shared" si="1"/>
        <v>-1.1926605504587129E-2</v>
      </c>
    </row>
    <row r="66" spans="23:31" x14ac:dyDescent="0.25">
      <c r="W66" s="94">
        <v>42585</v>
      </c>
      <c r="X66" s="368">
        <v>32.299999999999997</v>
      </c>
      <c r="Y66" s="40">
        <v>32.83</v>
      </c>
      <c r="Z66" s="40">
        <v>32.01</v>
      </c>
      <c r="AA66" s="368">
        <v>32.700000000000003</v>
      </c>
      <c r="AB66" s="95">
        <v>718100</v>
      </c>
      <c r="AC66" s="243">
        <v>32.700000000000003</v>
      </c>
      <c r="AD66" s="2">
        <f t="shared" si="0"/>
        <v>0.82000000000000028</v>
      </c>
      <c r="AE66" s="138">
        <f t="shared" si="1"/>
        <v>9.2592592592593004E-3</v>
      </c>
    </row>
    <row r="67" spans="23:31" x14ac:dyDescent="0.25">
      <c r="W67" s="94">
        <v>42584</v>
      </c>
      <c r="X67" s="368">
        <v>32.590000000000003</v>
      </c>
      <c r="Y67" s="40">
        <v>32.9</v>
      </c>
      <c r="Z67" s="40">
        <v>31.89</v>
      </c>
      <c r="AA67" s="368">
        <v>32.4</v>
      </c>
      <c r="AB67" s="95">
        <v>1080400</v>
      </c>
      <c r="AC67" s="243">
        <v>32.4</v>
      </c>
      <c r="AD67" s="2">
        <f t="shared" si="0"/>
        <v>1.009999999999998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737" priority="11">
      <formula>F28&gt;0</formula>
    </cfRule>
    <cfRule type="expression" dxfId="736" priority="12">
      <formula>F28&lt;0</formula>
    </cfRule>
  </conditionalFormatting>
  <conditionalFormatting sqref="F28:F35">
    <cfRule type="expression" dxfId="735" priority="13">
      <formula>F28&gt;0</formula>
    </cfRule>
    <cfRule type="expression" dxfId="734" priority="14">
      <formula>F28&lt;0</formula>
    </cfRule>
  </conditionalFormatting>
  <conditionalFormatting sqref="H28:H35">
    <cfRule type="expression" dxfId="733" priority="9">
      <formula>H28&gt;0</formula>
    </cfRule>
    <cfRule type="expression" dxfId="732" priority="10">
      <formula>H28&lt;0</formula>
    </cfRule>
  </conditionalFormatting>
  <conditionalFormatting sqref="F21:F27">
    <cfRule type="expression" dxfId="731" priority="7">
      <formula>F21&gt;0</formula>
    </cfRule>
    <cfRule type="expression" dxfId="730" priority="8">
      <formula>F21&lt;0</formula>
    </cfRule>
  </conditionalFormatting>
  <conditionalFormatting sqref="H21:H27">
    <cfRule type="expression" dxfId="729" priority="5">
      <formula>H21&gt;0</formula>
    </cfRule>
    <cfRule type="expression" dxfId="728" priority="6">
      <formula>H21&lt;0</formula>
    </cfRule>
  </conditionalFormatting>
  <conditionalFormatting sqref="Q8">
    <cfRule type="expression" dxfId="727" priority="1">
      <formula>Q8&gt;0</formula>
    </cfRule>
    <cfRule type="expression" dxfId="726" priority="2">
      <formula>Q8&lt;0</formula>
    </cfRule>
  </conditionalFormatting>
  <conditionalFormatting sqref="Q7">
    <cfRule type="expression" dxfId="725" priority="3">
      <formula>Q7&gt;0</formula>
    </cfRule>
    <cfRule type="expression" dxfId="72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6.425781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42676</v>
      </c>
      <c r="X2" s="10">
        <v>26.28</v>
      </c>
      <c r="Y2" s="10">
        <v>26.28</v>
      </c>
      <c r="Z2" s="10">
        <v>25.73</v>
      </c>
      <c r="AA2" s="10">
        <v>25.83</v>
      </c>
      <c r="AB2" s="95">
        <v>12843000</v>
      </c>
      <c r="AC2" s="10">
        <v>25.83</v>
      </c>
      <c r="AD2" s="2">
        <f>Y2-Z2</f>
        <v>0.55000000000000071</v>
      </c>
      <c r="AE2" s="138">
        <f>AC2/AC3-1</f>
        <v>-1.3745704467354014E-2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25.83</v>
      </c>
      <c r="T3" s="1"/>
      <c r="W3" s="133">
        <v>42675</v>
      </c>
      <c r="X3" s="10">
        <v>26.26</v>
      </c>
      <c r="Y3" s="10">
        <v>26.31</v>
      </c>
      <c r="Z3" s="10">
        <v>25.95</v>
      </c>
      <c r="AA3" s="10">
        <v>26.19</v>
      </c>
      <c r="AB3" s="95">
        <v>13682300</v>
      </c>
      <c r="AC3" s="10">
        <v>26.19</v>
      </c>
      <c r="AD3" s="2">
        <f t="shared" ref="AD3:AD66" si="0">Y3-Z3</f>
        <v>0.35999999999999943</v>
      </c>
      <c r="AE3" s="138">
        <f t="shared" ref="AE3:AE66" si="1">AC3/AC4-1</f>
        <v>-3.0452988199466402E-3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25.83</v>
      </c>
      <c r="R4" s="527">
        <v>-1.37E-2</v>
      </c>
      <c r="T4" s="163"/>
      <c r="U4" s="1"/>
      <c r="W4" s="133">
        <v>42674</v>
      </c>
      <c r="X4" s="10">
        <v>26.32</v>
      </c>
      <c r="Y4" s="10">
        <v>26.55</v>
      </c>
      <c r="Z4" s="10">
        <v>26.21</v>
      </c>
      <c r="AA4" s="10">
        <v>26.27</v>
      </c>
      <c r="AB4" s="95">
        <v>13676600</v>
      </c>
      <c r="AC4" s="10">
        <v>26.27</v>
      </c>
      <c r="AD4" s="2">
        <f t="shared" si="0"/>
        <v>0.33999999999999986</v>
      </c>
      <c r="AE4" s="138">
        <f t="shared" si="1"/>
        <v>7.6190476190474143E-4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42671</v>
      </c>
      <c r="X5" s="10">
        <v>26.13</v>
      </c>
      <c r="Y5" s="10">
        <v>26.34</v>
      </c>
      <c r="Z5" s="10">
        <v>26.08</v>
      </c>
      <c r="AA5" s="10">
        <v>26.25</v>
      </c>
      <c r="AB5" s="95">
        <v>9204400</v>
      </c>
      <c r="AC5" s="10">
        <v>26.25</v>
      </c>
      <c r="AD5" s="2">
        <f t="shared" si="0"/>
        <v>0.26000000000000156</v>
      </c>
      <c r="AE5" s="138">
        <f t="shared" si="1"/>
        <v>5.3619302949061698E-3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42670</v>
      </c>
      <c r="X6" s="10">
        <v>26.45</v>
      </c>
      <c r="Y6" s="10">
        <v>26.53</v>
      </c>
      <c r="Z6" s="10">
        <v>25.99</v>
      </c>
      <c r="AA6" s="10">
        <v>26.11</v>
      </c>
      <c r="AB6" s="95">
        <v>9854600</v>
      </c>
      <c r="AC6" s="10">
        <v>26.11</v>
      </c>
      <c r="AD6" s="2">
        <f t="shared" si="0"/>
        <v>0.5400000000000027</v>
      </c>
      <c r="AE6" s="138">
        <f t="shared" si="1"/>
        <v>-1.0984848484848486E-2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98.449999999999818</v>
      </c>
      <c r="R7">
        <v>0</v>
      </c>
      <c r="W7" s="133">
        <v>42669</v>
      </c>
      <c r="X7" s="10">
        <v>25.63</v>
      </c>
      <c r="Y7" s="10">
        <v>26.45</v>
      </c>
      <c r="Z7" s="10">
        <v>25.51</v>
      </c>
      <c r="AA7" s="10">
        <v>26.4</v>
      </c>
      <c r="AB7" s="95">
        <v>17805200</v>
      </c>
      <c r="AC7" s="10">
        <v>26.4</v>
      </c>
      <c r="AD7" s="2">
        <f t="shared" si="0"/>
        <v>0.93999999999999773</v>
      </c>
      <c r="AE7" s="138">
        <f t="shared" si="1"/>
        <v>3.2863849765258246E-2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42668</v>
      </c>
      <c r="X8" s="10">
        <v>25.59</v>
      </c>
      <c r="Y8" s="10">
        <v>25.7</v>
      </c>
      <c r="Z8" s="10">
        <v>25.47</v>
      </c>
      <c r="AA8" s="10">
        <v>25.56</v>
      </c>
      <c r="AB8" s="95">
        <v>8028900</v>
      </c>
      <c r="AC8" s="10">
        <v>25.56</v>
      </c>
      <c r="AD8" s="2">
        <f t="shared" si="0"/>
        <v>0.23000000000000043</v>
      </c>
      <c r="AE8" s="138">
        <f t="shared" si="1"/>
        <v>-3.9108330074311137E-4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W9" s="133">
        <v>42667</v>
      </c>
      <c r="X9" s="10">
        <v>26.05</v>
      </c>
      <c r="Y9" s="10">
        <v>26.22</v>
      </c>
      <c r="Z9" s="10">
        <v>25.33</v>
      </c>
      <c r="AA9" s="10">
        <v>25.57</v>
      </c>
      <c r="AB9" s="95">
        <v>15518800</v>
      </c>
      <c r="AC9" s="10">
        <v>25.57</v>
      </c>
      <c r="AD9" s="2">
        <f t="shared" si="0"/>
        <v>0.89000000000000057</v>
      </c>
      <c r="AE9" s="138">
        <f t="shared" si="1"/>
        <v>-1.0065814943863605E-2</v>
      </c>
    </row>
    <row r="10" spans="1:31" x14ac:dyDescent="0.25">
      <c r="H10" s="72"/>
      <c r="O10" s="11" t="s">
        <v>218</v>
      </c>
      <c r="P10" s="34"/>
      <c r="Q10" s="2">
        <f>M44</f>
        <v>98.449999999999818</v>
      </c>
      <c r="W10" s="133">
        <v>42664</v>
      </c>
      <c r="X10" s="10">
        <v>25.08</v>
      </c>
      <c r="Y10" s="10">
        <v>26.03</v>
      </c>
      <c r="Z10" s="10">
        <v>25.01</v>
      </c>
      <c r="AA10" s="10">
        <v>25.83</v>
      </c>
      <c r="AB10" s="95">
        <v>21050800</v>
      </c>
      <c r="AC10" s="10">
        <v>25.83</v>
      </c>
      <c r="AD10" s="2">
        <f t="shared" si="0"/>
        <v>1.0199999999999996</v>
      </c>
      <c r="AE10" s="138">
        <f t="shared" si="1"/>
        <v>2.2160664819944609E-2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1.37E-2</v>
      </c>
      <c r="W11" s="133">
        <v>42663</v>
      </c>
      <c r="X11" s="10">
        <v>25.12</v>
      </c>
      <c r="Y11" s="10">
        <v>25.4</v>
      </c>
      <c r="Z11" s="10">
        <v>24.96</v>
      </c>
      <c r="AA11" s="10">
        <v>25.27</v>
      </c>
      <c r="AB11" s="95">
        <v>18001900</v>
      </c>
      <c r="AC11" s="10">
        <v>25.27</v>
      </c>
      <c r="AD11" s="2">
        <f t="shared" si="0"/>
        <v>0.43999999999999773</v>
      </c>
      <c r="AE11" s="138">
        <f t="shared" si="1"/>
        <v>5.9713375796177637E-3</v>
      </c>
    </row>
    <row r="12" spans="1:31" x14ac:dyDescent="0.25">
      <c r="H12" s="72"/>
      <c r="W12" s="133">
        <v>42662</v>
      </c>
      <c r="X12" s="10">
        <v>25.02</v>
      </c>
      <c r="Y12" s="10">
        <v>25.16</v>
      </c>
      <c r="Z12" s="10">
        <v>24.93</v>
      </c>
      <c r="AA12" s="10">
        <v>25.12</v>
      </c>
      <c r="AB12" s="95">
        <v>8852800</v>
      </c>
      <c r="AC12" s="10">
        <v>25.12</v>
      </c>
      <c r="AD12" s="2">
        <f t="shared" si="0"/>
        <v>0.23000000000000043</v>
      </c>
      <c r="AE12" s="138">
        <f t="shared" si="1"/>
        <v>6.4102564102563875E-3</v>
      </c>
    </row>
    <row r="13" spans="1:31" x14ac:dyDescent="0.25">
      <c r="H13" s="72"/>
      <c r="W13" s="133">
        <v>42661</v>
      </c>
      <c r="X13" s="10">
        <v>24.89</v>
      </c>
      <c r="Y13" s="10">
        <v>25.1</v>
      </c>
      <c r="Z13" s="10">
        <v>24.78</v>
      </c>
      <c r="AA13" s="10">
        <v>24.96</v>
      </c>
      <c r="AB13" s="95">
        <v>10781100</v>
      </c>
      <c r="AC13" s="10">
        <v>24.96</v>
      </c>
      <c r="AD13" s="2">
        <f t="shared" si="0"/>
        <v>0.32000000000000028</v>
      </c>
      <c r="AE13" s="138">
        <f t="shared" si="1"/>
        <v>1.1345218800648427E-2</v>
      </c>
    </row>
    <row r="14" spans="1:31" x14ac:dyDescent="0.25">
      <c r="H14" s="72"/>
      <c r="W14" s="133">
        <v>42660</v>
      </c>
      <c r="X14" s="10">
        <v>24.75</v>
      </c>
      <c r="Y14" s="10">
        <v>24.81</v>
      </c>
      <c r="Z14" s="10">
        <v>24.64</v>
      </c>
      <c r="AA14" s="10">
        <v>24.68</v>
      </c>
      <c r="AB14" s="95">
        <v>8475600</v>
      </c>
      <c r="AC14" s="10">
        <v>24.68</v>
      </c>
      <c r="AD14" s="2">
        <f t="shared" si="0"/>
        <v>0.16999999999999815</v>
      </c>
      <c r="AE14" s="138">
        <f t="shared" si="1"/>
        <v>-2.021835826930829E-3</v>
      </c>
    </row>
    <row r="15" spans="1:31" x14ac:dyDescent="0.25">
      <c r="H15" s="72"/>
      <c r="W15" s="133">
        <v>42657</v>
      </c>
      <c r="X15" s="10">
        <v>24.62</v>
      </c>
      <c r="Y15" s="10">
        <v>24.91</v>
      </c>
      <c r="Z15" s="10">
        <v>24.55</v>
      </c>
      <c r="AA15" s="10">
        <v>24.73</v>
      </c>
      <c r="AB15" s="95">
        <v>9448500</v>
      </c>
      <c r="AC15" s="10">
        <v>24.73</v>
      </c>
      <c r="AD15" s="2">
        <f t="shared" si="0"/>
        <v>0.35999999999999943</v>
      </c>
      <c r="AE15" s="138">
        <f t="shared" si="1"/>
        <v>6.9218241042345863E-3</v>
      </c>
    </row>
    <row r="16" spans="1:31" x14ac:dyDescent="0.25">
      <c r="H16" s="72"/>
      <c r="W16" s="133">
        <v>42656</v>
      </c>
      <c r="X16" s="10">
        <v>24.33</v>
      </c>
      <c r="Y16" s="10">
        <v>24.66</v>
      </c>
      <c r="Z16" s="10">
        <v>24.22</v>
      </c>
      <c r="AA16" s="10">
        <v>24.56</v>
      </c>
      <c r="AB16" s="95">
        <v>8737300</v>
      </c>
      <c r="AC16" s="10">
        <v>24.56</v>
      </c>
      <c r="AD16" s="2">
        <f t="shared" si="0"/>
        <v>0.44000000000000128</v>
      </c>
      <c r="AE16" s="138">
        <f t="shared" si="1"/>
        <v>4.0733197555997691E-4</v>
      </c>
    </row>
    <row r="17" spans="1:31" x14ac:dyDescent="0.25">
      <c r="W17" s="133">
        <v>42655</v>
      </c>
      <c r="X17" s="10">
        <v>24.64</v>
      </c>
      <c r="Y17" s="10">
        <v>24.66</v>
      </c>
      <c r="Z17" s="10">
        <v>24.44</v>
      </c>
      <c r="AA17" s="10">
        <v>24.55</v>
      </c>
      <c r="AB17" s="95">
        <v>7649000</v>
      </c>
      <c r="AC17" s="10">
        <v>24.55</v>
      </c>
      <c r="AD17" s="2">
        <f t="shared" si="0"/>
        <v>0.21999999999999886</v>
      </c>
      <c r="AE17" s="138">
        <f t="shared" si="1"/>
        <v>-3.6525974025973795E-3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42654</v>
      </c>
      <c r="X18" s="10">
        <v>24.73</v>
      </c>
      <c r="Y18" s="10">
        <v>24.77</v>
      </c>
      <c r="Z18" s="10">
        <v>24.49</v>
      </c>
      <c r="AA18" s="10">
        <v>24.64</v>
      </c>
      <c r="AB18" s="95">
        <v>14842300</v>
      </c>
      <c r="AC18" s="10">
        <v>24.64</v>
      </c>
      <c r="AD18" s="2">
        <f t="shared" si="0"/>
        <v>0.28000000000000114</v>
      </c>
      <c r="AE18" s="138">
        <f t="shared" si="1"/>
        <v>-2.8328611898017497E-3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42653</v>
      </c>
      <c r="X19" s="10">
        <v>24.43</v>
      </c>
      <c r="Y19" s="10">
        <v>24.75</v>
      </c>
      <c r="Z19" s="10">
        <v>24.43</v>
      </c>
      <c r="AA19" s="10">
        <v>24.71</v>
      </c>
      <c r="AB19" s="95">
        <v>5962100</v>
      </c>
      <c r="AC19" s="10">
        <v>24.71</v>
      </c>
      <c r="AD19" s="2">
        <f t="shared" si="0"/>
        <v>0.32000000000000028</v>
      </c>
      <c r="AE19" s="138">
        <f t="shared" si="1"/>
        <v>1.4784394250513255E-2</v>
      </c>
    </row>
    <row r="20" spans="1:31" x14ac:dyDescent="0.25">
      <c r="W20" s="133">
        <v>42650</v>
      </c>
      <c r="X20" s="10">
        <v>24.62</v>
      </c>
      <c r="Y20" s="10">
        <v>24.68</v>
      </c>
      <c r="Z20" s="10">
        <v>24.23</v>
      </c>
      <c r="AA20" s="10">
        <v>24.35</v>
      </c>
      <c r="AB20" s="95">
        <v>6874600</v>
      </c>
      <c r="AC20" s="10">
        <v>24.35</v>
      </c>
      <c r="AD20" s="2">
        <f t="shared" si="0"/>
        <v>0.44999999999999929</v>
      </c>
      <c r="AE20" s="138">
        <f t="shared" si="1"/>
        <v>-7.3379535262942941E-3</v>
      </c>
    </row>
    <row r="21" spans="1:31" x14ac:dyDescent="0.25">
      <c r="W21" s="133">
        <v>42649</v>
      </c>
      <c r="X21" s="10">
        <v>24.57</v>
      </c>
      <c r="Y21" s="10">
        <v>24.74</v>
      </c>
      <c r="Z21" s="10">
        <v>24.33</v>
      </c>
      <c r="AA21" s="10">
        <v>24.53</v>
      </c>
      <c r="AB21" s="95">
        <v>6765400</v>
      </c>
      <c r="AC21" s="10">
        <v>24.53</v>
      </c>
      <c r="AD21" s="2">
        <f t="shared" si="0"/>
        <v>0.41000000000000014</v>
      </c>
      <c r="AE21" s="138">
        <f t="shared" si="1"/>
        <v>-5.2716950527169626E-3</v>
      </c>
    </row>
    <row r="22" spans="1:31" x14ac:dyDescent="0.25">
      <c r="W22" s="133">
        <v>42648</v>
      </c>
      <c r="X22" s="10">
        <v>24.79</v>
      </c>
      <c r="Y22" s="10">
        <v>24.87</v>
      </c>
      <c r="Z22" s="10">
        <v>24.63</v>
      </c>
      <c r="AA22" s="10">
        <v>24.66</v>
      </c>
      <c r="AB22" s="95">
        <v>7409800</v>
      </c>
      <c r="AC22" s="10">
        <v>24.66</v>
      </c>
      <c r="AD22" s="2">
        <f t="shared" si="0"/>
        <v>0.24000000000000199</v>
      </c>
      <c r="AE22" s="138">
        <f t="shared" si="1"/>
        <v>-3.2336297493936739E-3</v>
      </c>
    </row>
    <row r="23" spans="1:31" x14ac:dyDescent="0.25">
      <c r="W23" s="133">
        <v>42647</v>
      </c>
      <c r="X23" s="10">
        <v>24.72</v>
      </c>
      <c r="Y23" s="10">
        <v>24.99</v>
      </c>
      <c r="Z23" s="10">
        <v>24.53</v>
      </c>
      <c r="AA23" s="10">
        <v>24.74</v>
      </c>
      <c r="AB23" s="95">
        <v>10434100</v>
      </c>
      <c r="AC23" s="10">
        <v>24.74</v>
      </c>
      <c r="AD23" s="2">
        <f t="shared" si="0"/>
        <v>0.4599999999999973</v>
      </c>
      <c r="AE23" s="138">
        <f t="shared" si="1"/>
        <v>4.0436716538616579E-4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42646</v>
      </c>
      <c r="X24" s="10">
        <v>24.09</v>
      </c>
      <c r="Y24" s="10">
        <v>24.81</v>
      </c>
      <c r="Z24" s="10">
        <v>24.04</v>
      </c>
      <c r="AA24" s="10">
        <v>24.73</v>
      </c>
      <c r="AB24" s="95">
        <v>10974400</v>
      </c>
      <c r="AC24" s="10">
        <v>24.73</v>
      </c>
      <c r="AD24" s="2">
        <f t="shared" si="0"/>
        <v>0.76999999999999957</v>
      </c>
      <c r="AE24" s="138">
        <f t="shared" si="1"/>
        <v>2.1056977704376534E-2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42643</v>
      </c>
      <c r="X25" s="10">
        <v>24.21</v>
      </c>
      <c r="Y25" s="10">
        <v>24.42</v>
      </c>
      <c r="Z25" s="10">
        <v>24.04</v>
      </c>
      <c r="AA25" s="10">
        <v>24.22</v>
      </c>
      <c r="AB25" s="95">
        <v>9680400</v>
      </c>
      <c r="AC25" s="10">
        <v>24.22</v>
      </c>
      <c r="AD25" s="2">
        <f t="shared" si="0"/>
        <v>0.38000000000000256</v>
      </c>
      <c r="AE25" s="138">
        <f t="shared" si="1"/>
        <v>7.4875207986688785E-3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ref="F26" si="6">C26*(E26-D26)</f>
        <v>9.9999999999997868</v>
      </c>
      <c r="G26" s="40">
        <f t="shared" ref="G26" si="7">D26*C26</f>
        <v>2428</v>
      </c>
      <c r="H26" s="231">
        <f t="shared" ref="H26" si="8">(E26-D26)/D26</f>
        <v>4.1186161449752005E-3</v>
      </c>
      <c r="I26" s="40"/>
      <c r="W26" s="133">
        <v>42642</v>
      </c>
      <c r="X26" s="10">
        <v>24.17</v>
      </c>
      <c r="Y26" s="10">
        <v>24.41</v>
      </c>
      <c r="Z26" s="10">
        <v>24.01</v>
      </c>
      <c r="AA26" s="10">
        <v>24.04</v>
      </c>
      <c r="AB26" s="95">
        <v>7997700</v>
      </c>
      <c r="AC26" s="10">
        <v>24.04</v>
      </c>
      <c r="AD26" s="2">
        <f t="shared" si="0"/>
        <v>0.39999999999999858</v>
      </c>
      <c r="AE26" s="138">
        <f t="shared" si="1"/>
        <v>-1.1106540518305175E-2</v>
      </c>
    </row>
    <row r="27" spans="1:31" x14ac:dyDescent="0.25">
      <c r="B27" s="193">
        <v>42621</v>
      </c>
      <c r="C27" s="10">
        <v>100</v>
      </c>
      <c r="D27" s="40">
        <v>24.28</v>
      </c>
      <c r="E27" s="40">
        <v>24.75</v>
      </c>
      <c r="F27" s="40">
        <f t="shared" ref="F27" si="9">C27*(E27-D27)</f>
        <v>46.999999999999886</v>
      </c>
      <c r="G27" s="40">
        <f t="shared" ref="G27" si="10">D27*C27</f>
        <v>2428</v>
      </c>
      <c r="H27" s="231">
        <f t="shared" ref="H27" si="11">(E27-D27)/D27</f>
        <v>1.9357495881383809E-2</v>
      </c>
      <c r="I27" s="40"/>
      <c r="W27" s="133">
        <v>42641</v>
      </c>
      <c r="X27" s="10">
        <v>24.29</v>
      </c>
      <c r="Y27" s="10">
        <v>24.53</v>
      </c>
      <c r="Z27" s="10">
        <v>24.2</v>
      </c>
      <c r="AA27" s="10">
        <v>24.31</v>
      </c>
      <c r="AB27" s="95">
        <v>13911300</v>
      </c>
      <c r="AC27" s="10">
        <v>24.31</v>
      </c>
      <c r="AD27" s="2">
        <f t="shared" si="0"/>
        <v>0.33000000000000185</v>
      </c>
      <c r="AE27" s="138">
        <f t="shared" si="1"/>
        <v>4.5454545454546302E-3</v>
      </c>
    </row>
    <row r="28" spans="1:31" x14ac:dyDescent="0.25">
      <c r="B28" s="193">
        <v>42622</v>
      </c>
      <c r="C28" s="10">
        <v>100</v>
      </c>
      <c r="D28" s="40">
        <v>24.28</v>
      </c>
      <c r="E28" s="40">
        <v>23.57</v>
      </c>
      <c r="F28" s="40">
        <f t="shared" ref="F28" si="12">C28*(E28-D28)</f>
        <v>-71.000000000000085</v>
      </c>
      <c r="G28" s="40">
        <f t="shared" ref="G28" si="13">D28*C28</f>
        <v>2428</v>
      </c>
      <c r="H28" s="231">
        <f t="shared" ref="H28" si="14">(E28-D28)/D28</f>
        <v>-2.9242174629324581E-2</v>
      </c>
      <c r="I28" s="40"/>
      <c r="W28" s="133">
        <v>42640</v>
      </c>
      <c r="X28" s="10">
        <v>23.79</v>
      </c>
      <c r="Y28" s="10">
        <v>24.27</v>
      </c>
      <c r="Z28" s="10">
        <v>23.74</v>
      </c>
      <c r="AA28" s="10">
        <v>24.2</v>
      </c>
      <c r="AB28" s="95">
        <v>7748700</v>
      </c>
      <c r="AC28" s="10">
        <v>24.2</v>
      </c>
      <c r="AD28" s="2">
        <f t="shared" si="0"/>
        <v>0.53000000000000114</v>
      </c>
      <c r="AE28" s="138">
        <f t="shared" si="1"/>
        <v>1.7234131988230317E-2</v>
      </c>
    </row>
    <row r="29" spans="1:31" x14ac:dyDescent="0.25">
      <c r="B29" s="193">
        <v>42635</v>
      </c>
      <c r="C29" s="10">
        <v>100</v>
      </c>
      <c r="D29" s="40">
        <v>24.28</v>
      </c>
      <c r="E29" s="40">
        <v>24.3</v>
      </c>
      <c r="F29" s="40">
        <f>C29*(E29-D29)</f>
        <v>1.9999999999999574</v>
      </c>
      <c r="G29" s="40">
        <f>D29*C29</f>
        <v>2428</v>
      </c>
      <c r="H29" s="231">
        <f>(E29-D29)/D29</f>
        <v>8.2372322899504011E-4</v>
      </c>
      <c r="I29" s="40"/>
      <c r="W29" s="133">
        <v>42639</v>
      </c>
      <c r="X29" s="10">
        <v>23.84</v>
      </c>
      <c r="Y29" s="10">
        <v>23.95</v>
      </c>
      <c r="Z29" s="10">
        <v>23.6</v>
      </c>
      <c r="AA29" s="10">
        <v>23.79</v>
      </c>
      <c r="AB29" s="95">
        <v>13316800</v>
      </c>
      <c r="AC29" s="10">
        <v>23.79</v>
      </c>
      <c r="AD29" s="2">
        <f t="shared" si="0"/>
        <v>0.34999999999999787</v>
      </c>
      <c r="AE29" s="138">
        <f t="shared" si="1"/>
        <v>-5.8503969912244713E-3</v>
      </c>
    </row>
    <row r="30" spans="1:31" x14ac:dyDescent="0.25">
      <c r="B30" s="193">
        <v>42640</v>
      </c>
      <c r="C30" s="10">
        <v>100</v>
      </c>
      <c r="D30" s="40">
        <v>24.28</v>
      </c>
      <c r="E30" s="40">
        <v>24.2</v>
      </c>
      <c r="F30" s="40">
        <f>C30*(E30-D30)</f>
        <v>-8.0000000000001847</v>
      </c>
      <c r="G30" s="40">
        <f>D30*C30</f>
        <v>2428</v>
      </c>
      <c r="H30" s="231">
        <f>(E30-D30)/D30</f>
        <v>-3.2948929159803066E-3</v>
      </c>
      <c r="I30" s="40"/>
      <c r="W30" s="133">
        <v>42636</v>
      </c>
      <c r="X30" s="10">
        <v>24.28</v>
      </c>
      <c r="Y30" s="10">
        <v>24.44</v>
      </c>
      <c r="Z30" s="10">
        <v>23.93</v>
      </c>
      <c r="AA30" s="10">
        <v>23.93</v>
      </c>
      <c r="AB30" s="95">
        <v>9741100</v>
      </c>
      <c r="AC30" s="10">
        <v>23.93</v>
      </c>
      <c r="AD30" s="2">
        <f t="shared" si="0"/>
        <v>0.51000000000000156</v>
      </c>
      <c r="AE30" s="138">
        <f t="shared" si="1"/>
        <v>-1.5226337448559724E-2</v>
      </c>
    </row>
    <row r="31" spans="1:31" x14ac:dyDescent="0.25">
      <c r="B31" s="193">
        <v>42646</v>
      </c>
      <c r="C31" s="10">
        <v>100</v>
      </c>
      <c r="D31" s="40">
        <v>24.28</v>
      </c>
      <c r="E31" s="40">
        <v>24.73</v>
      </c>
      <c r="F31" s="40">
        <f>C31*(E31-D31)</f>
        <v>44.999999999999929</v>
      </c>
      <c r="G31" s="40">
        <f>D31*C31</f>
        <v>2428</v>
      </c>
      <c r="H31" s="231">
        <f>(E31-D31)/D31</f>
        <v>1.8533772652388768E-2</v>
      </c>
      <c r="I31" s="40"/>
      <c r="W31" s="133">
        <v>42635</v>
      </c>
      <c r="X31" s="10">
        <v>24.19</v>
      </c>
      <c r="Y31" s="10">
        <v>24.48</v>
      </c>
      <c r="Z31" s="10">
        <v>24.09</v>
      </c>
      <c r="AA31" s="10">
        <v>24.3</v>
      </c>
      <c r="AB31" s="95">
        <v>11647400</v>
      </c>
      <c r="AC31" s="10">
        <v>24.3</v>
      </c>
      <c r="AD31" s="2">
        <f t="shared" si="0"/>
        <v>0.39000000000000057</v>
      </c>
      <c r="AE31" s="138">
        <f t="shared" si="1"/>
        <v>1.2499999999999956E-2</v>
      </c>
    </row>
    <row r="32" spans="1:31" x14ac:dyDescent="0.25">
      <c r="B32" s="193">
        <v>42663</v>
      </c>
      <c r="C32" s="10">
        <v>0</v>
      </c>
      <c r="D32" s="40"/>
      <c r="E32" s="40"/>
      <c r="F32" s="40">
        <v>98.45</v>
      </c>
      <c r="G32" s="40"/>
      <c r="H32" s="231"/>
      <c r="I32" s="40"/>
      <c r="W32" s="133">
        <v>42634</v>
      </c>
      <c r="X32" s="10">
        <v>23.87</v>
      </c>
      <c r="Y32" s="10">
        <v>24.04</v>
      </c>
      <c r="Z32" s="10">
        <v>23.78</v>
      </c>
      <c r="AA32" s="10">
        <v>24</v>
      </c>
      <c r="AB32" s="95">
        <v>12887000</v>
      </c>
      <c r="AC32" s="10">
        <v>24</v>
      </c>
      <c r="AD32" s="2">
        <f t="shared" si="0"/>
        <v>0.25999999999999801</v>
      </c>
      <c r="AE32" s="138">
        <f t="shared" si="1"/>
        <v>4.6044370029301174E-3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42633</v>
      </c>
      <c r="X33" s="10">
        <v>24.1</v>
      </c>
      <c r="Y33" s="10">
        <v>24.11</v>
      </c>
      <c r="Z33" s="10">
        <v>23.86</v>
      </c>
      <c r="AA33" s="10">
        <v>23.89</v>
      </c>
      <c r="AB33" s="95">
        <v>11610400</v>
      </c>
      <c r="AC33" s="10">
        <v>23.89</v>
      </c>
      <c r="AD33" s="2">
        <f t="shared" si="0"/>
        <v>0.25</v>
      </c>
      <c r="AE33" s="138">
        <f t="shared" si="1"/>
        <v>-1.6715419974926427E-3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42632</v>
      </c>
      <c r="X34" s="10">
        <v>23.97</v>
      </c>
      <c r="Y34" s="10">
        <v>24.07</v>
      </c>
      <c r="Z34" s="10">
        <v>23.81</v>
      </c>
      <c r="AA34" s="10">
        <v>23.93</v>
      </c>
      <c r="AB34" s="95">
        <v>13479700</v>
      </c>
      <c r="AC34" s="10">
        <v>23.93</v>
      </c>
      <c r="AD34" s="2">
        <f t="shared" si="0"/>
        <v>0.26000000000000156</v>
      </c>
      <c r="AE34" s="138">
        <f t="shared" si="1"/>
        <v>1.255230125523088E-3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42629</v>
      </c>
      <c r="X35" s="10">
        <v>23.48</v>
      </c>
      <c r="Y35" s="10">
        <v>23.94</v>
      </c>
      <c r="Z35" s="10">
        <v>23.33</v>
      </c>
      <c r="AA35" s="10">
        <v>23.9</v>
      </c>
      <c r="AB35" s="95">
        <v>27403500</v>
      </c>
      <c r="AC35" s="10">
        <v>23.9</v>
      </c>
      <c r="AD35" s="2">
        <f t="shared" si="0"/>
        <v>0.61000000000000298</v>
      </c>
      <c r="AE35" s="138">
        <f t="shared" si="1"/>
        <v>2.5167785234898599E-3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42628</v>
      </c>
      <c r="X36" s="10">
        <v>23.63</v>
      </c>
      <c r="Y36" s="10">
        <v>23.91</v>
      </c>
      <c r="Z36" s="10">
        <v>23.44</v>
      </c>
      <c r="AA36" s="10">
        <v>23.84</v>
      </c>
      <c r="AB36" s="95">
        <v>17391700</v>
      </c>
      <c r="AC36" s="10">
        <v>23.84</v>
      </c>
      <c r="AD36" s="2">
        <f t="shared" si="0"/>
        <v>0.46999999999999886</v>
      </c>
      <c r="AE36" s="138">
        <f t="shared" si="1"/>
        <v>5.9071729957806962E-3</v>
      </c>
    </row>
    <row r="37" spans="1:31" x14ac:dyDescent="0.25">
      <c r="B37" s="74"/>
      <c r="C37" s="4"/>
      <c r="D37" s="3"/>
      <c r="E37" s="3"/>
      <c r="F37" s="3"/>
      <c r="G37" s="3"/>
      <c r="H37" s="280"/>
      <c r="I37" s="3"/>
      <c r="W37" s="133">
        <v>42627</v>
      </c>
      <c r="X37" s="10">
        <v>23.75</v>
      </c>
      <c r="Y37" s="10">
        <v>23.93</v>
      </c>
      <c r="Z37" s="10">
        <v>23.56</v>
      </c>
      <c r="AA37" s="10">
        <v>23.7</v>
      </c>
      <c r="AB37" s="95">
        <v>13318100</v>
      </c>
      <c r="AC37" s="10">
        <v>23.7</v>
      </c>
      <c r="AD37" s="2">
        <f t="shared" si="0"/>
        <v>0.37000000000000099</v>
      </c>
      <c r="AE37" s="138">
        <f t="shared" si="1"/>
        <v>-4.2176296921137002E-4</v>
      </c>
    </row>
    <row r="38" spans="1:31" x14ac:dyDescent="0.25">
      <c r="B38" s="74"/>
      <c r="C38" s="4"/>
      <c r="D38" s="3"/>
      <c r="E38" s="3"/>
      <c r="F38" s="3"/>
      <c r="G38" s="3"/>
      <c r="H38" s="280"/>
      <c r="I38" s="3"/>
      <c r="W38" s="133">
        <v>42626</v>
      </c>
      <c r="X38" s="10">
        <v>23.7</v>
      </c>
      <c r="Y38" s="10">
        <v>23.85</v>
      </c>
      <c r="Z38" s="10">
        <v>23.41</v>
      </c>
      <c r="AA38" s="10">
        <v>23.71</v>
      </c>
      <c r="AB38" s="95">
        <v>14556800</v>
      </c>
      <c r="AC38" s="10">
        <v>23.71</v>
      </c>
      <c r="AD38" s="2">
        <f t="shared" si="0"/>
        <v>0.44000000000000128</v>
      </c>
      <c r="AE38" s="138">
        <f t="shared" si="1"/>
        <v>-1.0020876826722258E-2</v>
      </c>
    </row>
    <row r="39" spans="1:31" x14ac:dyDescent="0.25">
      <c r="A39" s="23" t="s">
        <v>359</v>
      </c>
      <c r="B39" s="74"/>
      <c r="C39" s="4"/>
      <c r="D39" s="3"/>
      <c r="E39" s="3"/>
      <c r="F39" s="3"/>
      <c r="G39" s="3"/>
      <c r="H39" s="280"/>
      <c r="I39" s="3"/>
      <c r="W39" s="133">
        <v>42625</v>
      </c>
      <c r="X39" s="10">
        <v>23.36</v>
      </c>
      <c r="Y39" s="10">
        <v>24.2</v>
      </c>
      <c r="Z39" s="10">
        <v>23.34</v>
      </c>
      <c r="AA39" s="10">
        <v>23.95</v>
      </c>
      <c r="AB39" s="95">
        <v>22765900</v>
      </c>
      <c r="AC39" s="10">
        <v>23.95</v>
      </c>
      <c r="AD39" s="2">
        <f t="shared" si="0"/>
        <v>0.85999999999999943</v>
      </c>
      <c r="AE39" s="138" t="e">
        <f t="shared" si="1"/>
        <v>#DIV/0!</v>
      </c>
    </row>
    <row r="40" spans="1:31" ht="20.25" thickBot="1" x14ac:dyDescent="0.35">
      <c r="B40" s="74"/>
      <c r="C40" s="4"/>
      <c r="D40" s="3"/>
      <c r="E40" s="3"/>
      <c r="F40" s="3"/>
      <c r="G40" s="3"/>
      <c r="H40" s="280"/>
      <c r="I40" s="3"/>
      <c r="O40" s="588" t="s">
        <v>78</v>
      </c>
      <c r="P40" s="588"/>
      <c r="W40" s="133">
        <v>42625</v>
      </c>
      <c r="X40" s="10" t="s">
        <v>333</v>
      </c>
      <c r="Y40" s="10"/>
      <c r="Z40" s="10"/>
      <c r="AA40" s="10"/>
      <c r="AB40" s="95"/>
      <c r="AC40" s="10"/>
      <c r="AD40" s="2">
        <f t="shared" si="0"/>
        <v>0</v>
      </c>
      <c r="AE40" s="138">
        <f t="shared" si="1"/>
        <v>-1</v>
      </c>
    </row>
    <row r="41" spans="1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28.413</v>
      </c>
      <c r="Q41" s="2"/>
      <c r="W41" s="133">
        <v>42622</v>
      </c>
      <c r="X41" s="10">
        <v>24.53</v>
      </c>
      <c r="Y41" s="10">
        <v>24.65</v>
      </c>
      <c r="Z41" s="10">
        <v>23.56</v>
      </c>
      <c r="AA41" s="10">
        <v>23.57</v>
      </c>
      <c r="AB41" s="95">
        <v>20104900</v>
      </c>
      <c r="AC41" s="10">
        <v>23.39</v>
      </c>
      <c r="AD41" s="2">
        <f t="shared" si="0"/>
        <v>1.0899999999999999</v>
      </c>
      <c r="AE41" s="138">
        <f t="shared" si="1"/>
        <v>-4.7638436482084656E-2</v>
      </c>
    </row>
    <row r="42" spans="1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5">O42*$Q$4</f>
        <v>28.154700000000002</v>
      </c>
      <c r="Q42" s="2"/>
      <c r="T42" s="91" t="s">
        <v>113</v>
      </c>
      <c r="W42" s="133">
        <v>42621</v>
      </c>
      <c r="X42" s="10">
        <v>24.4</v>
      </c>
      <c r="Y42" s="10">
        <v>24.77</v>
      </c>
      <c r="Z42" s="10">
        <v>24.37</v>
      </c>
      <c r="AA42" s="10">
        <v>24.75</v>
      </c>
      <c r="AB42" s="95">
        <v>13602700</v>
      </c>
      <c r="AC42" s="10">
        <v>24.56</v>
      </c>
      <c r="AD42" s="2">
        <f t="shared" si="0"/>
        <v>0.39999999999999858</v>
      </c>
      <c r="AE42" s="138">
        <f t="shared" si="1"/>
        <v>1.529557668458037E-2</v>
      </c>
    </row>
    <row r="43" spans="1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5"/>
        <v>27.8964</v>
      </c>
      <c r="Q43" s="2"/>
      <c r="T43" s="128" t="s">
        <v>98</v>
      </c>
      <c r="U43" s="129">
        <v>26.19</v>
      </c>
      <c r="W43" s="133">
        <v>42620</v>
      </c>
      <c r="X43" s="10">
        <v>24.38</v>
      </c>
      <c r="Y43" s="10">
        <v>24.61</v>
      </c>
      <c r="Z43" s="10">
        <v>24.34</v>
      </c>
      <c r="AA43" s="10">
        <v>24.38</v>
      </c>
      <c r="AB43" s="95">
        <v>10982300</v>
      </c>
      <c r="AC43" s="10">
        <v>24.19</v>
      </c>
      <c r="AD43" s="2">
        <f t="shared" si="0"/>
        <v>0.26999999999999957</v>
      </c>
      <c r="AE43" s="138">
        <f t="shared" si="1"/>
        <v>-1.6508460586049933E-3</v>
      </c>
    </row>
    <row r="44" spans="1:31" x14ac:dyDescent="0.25">
      <c r="B44" s="74"/>
      <c r="C44" s="4"/>
      <c r="D44" s="3"/>
      <c r="E44" s="3"/>
      <c r="F44" s="3"/>
      <c r="G44" s="3"/>
      <c r="H44" s="280"/>
      <c r="I44" s="3"/>
      <c r="L44" t="s">
        <v>65</v>
      </c>
      <c r="M44" s="2">
        <f>M62+K62-F62</f>
        <v>98.449999999999818</v>
      </c>
      <c r="O44" s="83">
        <v>1.07</v>
      </c>
      <c r="P44" s="83">
        <f t="shared" si="15"/>
        <v>27.638100000000001</v>
      </c>
      <c r="Q44" s="2"/>
      <c r="T44" s="93" t="s">
        <v>99</v>
      </c>
      <c r="U44" s="130">
        <v>26.28</v>
      </c>
      <c r="W44" s="133">
        <v>42619</v>
      </c>
      <c r="X44" s="10">
        <v>24.53</v>
      </c>
      <c r="Y44" s="10">
        <v>24.55</v>
      </c>
      <c r="Z44" s="10">
        <v>24.09</v>
      </c>
      <c r="AA44" s="10">
        <v>24.42</v>
      </c>
      <c r="AB44" s="95">
        <v>8132300</v>
      </c>
      <c r="AC44" s="10">
        <v>24.23</v>
      </c>
      <c r="AD44" s="2">
        <f t="shared" si="0"/>
        <v>0.46000000000000085</v>
      </c>
      <c r="AE44" s="138">
        <f t="shared" si="1"/>
        <v>-5.3366174055828886E-3</v>
      </c>
    </row>
    <row r="45" spans="1:31" x14ac:dyDescent="0.25">
      <c r="A45" s="263" t="s">
        <v>1</v>
      </c>
      <c r="B45" s="263" t="s">
        <v>2</v>
      </c>
      <c r="C45" s="263" t="s">
        <v>4</v>
      </c>
      <c r="D45" s="264" t="s">
        <v>5</v>
      </c>
      <c r="E45" s="264" t="s">
        <v>94</v>
      </c>
      <c r="F45" s="264" t="s">
        <v>60</v>
      </c>
      <c r="G45" s="263" t="s">
        <v>3</v>
      </c>
      <c r="H45" s="263" t="s">
        <v>6</v>
      </c>
      <c r="I45" s="264" t="s">
        <v>7</v>
      </c>
      <c r="J45" s="264" t="s">
        <v>95</v>
      </c>
      <c r="K45" s="264" t="s">
        <v>61</v>
      </c>
      <c r="L45" s="263" t="s">
        <v>37</v>
      </c>
      <c r="M45" s="263" t="s">
        <v>38</v>
      </c>
      <c r="O45" s="83">
        <v>1.06</v>
      </c>
      <c r="P45" s="83">
        <f t="shared" si="15"/>
        <v>27.379799999999999</v>
      </c>
      <c r="Q45" s="2"/>
      <c r="T45" s="93" t="s">
        <v>100</v>
      </c>
      <c r="U45" s="130" t="s">
        <v>597</v>
      </c>
      <c r="W45" s="133">
        <v>42615</v>
      </c>
      <c r="X45" s="10">
        <v>24.7</v>
      </c>
      <c r="Y45" s="10">
        <v>24.82</v>
      </c>
      <c r="Z45" s="10">
        <v>24.51</v>
      </c>
      <c r="AA45" s="10">
        <v>24.55</v>
      </c>
      <c r="AB45" s="95">
        <v>4937900</v>
      </c>
      <c r="AC45" s="10">
        <v>24.36</v>
      </c>
      <c r="AD45" s="2">
        <f t="shared" si="0"/>
        <v>0.30999999999999872</v>
      </c>
      <c r="AE45" s="138">
        <f t="shared" si="1"/>
        <v>4.1067761806967695E-4</v>
      </c>
    </row>
    <row r="46" spans="1:31" x14ac:dyDescent="0.25">
      <c r="A46" s="265" t="s">
        <v>322</v>
      </c>
      <c r="B46" s="266">
        <v>42619</v>
      </c>
      <c r="C46" s="261">
        <v>100</v>
      </c>
      <c r="D46" s="262">
        <v>24.28</v>
      </c>
      <c r="E46" s="262">
        <v>0</v>
      </c>
      <c r="F46" s="262">
        <f>D46*C46+E46</f>
        <v>2428</v>
      </c>
      <c r="G46" s="266">
        <v>42663</v>
      </c>
      <c r="H46" s="267">
        <v>100</v>
      </c>
      <c r="I46" s="262">
        <v>25.09</v>
      </c>
      <c r="J46" s="262">
        <v>0.55000000000000004</v>
      </c>
      <c r="K46" s="262">
        <f>H46*I46-J46</f>
        <v>2508.4499999999998</v>
      </c>
      <c r="L46" s="266">
        <v>42662</v>
      </c>
      <c r="M46" s="262">
        <v>18</v>
      </c>
      <c r="O46" s="83">
        <v>1.05</v>
      </c>
      <c r="P46" s="83">
        <f t="shared" si="15"/>
        <v>27.121500000000001</v>
      </c>
      <c r="Q46" s="2"/>
      <c r="T46" s="93" t="s">
        <v>101</v>
      </c>
      <c r="U46" s="130" t="s">
        <v>598</v>
      </c>
      <c r="W46" s="133">
        <v>42614</v>
      </c>
      <c r="X46" s="10">
        <v>24.61</v>
      </c>
      <c r="Y46" s="10">
        <v>24.63</v>
      </c>
      <c r="Z46" s="10">
        <v>24.42</v>
      </c>
      <c r="AA46" s="10">
        <v>24.54</v>
      </c>
      <c r="AB46" s="95">
        <v>6085600</v>
      </c>
      <c r="AC46" s="10">
        <v>24.35</v>
      </c>
      <c r="AD46" s="2">
        <f t="shared" si="0"/>
        <v>0.2099999999999973</v>
      </c>
      <c r="AE46" s="138">
        <f t="shared" si="1"/>
        <v>0</v>
      </c>
    </row>
    <row r="47" spans="1:31" x14ac:dyDescent="0.25">
      <c r="A47" s="268" t="s">
        <v>71</v>
      </c>
      <c r="B47" s="266"/>
      <c r="C47" s="261"/>
      <c r="D47" s="262"/>
      <c r="E47" s="262"/>
      <c r="F47" s="262"/>
      <c r="G47" s="266"/>
      <c r="H47" s="267"/>
      <c r="I47" s="262"/>
      <c r="J47" s="262"/>
      <c r="K47" s="262"/>
      <c r="L47" s="261"/>
      <c r="M47" s="261"/>
      <c r="O47" s="83">
        <v>1.04</v>
      </c>
      <c r="P47" s="83">
        <f t="shared" si="15"/>
        <v>26.863199999999999</v>
      </c>
      <c r="Q47" s="2"/>
      <c r="T47" s="93" t="s">
        <v>102</v>
      </c>
      <c r="U47" s="130">
        <v>31.61</v>
      </c>
      <c r="W47" s="133">
        <v>42613</v>
      </c>
      <c r="X47" s="10">
        <v>24.5</v>
      </c>
      <c r="Y47" s="10">
        <v>24.72</v>
      </c>
      <c r="Z47" s="10">
        <v>24.47</v>
      </c>
      <c r="AA47" s="10">
        <v>24.54</v>
      </c>
      <c r="AB47" s="95">
        <v>7270900</v>
      </c>
      <c r="AC47" s="10">
        <v>24.35</v>
      </c>
      <c r="AD47" s="2">
        <f t="shared" si="0"/>
        <v>0.25</v>
      </c>
      <c r="AE47" s="138">
        <f t="shared" si="1"/>
        <v>-4.1050903119865811E-4</v>
      </c>
    </row>
    <row r="48" spans="1:31" x14ac:dyDescent="0.25">
      <c r="A48" s="261"/>
      <c r="B48" s="266"/>
      <c r="C48" s="261"/>
      <c r="D48" s="262"/>
      <c r="E48" s="262"/>
      <c r="F48" s="262"/>
      <c r="G48" s="266"/>
      <c r="H48" s="267"/>
      <c r="I48" s="262"/>
      <c r="J48" s="262"/>
      <c r="K48" s="262"/>
      <c r="L48" s="261"/>
      <c r="M48" s="261"/>
      <c r="O48" s="83">
        <v>1.03</v>
      </c>
      <c r="P48" s="83">
        <f t="shared" si="15"/>
        <v>26.604900000000001</v>
      </c>
      <c r="Q48" s="2"/>
      <c r="T48" s="93" t="s">
        <v>103</v>
      </c>
      <c r="U48" s="130">
        <v>1.64592</v>
      </c>
      <c r="W48" s="133">
        <v>42612</v>
      </c>
      <c r="X48" s="10">
        <v>24.72</v>
      </c>
      <c r="Y48" s="10">
        <v>24.77</v>
      </c>
      <c r="Z48" s="10">
        <v>24.5</v>
      </c>
      <c r="AA48" s="10">
        <v>24.55</v>
      </c>
      <c r="AB48" s="95">
        <v>4514500</v>
      </c>
      <c r="AC48" s="10">
        <v>24.36</v>
      </c>
      <c r="AD48" s="2">
        <f t="shared" si="0"/>
        <v>0.26999999999999957</v>
      </c>
      <c r="AE48" s="138">
        <f t="shared" si="1"/>
        <v>-7.7393075356415597E-3</v>
      </c>
    </row>
    <row r="49" spans="1:31" x14ac:dyDescent="0.25">
      <c r="A49" s="261"/>
      <c r="B49" s="266"/>
      <c r="C49" s="261"/>
      <c r="D49" s="262"/>
      <c r="E49" s="262"/>
      <c r="F49" s="262"/>
      <c r="G49" s="261"/>
      <c r="H49" s="267"/>
      <c r="I49" s="262"/>
      <c r="J49" s="262"/>
      <c r="K49" s="262"/>
      <c r="L49" s="261"/>
      <c r="M49" s="261"/>
      <c r="O49" s="83">
        <v>1.02</v>
      </c>
      <c r="P49" s="83">
        <f t="shared" si="15"/>
        <v>26.346599999999999</v>
      </c>
      <c r="Q49" s="2"/>
      <c r="T49" s="93" t="s">
        <v>104</v>
      </c>
      <c r="U49" s="130" t="s">
        <v>378</v>
      </c>
      <c r="W49" s="133">
        <v>42611</v>
      </c>
      <c r="X49" s="10">
        <v>24.61</v>
      </c>
      <c r="Y49" s="10">
        <v>24.85</v>
      </c>
      <c r="Z49" s="10">
        <v>24.55</v>
      </c>
      <c r="AA49" s="10">
        <v>24.74</v>
      </c>
      <c r="AB49" s="95">
        <v>6535600</v>
      </c>
      <c r="AC49" s="10">
        <v>24.55</v>
      </c>
      <c r="AD49" s="2">
        <f t="shared" si="0"/>
        <v>0.30000000000000071</v>
      </c>
      <c r="AE49" s="138">
        <f t="shared" si="1"/>
        <v>8.2135523613962036E-3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15"/>
        <v>26.0883</v>
      </c>
      <c r="Q50" s="2"/>
      <c r="T50" s="93"/>
      <c r="U50" s="130"/>
      <c r="W50" s="133">
        <v>42608</v>
      </c>
      <c r="X50" s="10">
        <v>24.67</v>
      </c>
      <c r="Y50" s="10">
        <v>24.73</v>
      </c>
      <c r="Z50" s="10">
        <v>24.41</v>
      </c>
      <c r="AA50" s="10">
        <v>24.54</v>
      </c>
      <c r="AB50" s="95">
        <v>8062800</v>
      </c>
      <c r="AC50" s="10">
        <v>24.35</v>
      </c>
      <c r="AD50" s="2">
        <f t="shared" si="0"/>
        <v>0.32000000000000028</v>
      </c>
      <c r="AE50" s="138">
        <f t="shared" si="1"/>
        <v>-1.2305168170630987E-3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15"/>
        <v>25.83</v>
      </c>
      <c r="Q51" s="2"/>
      <c r="T51" s="93" t="s">
        <v>105</v>
      </c>
      <c r="U51" s="130" t="s">
        <v>599</v>
      </c>
      <c r="W51" s="133">
        <v>42607</v>
      </c>
      <c r="X51" s="10">
        <v>24.72</v>
      </c>
      <c r="Y51" s="10">
        <v>24.87</v>
      </c>
      <c r="Z51" s="10">
        <v>24.51</v>
      </c>
      <c r="AA51" s="10">
        <v>24.57</v>
      </c>
      <c r="AB51" s="95">
        <v>6391300</v>
      </c>
      <c r="AC51" s="10">
        <v>24.38</v>
      </c>
      <c r="AD51" s="2">
        <f t="shared" si="0"/>
        <v>0.35999999999999943</v>
      </c>
      <c r="AE51" s="138">
        <f t="shared" si="1"/>
        <v>-9.3457943925233655E-3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15"/>
        <v>25.571699999999996</v>
      </c>
      <c r="Q52" s="2"/>
      <c r="T52" s="93" t="s">
        <v>106</v>
      </c>
      <c r="U52" s="130" t="s">
        <v>600</v>
      </c>
      <c r="W52" s="133">
        <v>42606</v>
      </c>
      <c r="X52" s="10">
        <v>24.91</v>
      </c>
      <c r="Y52" s="10">
        <v>24.98</v>
      </c>
      <c r="Z52" s="10">
        <v>24.72</v>
      </c>
      <c r="AA52" s="10">
        <v>24.8</v>
      </c>
      <c r="AB52" s="95">
        <v>8275900</v>
      </c>
      <c r="AC52" s="10">
        <v>24.61</v>
      </c>
      <c r="AD52" s="2">
        <f t="shared" si="0"/>
        <v>0.26000000000000156</v>
      </c>
      <c r="AE52" s="138">
        <f t="shared" si="1"/>
        <v>-3.6437246963563208E-3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15"/>
        <v>25.313399999999998</v>
      </c>
      <c r="Q53" s="2"/>
      <c r="T53" s="93" t="s">
        <v>107</v>
      </c>
      <c r="U53" s="131">
        <v>12848950</v>
      </c>
      <c r="W53" s="133">
        <v>42605</v>
      </c>
      <c r="X53" s="10">
        <v>25.15</v>
      </c>
      <c r="Y53" s="10">
        <v>25.32</v>
      </c>
      <c r="Z53" s="10">
        <v>24.85</v>
      </c>
      <c r="AA53" s="10">
        <v>24.89</v>
      </c>
      <c r="AB53" s="95">
        <v>9037200</v>
      </c>
      <c r="AC53" s="10">
        <v>24.7</v>
      </c>
      <c r="AD53" s="2">
        <f t="shared" si="0"/>
        <v>0.46999999999999886</v>
      </c>
      <c r="AE53" s="138">
        <f t="shared" si="1"/>
        <v>-9.2258323305255407E-3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15"/>
        <v>25.055099999999996</v>
      </c>
      <c r="T54" s="93" t="s">
        <v>110</v>
      </c>
      <c r="U54" s="131">
        <v>11852000</v>
      </c>
      <c r="W54" s="133">
        <v>42604</v>
      </c>
      <c r="X54" s="10">
        <v>25.11</v>
      </c>
      <c r="Y54" s="10">
        <v>25.36</v>
      </c>
      <c r="Z54" s="10">
        <v>25.01</v>
      </c>
      <c r="AA54" s="10">
        <v>25.12</v>
      </c>
      <c r="AB54" s="95">
        <v>8374100</v>
      </c>
      <c r="AC54" s="10">
        <v>24.93</v>
      </c>
      <c r="AD54" s="2">
        <f t="shared" si="0"/>
        <v>0.34999999999999787</v>
      </c>
      <c r="AE54" s="138">
        <f t="shared" si="1"/>
        <v>-1.2019230769231282E-3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15"/>
        <v>24.796799999999998</v>
      </c>
      <c r="T55" s="93" t="s">
        <v>108</v>
      </c>
      <c r="U55" s="130" t="s">
        <v>601</v>
      </c>
      <c r="W55" s="133">
        <v>42601</v>
      </c>
      <c r="X55" s="10">
        <v>25.05</v>
      </c>
      <c r="Y55" s="10">
        <v>25.17</v>
      </c>
      <c r="Z55" s="10">
        <v>24.86</v>
      </c>
      <c r="AA55" s="10">
        <v>25.15</v>
      </c>
      <c r="AB55" s="95">
        <v>13575100</v>
      </c>
      <c r="AC55" s="10">
        <v>24.96</v>
      </c>
      <c r="AD55" s="2">
        <f t="shared" si="0"/>
        <v>0.31000000000000227</v>
      </c>
      <c r="AE55" s="138">
        <f t="shared" si="1"/>
        <v>2.8123744475692103E-3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15"/>
        <v>24.538499999999996</v>
      </c>
      <c r="T56" s="93" t="s">
        <v>111</v>
      </c>
      <c r="U56" s="130">
        <v>18.239999999999998</v>
      </c>
      <c r="W56" s="133">
        <v>42600</v>
      </c>
      <c r="X56" s="10">
        <v>25.44</v>
      </c>
      <c r="Y56" s="10">
        <v>25.52</v>
      </c>
      <c r="Z56" s="10">
        <v>24.99</v>
      </c>
      <c r="AA56" s="10">
        <v>25.08</v>
      </c>
      <c r="AB56" s="95">
        <v>14877200</v>
      </c>
      <c r="AC56" s="10">
        <v>24.89</v>
      </c>
      <c r="AD56" s="2">
        <f t="shared" si="0"/>
        <v>0.53000000000000114</v>
      </c>
      <c r="AE56" s="138">
        <f t="shared" si="1"/>
        <v>-1.5816528272044272E-2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15"/>
        <v>24.280199999999997</v>
      </c>
      <c r="T57" s="93" t="s">
        <v>112</v>
      </c>
      <c r="U57" s="130">
        <v>1.42</v>
      </c>
      <c r="W57" s="133">
        <v>42599</v>
      </c>
      <c r="X57" s="10">
        <v>25.49</v>
      </c>
      <c r="Y57" s="10">
        <v>25.6</v>
      </c>
      <c r="Z57" s="10">
        <v>25.32</v>
      </c>
      <c r="AA57" s="10">
        <v>25.48</v>
      </c>
      <c r="AB57" s="95">
        <v>13351600</v>
      </c>
      <c r="AC57" s="10">
        <v>25.29</v>
      </c>
      <c r="AD57" s="2">
        <f t="shared" si="0"/>
        <v>0.28000000000000114</v>
      </c>
      <c r="AE57" s="138">
        <f t="shared" si="1"/>
        <v>7.9145231499810897E-4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15"/>
        <v>24.021899999999999</v>
      </c>
      <c r="T58" s="93" t="s">
        <v>109</v>
      </c>
      <c r="U58" s="130" t="s">
        <v>446</v>
      </c>
      <c r="W58" s="133">
        <v>42598</v>
      </c>
      <c r="X58" s="10">
        <v>25.73</v>
      </c>
      <c r="Y58" s="10">
        <v>25.75</v>
      </c>
      <c r="Z58" s="10">
        <v>25.45</v>
      </c>
      <c r="AA58" s="10">
        <v>25.46</v>
      </c>
      <c r="AB58" s="95">
        <v>12208900</v>
      </c>
      <c r="AC58" s="10">
        <v>25.27</v>
      </c>
      <c r="AD58" s="2">
        <f t="shared" si="0"/>
        <v>0.30000000000000071</v>
      </c>
      <c r="AE58" s="138">
        <f t="shared" si="1"/>
        <v>-1.4814814814814725E-2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15"/>
        <v>23.7636</v>
      </c>
      <c r="W59" s="133">
        <v>42597</v>
      </c>
      <c r="X59" s="10">
        <v>26.13</v>
      </c>
      <c r="Y59" s="10">
        <v>26.14</v>
      </c>
      <c r="Z59" s="10">
        <v>25.83</v>
      </c>
      <c r="AA59" s="10">
        <v>25.85</v>
      </c>
      <c r="AB59" s="95">
        <v>6608400</v>
      </c>
      <c r="AC59" s="10">
        <v>25.65</v>
      </c>
      <c r="AD59" s="2">
        <f t="shared" si="0"/>
        <v>0.31000000000000227</v>
      </c>
      <c r="AE59" s="138">
        <f t="shared" si="1"/>
        <v>-6.5840433772270668E-3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15"/>
        <v>23.505299999999998</v>
      </c>
      <c r="W60" s="133">
        <v>42594</v>
      </c>
      <c r="X60" s="10">
        <v>26.05</v>
      </c>
      <c r="Y60" s="10">
        <v>26.37</v>
      </c>
      <c r="Z60" s="10">
        <v>25.95</v>
      </c>
      <c r="AA60" s="10">
        <v>26.02</v>
      </c>
      <c r="AB60" s="95">
        <v>10589700</v>
      </c>
      <c r="AC60" s="10">
        <v>25.82</v>
      </c>
      <c r="AD60" s="2">
        <f t="shared" si="0"/>
        <v>0.42000000000000171</v>
      </c>
      <c r="AE60" s="138">
        <f t="shared" si="1"/>
        <v>-5.3929121725732054E-3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1"/>
      <c r="I61" s="262"/>
      <c r="J61" s="262"/>
      <c r="K61" s="262"/>
      <c r="L61" s="261"/>
      <c r="M61" s="261"/>
      <c r="O61" s="83">
        <v>0.9</v>
      </c>
      <c r="P61" s="83">
        <f t="shared" si="15"/>
        <v>23.247</v>
      </c>
      <c r="W61" s="133">
        <v>42593</v>
      </c>
      <c r="X61" s="10">
        <v>25.66</v>
      </c>
      <c r="Y61" s="10">
        <v>26.27</v>
      </c>
      <c r="Z61" s="10">
        <v>25.63</v>
      </c>
      <c r="AA61" s="10">
        <v>26.16</v>
      </c>
      <c r="AB61" s="95">
        <v>15405200</v>
      </c>
      <c r="AC61" s="10">
        <v>25.96</v>
      </c>
      <c r="AD61" s="2">
        <f t="shared" si="0"/>
        <v>0.64000000000000057</v>
      </c>
      <c r="AE61" s="138">
        <f t="shared" si="1"/>
        <v>2.2852639873916614E-2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3">
        <v>42592</v>
      </c>
      <c r="X62" s="10">
        <v>25.53</v>
      </c>
      <c r="Y62" s="10">
        <v>25.71</v>
      </c>
      <c r="Z62" s="10">
        <v>25.32</v>
      </c>
      <c r="AA62" s="10">
        <v>25.58</v>
      </c>
      <c r="AB62" s="95">
        <v>8030900</v>
      </c>
      <c r="AC62" s="10">
        <v>25.38</v>
      </c>
      <c r="AD62" s="2">
        <f t="shared" si="0"/>
        <v>0.39000000000000057</v>
      </c>
      <c r="AE62" s="138">
        <f t="shared" si="1"/>
        <v>3.558718861210064E-3</v>
      </c>
    </row>
    <row r="63" spans="1:31" ht="15.75" thickBot="1" x14ac:dyDescent="0.3">
      <c r="A63" s="484" t="s">
        <v>201</v>
      </c>
      <c r="B63" s="485"/>
      <c r="C63" s="486">
        <f>SumByColor($A$19,C46:C61)</f>
        <v>0</v>
      </c>
      <c r="D63" s="486"/>
      <c r="E63" s="486"/>
      <c r="F63" s="487">
        <f>SumByColor($A$19,F46:F61)</f>
        <v>0</v>
      </c>
      <c r="G63" s="486"/>
      <c r="H63" s="486">
        <f>SumByColor($A$19,H46:H61)</f>
        <v>0</v>
      </c>
      <c r="I63" s="486"/>
      <c r="J63" s="486"/>
      <c r="K63" s="487">
        <f>SumByColor($A$19,K46:K61)</f>
        <v>0</v>
      </c>
      <c r="L63" s="486"/>
      <c r="M63" s="487">
        <f t="shared" ref="M63" si="16">SumByColor($A$19,M46:M61)</f>
        <v>0</v>
      </c>
      <c r="W63" s="133">
        <v>42591</v>
      </c>
      <c r="X63" s="10">
        <v>25.46</v>
      </c>
      <c r="Y63" s="10">
        <v>25.6</v>
      </c>
      <c r="Z63" s="10">
        <v>25.26</v>
      </c>
      <c r="AA63" s="10">
        <v>25.48</v>
      </c>
      <c r="AB63" s="95">
        <v>7564000</v>
      </c>
      <c r="AC63" s="10">
        <v>25.29</v>
      </c>
      <c r="AD63" s="2">
        <f t="shared" si="0"/>
        <v>0.33999999999999986</v>
      </c>
      <c r="AE63" s="138">
        <f t="shared" si="1"/>
        <v>2.7755749405233843E-3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3">
        <v>42590</v>
      </c>
      <c r="X64" s="10">
        <v>25.51</v>
      </c>
      <c r="Y64" s="10">
        <v>25.62</v>
      </c>
      <c r="Z64" s="10">
        <v>25.37</v>
      </c>
      <c r="AA64" s="10">
        <v>25.41</v>
      </c>
      <c r="AB64" s="95">
        <v>7921900</v>
      </c>
      <c r="AC64" s="10">
        <v>25.22</v>
      </c>
      <c r="AD64" s="2">
        <f t="shared" si="0"/>
        <v>0.25</v>
      </c>
      <c r="AE64" s="138">
        <f t="shared" si="1"/>
        <v>-8.6477987421385016E-3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42587</v>
      </c>
      <c r="X65" s="10">
        <v>25.71</v>
      </c>
      <c r="Y65" s="10">
        <v>25.91</v>
      </c>
      <c r="Z65" s="10">
        <v>25.6</v>
      </c>
      <c r="AA65" s="10">
        <v>25.64</v>
      </c>
      <c r="AB65" s="95">
        <v>13454600</v>
      </c>
      <c r="AC65" s="10">
        <v>25.44</v>
      </c>
      <c r="AD65" s="2">
        <f t="shared" si="0"/>
        <v>0.30999999999999872</v>
      </c>
      <c r="AE65" s="138">
        <f t="shared" si="1"/>
        <v>1.969279243796862E-3</v>
      </c>
    </row>
    <row r="66" spans="2:31" x14ac:dyDescent="0.25">
      <c r="W66" s="133">
        <v>42586</v>
      </c>
      <c r="X66" s="10">
        <v>26.04</v>
      </c>
      <c r="Y66" s="10">
        <v>26.45</v>
      </c>
      <c r="Z66" s="10">
        <v>25.25</v>
      </c>
      <c r="AA66" s="10">
        <v>25.59</v>
      </c>
      <c r="AB66" s="95">
        <v>46749900</v>
      </c>
      <c r="AC66" s="10">
        <v>25.39</v>
      </c>
      <c r="AD66" s="2">
        <f t="shared" si="0"/>
        <v>1.1999999999999993</v>
      </c>
      <c r="AE66" s="138">
        <f t="shared" si="1"/>
        <v>-5.3671263510995049E-2</v>
      </c>
    </row>
    <row r="67" spans="2:31" x14ac:dyDescent="0.25">
      <c r="W67" s="133">
        <v>42585</v>
      </c>
      <c r="X67" s="10">
        <v>26.6</v>
      </c>
      <c r="Y67" s="10">
        <v>27.16</v>
      </c>
      <c r="Z67" s="10">
        <v>26.31</v>
      </c>
      <c r="AA67" s="10">
        <v>27.04</v>
      </c>
      <c r="AB67" s="95">
        <v>14284000</v>
      </c>
      <c r="AC67" s="10">
        <v>26.83</v>
      </c>
      <c r="AD67" s="2">
        <f>Y67-Z67</f>
        <v>0.85000000000000142</v>
      </c>
      <c r="AE67" s="138" t="e">
        <f>AC67/#REF!-1</f>
        <v>#REF!</v>
      </c>
    </row>
    <row r="68" spans="2:31" x14ac:dyDescent="0.25">
      <c r="W68" s="133">
        <v>42584</v>
      </c>
      <c r="X68" s="10">
        <v>26.59</v>
      </c>
      <c r="Y68" s="10">
        <v>26.79</v>
      </c>
      <c r="Z68" s="10">
        <v>26.49</v>
      </c>
      <c r="AA68" s="10">
        <v>26.7</v>
      </c>
      <c r="AB68" s="95">
        <v>12317500</v>
      </c>
      <c r="AC68" s="10">
        <v>26.5</v>
      </c>
      <c r="AD68" s="2" t="e">
        <f>#REF!-#REF!</f>
        <v>#REF!</v>
      </c>
      <c r="AE68" s="138" t="e">
        <f>#REF!/AC70-1</f>
        <v>#REF!</v>
      </c>
    </row>
    <row r="69" spans="2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:31" x14ac:dyDescent="0.25">
      <c r="W70" s="133"/>
      <c r="X70" s="10"/>
      <c r="Y70" s="10"/>
      <c r="Z70" s="10"/>
      <c r="AA70" s="10"/>
      <c r="AB70" s="95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723" priority="11">
      <formula>F33&gt;0</formula>
    </cfRule>
    <cfRule type="expression" dxfId="722" priority="12">
      <formula>F33&lt;0</formula>
    </cfRule>
  </conditionalFormatting>
  <conditionalFormatting sqref="Q7">
    <cfRule type="expression" dxfId="721" priority="9">
      <formula>Q7&gt;0</formula>
    </cfRule>
    <cfRule type="expression" dxfId="720" priority="10">
      <formula>Q7&lt;0</formula>
    </cfRule>
  </conditionalFormatting>
  <conditionalFormatting sqref="Q8">
    <cfRule type="expression" dxfId="719" priority="7">
      <formula>Q8&gt;0</formula>
    </cfRule>
    <cfRule type="expression" dxfId="718" priority="8">
      <formula>Q8&lt;0</formula>
    </cfRule>
  </conditionalFormatting>
  <conditionalFormatting sqref="F25:F32">
    <cfRule type="expression" dxfId="717" priority="5">
      <formula>F25&gt;0</formula>
    </cfRule>
    <cfRule type="expression" dxfId="716" priority="6">
      <formula>F25&lt;0</formula>
    </cfRule>
  </conditionalFormatting>
  <conditionalFormatting sqref="H25:H32">
    <cfRule type="expression" dxfId="715" priority="3">
      <formula>H25&gt;0</formula>
    </cfRule>
    <cfRule type="expression" dxfId="714" priority="4">
      <formula>H25&lt;0</formula>
    </cfRule>
  </conditionalFormatting>
  <conditionalFormatting sqref="Q10">
    <cfRule type="expression" dxfId="713" priority="1">
      <formula>Q10&gt;0</formula>
    </cfRule>
    <cfRule type="expression" dxfId="712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8.2851562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355</v>
      </c>
      <c r="B2" s="74">
        <v>42639</v>
      </c>
      <c r="C2" s="4">
        <v>80</v>
      </c>
      <c r="D2" s="3">
        <v>26.38</v>
      </c>
      <c r="E2" s="3">
        <v>0</v>
      </c>
      <c r="F2" s="3">
        <f>C2*D2+E2</f>
        <v>2110.4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200</v>
      </c>
      <c r="T2" s="1"/>
      <c r="W2" s="133">
        <v>42676</v>
      </c>
      <c r="X2" s="10">
        <v>26.25</v>
      </c>
      <c r="Y2" s="10">
        <v>26.58</v>
      </c>
      <c r="Z2" s="10">
        <v>26.15</v>
      </c>
      <c r="AA2" s="10">
        <v>26.32</v>
      </c>
      <c r="AB2" s="95">
        <v>1489900</v>
      </c>
      <c r="AC2" s="10">
        <v>26.32</v>
      </c>
      <c r="AD2">
        <f>Y2-Z2</f>
        <v>0.42999999999999972</v>
      </c>
      <c r="AE2" s="138">
        <f>AC2/AC3-1</f>
        <v>9.9769762087491554E-3</v>
      </c>
    </row>
    <row r="3" spans="1:31" x14ac:dyDescent="0.25">
      <c r="A3" s="23" t="s">
        <v>71</v>
      </c>
      <c r="B3" s="74">
        <v>42639</v>
      </c>
      <c r="C3" s="4">
        <v>40</v>
      </c>
      <c r="D3" s="3">
        <v>25.48</v>
      </c>
      <c r="E3" s="3">
        <v>0</v>
      </c>
      <c r="F3" s="3">
        <f>C3*D3+E3</f>
        <v>1019.2</v>
      </c>
      <c r="G3" s="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25.516000000000005</v>
      </c>
      <c r="T3" s="1"/>
      <c r="W3" s="133">
        <v>42675</v>
      </c>
      <c r="X3" s="10">
        <v>26.4</v>
      </c>
      <c r="Y3" s="10">
        <v>26.48</v>
      </c>
      <c r="Z3" s="10">
        <v>25.78</v>
      </c>
      <c r="AA3" s="10">
        <v>26.06</v>
      </c>
      <c r="AB3" s="95">
        <v>1645100</v>
      </c>
      <c r="AC3" s="10">
        <v>26.06</v>
      </c>
      <c r="AD3">
        <f t="shared" ref="AD3:AD66" si="0">Y3-Z3</f>
        <v>0.69999999999999929</v>
      </c>
      <c r="AE3" s="138">
        <f t="shared" ref="AE3:AE66" si="1">AC3/AC4-1</f>
        <v>-1.3999243284146812E-2</v>
      </c>
    </row>
    <row r="4" spans="1:31" x14ac:dyDescent="0.25">
      <c r="B4" s="525">
        <v>42649</v>
      </c>
      <c r="C4" s="4">
        <v>80</v>
      </c>
      <c r="D4" s="3">
        <v>24.67</v>
      </c>
      <c r="E4" s="3">
        <v>0</v>
      </c>
      <c r="F4" s="3">
        <f>C4*D4+E4</f>
        <v>1973.6000000000001</v>
      </c>
      <c r="G4" s="4"/>
      <c r="H4" s="185"/>
      <c r="I4" s="3"/>
      <c r="J4" s="3"/>
      <c r="K4" s="3"/>
      <c r="L4" s="4"/>
      <c r="M4" s="4"/>
      <c r="O4" s="11" t="s">
        <v>66</v>
      </c>
      <c r="Q4" s="55">
        <v>26.32</v>
      </c>
      <c r="R4" s="527">
        <v>0.01</v>
      </c>
      <c r="T4" s="163"/>
      <c r="U4" s="1"/>
      <c r="W4" s="133">
        <v>42674</v>
      </c>
      <c r="X4" s="10">
        <v>25.92</v>
      </c>
      <c r="Y4" s="10">
        <v>26.45</v>
      </c>
      <c r="Z4" s="10">
        <v>25.61</v>
      </c>
      <c r="AA4" s="10">
        <v>26.43</v>
      </c>
      <c r="AB4" s="95">
        <v>885500</v>
      </c>
      <c r="AC4" s="10">
        <v>26.43</v>
      </c>
      <c r="AD4">
        <f t="shared" si="0"/>
        <v>0.83999999999999986</v>
      </c>
      <c r="AE4" s="138">
        <f t="shared" si="1"/>
        <v>2.8004667444573972E-2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5264</v>
      </c>
      <c r="W5" s="133">
        <v>42671</v>
      </c>
      <c r="X5" s="10">
        <v>25.7</v>
      </c>
      <c r="Y5" s="10">
        <v>26.18</v>
      </c>
      <c r="Z5" s="10">
        <v>25.65</v>
      </c>
      <c r="AA5" s="10">
        <v>25.71</v>
      </c>
      <c r="AB5" s="95">
        <v>858100</v>
      </c>
      <c r="AC5" s="10">
        <v>25.71</v>
      </c>
      <c r="AD5">
        <f t="shared" si="0"/>
        <v>0.53000000000000114</v>
      </c>
      <c r="AE5" s="138">
        <f t="shared" si="1"/>
        <v>-7.7730275942478055E-4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5103.2000000000007</v>
      </c>
      <c r="W6" s="133">
        <v>42670</v>
      </c>
      <c r="X6" s="10">
        <v>26.48</v>
      </c>
      <c r="Y6" s="10">
        <v>26.51</v>
      </c>
      <c r="Z6" s="10">
        <v>25.52</v>
      </c>
      <c r="AA6" s="10">
        <v>25.73</v>
      </c>
      <c r="AB6" s="95">
        <v>1320200</v>
      </c>
      <c r="AC6" s="10">
        <v>25.73</v>
      </c>
      <c r="AD6">
        <f t="shared" si="0"/>
        <v>0.99000000000000199</v>
      </c>
      <c r="AE6" s="138">
        <f t="shared" si="1"/>
        <v>-2.0555767034640238E-2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160.79999999999927</v>
      </c>
      <c r="R7">
        <v>120</v>
      </c>
      <c r="W7" s="133">
        <v>42669</v>
      </c>
      <c r="X7" s="10">
        <v>26.56</v>
      </c>
      <c r="Y7" s="10">
        <v>26.78</v>
      </c>
      <c r="Z7" s="10">
        <v>26.19</v>
      </c>
      <c r="AA7" s="10">
        <v>26.27</v>
      </c>
      <c r="AB7" s="95">
        <v>859800</v>
      </c>
      <c r="AC7" s="10">
        <v>26.27</v>
      </c>
      <c r="AD7">
        <f t="shared" si="0"/>
        <v>0.58999999999999986</v>
      </c>
      <c r="AE7" s="138">
        <f t="shared" si="1"/>
        <v>-1.5736230798051754E-2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160.79999999999927</v>
      </c>
      <c r="W8" s="133">
        <v>42668</v>
      </c>
      <c r="X8" s="10">
        <v>27.12</v>
      </c>
      <c r="Y8" s="10">
        <v>27.12</v>
      </c>
      <c r="Z8" s="10">
        <v>26.59</v>
      </c>
      <c r="AA8" s="10">
        <v>26.69</v>
      </c>
      <c r="AB8" s="95">
        <v>978600</v>
      </c>
      <c r="AC8" s="10">
        <v>26.69</v>
      </c>
      <c r="AD8">
        <f t="shared" si="0"/>
        <v>0.53000000000000114</v>
      </c>
      <c r="AE8" s="138">
        <f t="shared" si="1"/>
        <v>-4.104477611940327E-3</v>
      </c>
    </row>
    <row r="9" spans="1:31" x14ac:dyDescent="0.25">
      <c r="H9" s="72"/>
      <c r="O9" s="11" t="s">
        <v>219</v>
      </c>
      <c r="Q9" s="138">
        <f>IF(Q2=0, 0, Q8/Q6)</f>
        <v>3.1509641009562481E-2</v>
      </c>
      <c r="W9" s="133">
        <v>42667</v>
      </c>
      <c r="X9" s="10">
        <v>26.76</v>
      </c>
      <c r="Y9" s="10">
        <v>26.91</v>
      </c>
      <c r="Z9" s="10">
        <v>26.4</v>
      </c>
      <c r="AA9" s="10">
        <v>26.8</v>
      </c>
      <c r="AB9" s="95">
        <v>688500</v>
      </c>
      <c r="AC9" s="10">
        <v>26.8</v>
      </c>
      <c r="AD9">
        <f t="shared" si="0"/>
        <v>0.51000000000000156</v>
      </c>
      <c r="AE9" s="138">
        <f t="shared" si="1"/>
        <v>7.8977059044753606E-3</v>
      </c>
    </row>
    <row r="10" spans="1:31" x14ac:dyDescent="0.25">
      <c r="H10" s="72"/>
      <c r="O10" s="11" t="s">
        <v>218</v>
      </c>
      <c r="P10" s="34"/>
      <c r="Q10" s="2">
        <v>0</v>
      </c>
      <c r="W10" s="133">
        <v>42664</v>
      </c>
      <c r="X10" s="10">
        <v>26.51</v>
      </c>
      <c r="Y10" s="10">
        <v>26.61</v>
      </c>
      <c r="Z10" s="10">
        <v>26.22</v>
      </c>
      <c r="AA10" s="10">
        <v>26.59</v>
      </c>
      <c r="AB10" s="95">
        <v>909800</v>
      </c>
      <c r="AC10" s="10">
        <v>26.59</v>
      </c>
      <c r="AD10">
        <f t="shared" si="0"/>
        <v>0.39000000000000057</v>
      </c>
      <c r="AE10" s="138">
        <f t="shared" si="1"/>
        <v>-1.8768768768768762E-3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0</v>
      </c>
      <c r="W11" s="133">
        <v>42663</v>
      </c>
      <c r="X11" s="10">
        <v>26.6</v>
      </c>
      <c r="Y11" s="10">
        <v>26.78</v>
      </c>
      <c r="Z11" s="10">
        <v>26.41</v>
      </c>
      <c r="AA11" s="10">
        <v>26.64</v>
      </c>
      <c r="AB11" s="95">
        <v>1028800</v>
      </c>
      <c r="AC11" s="10">
        <v>26.64</v>
      </c>
      <c r="AD11">
        <f t="shared" si="0"/>
        <v>0.37000000000000099</v>
      </c>
      <c r="AE11" s="138">
        <f t="shared" si="1"/>
        <v>5.2830188679244827E-3</v>
      </c>
    </row>
    <row r="12" spans="1:31" x14ac:dyDescent="0.25">
      <c r="H12" s="72"/>
      <c r="W12" s="133">
        <v>42662</v>
      </c>
      <c r="X12" s="10">
        <v>26.28</v>
      </c>
      <c r="Y12" s="10">
        <v>26.58</v>
      </c>
      <c r="Z12" s="10">
        <v>26.02</v>
      </c>
      <c r="AA12" s="10">
        <v>26.5</v>
      </c>
      <c r="AB12" s="95">
        <v>872200</v>
      </c>
      <c r="AC12" s="10">
        <v>26.5</v>
      </c>
      <c r="AD12">
        <f t="shared" si="0"/>
        <v>0.55999999999999872</v>
      </c>
      <c r="AE12" s="138">
        <f t="shared" si="1"/>
        <v>9.52380952380949E-3</v>
      </c>
    </row>
    <row r="13" spans="1:31" x14ac:dyDescent="0.25">
      <c r="H13" s="72"/>
      <c r="W13" s="133">
        <v>42661</v>
      </c>
      <c r="X13" s="10">
        <v>26.17</v>
      </c>
      <c r="Y13" s="10">
        <v>26.37</v>
      </c>
      <c r="Z13" s="10">
        <v>25.86</v>
      </c>
      <c r="AA13" s="10">
        <v>26.25</v>
      </c>
      <c r="AB13" s="95">
        <v>1491600</v>
      </c>
      <c r="AC13" s="10">
        <v>26.25</v>
      </c>
      <c r="AD13">
        <f t="shared" si="0"/>
        <v>0.51000000000000156</v>
      </c>
      <c r="AE13" s="138">
        <f t="shared" si="1"/>
        <v>1.0781671159029615E-2</v>
      </c>
    </row>
    <row r="14" spans="1:31" x14ac:dyDescent="0.25">
      <c r="H14" s="72"/>
      <c r="W14" s="133">
        <v>42660</v>
      </c>
      <c r="X14" s="10">
        <v>25.5</v>
      </c>
      <c r="Y14" s="10">
        <v>26.25</v>
      </c>
      <c r="Z14" s="10">
        <v>25.45</v>
      </c>
      <c r="AA14" s="10">
        <v>25.97</v>
      </c>
      <c r="AB14" s="95">
        <v>1610800</v>
      </c>
      <c r="AC14" s="10">
        <v>25.97</v>
      </c>
      <c r="AD14">
        <f t="shared" si="0"/>
        <v>0.80000000000000071</v>
      </c>
      <c r="AE14" s="138">
        <f t="shared" si="1"/>
        <v>2.6076649545634156E-2</v>
      </c>
    </row>
    <row r="15" spans="1:31" x14ac:dyDescent="0.25">
      <c r="H15" s="72"/>
      <c r="W15" s="133">
        <v>42657</v>
      </c>
      <c r="X15" s="10">
        <v>25.48</v>
      </c>
      <c r="Y15" s="10">
        <v>25.84</v>
      </c>
      <c r="Z15" s="10">
        <v>25.3</v>
      </c>
      <c r="AA15" s="10">
        <v>25.31</v>
      </c>
      <c r="AB15" s="95">
        <v>901400</v>
      </c>
      <c r="AC15" s="10">
        <v>25.31</v>
      </c>
      <c r="AD15">
        <f t="shared" si="0"/>
        <v>0.53999999999999915</v>
      </c>
      <c r="AE15" s="138">
        <f t="shared" si="1"/>
        <v>-2.758077226162392E-3</v>
      </c>
    </row>
    <row r="16" spans="1:31" x14ac:dyDescent="0.25">
      <c r="H16" s="72"/>
      <c r="W16" s="133">
        <v>42656</v>
      </c>
      <c r="X16" s="10">
        <v>25.17</v>
      </c>
      <c r="Y16" s="10">
        <v>25.58</v>
      </c>
      <c r="Z16" s="10">
        <v>25.05</v>
      </c>
      <c r="AA16" s="10">
        <v>25.38</v>
      </c>
      <c r="AB16" s="95">
        <v>910800</v>
      </c>
      <c r="AC16" s="10">
        <v>25.38</v>
      </c>
      <c r="AD16">
        <f t="shared" si="0"/>
        <v>0.52999999999999758</v>
      </c>
      <c r="AE16" s="138">
        <f t="shared" si="1"/>
        <v>3.558718861210064E-3</v>
      </c>
    </row>
    <row r="17" spans="1:31" x14ac:dyDescent="0.25">
      <c r="W17" s="133">
        <v>42655</v>
      </c>
      <c r="X17" s="10">
        <v>25</v>
      </c>
      <c r="Y17" s="10">
        <v>25.59</v>
      </c>
      <c r="Z17" s="10">
        <v>24.93</v>
      </c>
      <c r="AA17" s="10">
        <v>25.29</v>
      </c>
      <c r="AB17" s="95">
        <v>789700</v>
      </c>
      <c r="AC17" s="10">
        <v>25.29</v>
      </c>
      <c r="AD17">
        <f t="shared" si="0"/>
        <v>0.66000000000000014</v>
      </c>
      <c r="AE17" s="138">
        <f t="shared" si="1"/>
        <v>1.0387534958050226E-2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5103.2000000000007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42654</v>
      </c>
      <c r="X18" s="10">
        <v>25.51</v>
      </c>
      <c r="Y18" s="10">
        <v>25.54</v>
      </c>
      <c r="Z18" s="10">
        <v>24.98</v>
      </c>
      <c r="AA18" s="10">
        <v>25.03</v>
      </c>
      <c r="AB18" s="95">
        <v>1185700</v>
      </c>
      <c r="AC18" s="10">
        <v>25.03</v>
      </c>
      <c r="AD18">
        <f t="shared" si="0"/>
        <v>0.55999999999999872</v>
      </c>
      <c r="AE18" s="138">
        <f t="shared" si="1"/>
        <v>-2.1883548261039443E-2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42653</v>
      </c>
      <c r="X19" s="10">
        <v>25.41</v>
      </c>
      <c r="Y19" s="10">
        <v>25.75</v>
      </c>
      <c r="Z19" s="10">
        <v>25.27</v>
      </c>
      <c r="AA19" s="10">
        <v>25.59</v>
      </c>
      <c r="AB19" s="95">
        <v>1277800</v>
      </c>
      <c r="AC19" s="10">
        <v>25.59</v>
      </c>
      <c r="AD19">
        <f t="shared" si="0"/>
        <v>0.48000000000000043</v>
      </c>
      <c r="AE19" s="138">
        <f t="shared" si="1"/>
        <v>1.0264508487958901E-2</v>
      </c>
    </row>
    <row r="20" spans="1:31" x14ac:dyDescent="0.25">
      <c r="W20" s="133">
        <v>42650</v>
      </c>
      <c r="X20" s="10">
        <v>25.14</v>
      </c>
      <c r="Y20" s="10">
        <v>25.53</v>
      </c>
      <c r="Z20" s="10">
        <v>24.61</v>
      </c>
      <c r="AA20" s="10">
        <v>25.33</v>
      </c>
      <c r="AB20" s="95">
        <v>1896000</v>
      </c>
      <c r="AC20" s="10">
        <v>25.33</v>
      </c>
      <c r="AD20">
        <f t="shared" si="0"/>
        <v>0.92000000000000171</v>
      </c>
      <c r="AE20" s="138">
        <f t="shared" si="1"/>
        <v>4.7600158667193693E-3</v>
      </c>
    </row>
    <row r="21" spans="1:31" x14ac:dyDescent="0.25">
      <c r="W21" s="133">
        <v>42649</v>
      </c>
      <c r="X21" s="10">
        <v>25.35</v>
      </c>
      <c r="Y21" s="10">
        <v>25.51</v>
      </c>
      <c r="Z21" s="10">
        <v>24.58</v>
      </c>
      <c r="AA21" s="10">
        <v>25.21</v>
      </c>
      <c r="AB21" s="95">
        <v>3814200</v>
      </c>
      <c r="AC21" s="10">
        <v>25.21</v>
      </c>
      <c r="AD21">
        <f t="shared" si="0"/>
        <v>0.93000000000000327</v>
      </c>
      <c r="AE21" s="138">
        <f t="shared" si="1"/>
        <v>-3.6314984709480136E-2</v>
      </c>
    </row>
    <row r="22" spans="1:31" x14ac:dyDescent="0.25">
      <c r="W22" s="133">
        <v>42648</v>
      </c>
      <c r="X22" s="10">
        <v>26.26</v>
      </c>
      <c r="Y22" s="10">
        <v>26.57</v>
      </c>
      <c r="Z22" s="10">
        <v>26.13</v>
      </c>
      <c r="AA22" s="10">
        <v>26.16</v>
      </c>
      <c r="AB22" s="95">
        <v>917600</v>
      </c>
      <c r="AC22" s="10">
        <v>26.16</v>
      </c>
      <c r="AD22">
        <f t="shared" si="0"/>
        <v>0.44000000000000128</v>
      </c>
      <c r="AE22" s="138">
        <f t="shared" si="1"/>
        <v>-3.0487804878047697E-3</v>
      </c>
    </row>
    <row r="23" spans="1:31" x14ac:dyDescent="0.25">
      <c r="W23" s="133">
        <v>42647</v>
      </c>
      <c r="X23" s="10">
        <v>27.25</v>
      </c>
      <c r="Y23" s="10">
        <v>27.25</v>
      </c>
      <c r="Z23" s="10">
        <v>25.87</v>
      </c>
      <c r="AA23" s="10">
        <v>26.24</v>
      </c>
      <c r="AB23" s="95">
        <v>1851900</v>
      </c>
      <c r="AC23" s="10">
        <v>26.24</v>
      </c>
      <c r="AD23">
        <f t="shared" si="0"/>
        <v>1.379999999999999</v>
      </c>
      <c r="AE23" s="138">
        <f t="shared" si="1"/>
        <v>-1.2791572610985735E-2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42646</v>
      </c>
      <c r="X24" s="10">
        <v>26.37</v>
      </c>
      <c r="Y24" s="10">
        <v>26.74</v>
      </c>
      <c r="Z24" s="10">
        <v>26.37</v>
      </c>
      <c r="AA24" s="10">
        <v>26.58</v>
      </c>
      <c r="AB24" s="95">
        <v>1708700</v>
      </c>
      <c r="AC24" s="10">
        <v>26.58</v>
      </c>
      <c r="AD24">
        <f t="shared" si="0"/>
        <v>0.36999999999999744</v>
      </c>
      <c r="AE24" s="138">
        <f t="shared" si="1"/>
        <v>-3.7608123354648804E-4</v>
      </c>
    </row>
    <row r="25" spans="1:31" x14ac:dyDescent="0.25">
      <c r="B25" s="193">
        <v>42639</v>
      </c>
      <c r="C25" s="7">
        <v>80</v>
      </c>
      <c r="D25" s="44">
        <v>26.38</v>
      </c>
      <c r="E25" s="40">
        <v>25.53</v>
      </c>
      <c r="F25" s="40">
        <f t="shared" ref="F25" si="3">C25*(E25-D25)</f>
        <v>-67.999999999999829</v>
      </c>
      <c r="G25" s="40">
        <f t="shared" ref="G25" si="4">D25*C25</f>
        <v>2110.4</v>
      </c>
      <c r="H25" s="231">
        <f t="shared" ref="H25" si="5">(E25-D25)/D25</f>
        <v>-3.2221379833206894E-2</v>
      </c>
      <c r="I25" s="40"/>
      <c r="W25" s="133">
        <v>42643</v>
      </c>
      <c r="X25" s="10">
        <v>25.94</v>
      </c>
      <c r="Y25" s="10">
        <v>26.69</v>
      </c>
      <c r="Z25" s="10">
        <v>25.86</v>
      </c>
      <c r="AA25" s="10">
        <v>26.59</v>
      </c>
      <c r="AB25" s="95">
        <v>1729700</v>
      </c>
      <c r="AC25" s="10">
        <v>26.59</v>
      </c>
      <c r="AD25">
        <f t="shared" si="0"/>
        <v>0.83000000000000185</v>
      </c>
      <c r="AE25" s="138">
        <f t="shared" si="1"/>
        <v>2.9821843532145564E-2</v>
      </c>
    </row>
    <row r="26" spans="1:31" x14ac:dyDescent="0.25">
      <c r="B26" s="193">
        <v>42639</v>
      </c>
      <c r="C26" s="10">
        <v>120</v>
      </c>
      <c r="D26" s="40">
        <v>26.08</v>
      </c>
      <c r="E26" s="40">
        <v>25.53</v>
      </c>
      <c r="F26" s="40">
        <f t="shared" ref="F26" si="6">C26*(E26-D26)</f>
        <v>-65.999999999999659</v>
      </c>
      <c r="G26" s="40">
        <f t="shared" ref="G26" si="7">D26*C26</f>
        <v>3129.6</v>
      </c>
      <c r="H26" s="231">
        <f t="shared" ref="H26" si="8">(E26-D26)/D26</f>
        <v>-2.1088957055214616E-2</v>
      </c>
      <c r="I26" s="40"/>
      <c r="W26" s="133">
        <v>42642</v>
      </c>
      <c r="X26" s="10">
        <v>25.94</v>
      </c>
      <c r="Y26" s="10">
        <v>26.09</v>
      </c>
      <c r="Z26" s="10">
        <v>25.73</v>
      </c>
      <c r="AA26" s="10">
        <v>25.82</v>
      </c>
      <c r="AB26" s="95">
        <v>1386200</v>
      </c>
      <c r="AC26" s="10">
        <v>25.82</v>
      </c>
      <c r="AD26">
        <f t="shared" si="0"/>
        <v>0.35999999999999943</v>
      </c>
      <c r="AE26" s="138">
        <f t="shared" si="1"/>
        <v>-6.9230769230769207E-3</v>
      </c>
    </row>
    <row r="27" spans="1:31" x14ac:dyDescent="0.25">
      <c r="B27" s="193">
        <v>42641</v>
      </c>
      <c r="C27" s="10">
        <v>120</v>
      </c>
      <c r="D27" s="40">
        <v>26.08</v>
      </c>
      <c r="E27" s="40">
        <v>26</v>
      </c>
      <c r="F27" s="40">
        <f t="shared" ref="F27" si="9">C27*(E27-D27)</f>
        <v>-9.5999999999997954</v>
      </c>
      <c r="G27" s="40">
        <f t="shared" ref="G27" si="10">D27*C27</f>
        <v>3129.6</v>
      </c>
      <c r="H27" s="231">
        <f t="shared" ref="H27" si="11">(E27-D27)/D27</f>
        <v>-3.0674846625766221E-3</v>
      </c>
      <c r="I27" s="40"/>
      <c r="W27" s="133">
        <v>42641</v>
      </c>
      <c r="X27" s="10">
        <v>25.8</v>
      </c>
      <c r="Y27" s="10">
        <v>26</v>
      </c>
      <c r="Z27" s="10">
        <v>25.69</v>
      </c>
      <c r="AA27" s="10">
        <v>26</v>
      </c>
      <c r="AB27" s="95">
        <v>1511400</v>
      </c>
      <c r="AC27" s="10">
        <v>26</v>
      </c>
      <c r="AD27">
        <f t="shared" si="0"/>
        <v>0.30999999999999872</v>
      </c>
      <c r="AE27" s="138">
        <f t="shared" si="1"/>
        <v>5.4137664346480818E-3</v>
      </c>
    </row>
    <row r="28" spans="1:31" x14ac:dyDescent="0.25">
      <c r="B28" s="193">
        <v>42643</v>
      </c>
      <c r="C28" s="10">
        <v>120</v>
      </c>
      <c r="D28" s="40">
        <v>26.08</v>
      </c>
      <c r="E28" s="40">
        <v>26.59</v>
      </c>
      <c r="F28" s="40">
        <f t="shared" ref="F28:F29" si="12">C28*(E28-D28)</f>
        <v>61.200000000000188</v>
      </c>
      <c r="G28" s="40">
        <f t="shared" ref="G28:G29" si="13">D28*C28</f>
        <v>3129.6</v>
      </c>
      <c r="H28" s="231">
        <f t="shared" ref="H28:H29" si="14">(E28-D28)/D28</f>
        <v>1.9555214723926441E-2</v>
      </c>
      <c r="I28" s="40"/>
      <c r="W28" s="133">
        <v>42640</v>
      </c>
      <c r="X28" s="10">
        <v>25.64</v>
      </c>
      <c r="Y28" s="10">
        <v>26.14</v>
      </c>
      <c r="Z28" s="10">
        <v>25.36</v>
      </c>
      <c r="AA28" s="10">
        <v>25.86</v>
      </c>
      <c r="AB28" s="95">
        <v>2595300</v>
      </c>
      <c r="AC28" s="10">
        <v>25.86</v>
      </c>
      <c r="AD28">
        <f t="shared" si="0"/>
        <v>0.78000000000000114</v>
      </c>
      <c r="AE28" s="138">
        <f t="shared" si="1"/>
        <v>1.2925969447708408E-2</v>
      </c>
    </row>
    <row r="29" spans="1:31" x14ac:dyDescent="0.25">
      <c r="B29" s="193">
        <v>42649</v>
      </c>
      <c r="C29" s="10">
        <v>200</v>
      </c>
      <c r="D29" s="40">
        <v>25.515999999999998</v>
      </c>
      <c r="E29" s="40">
        <v>25.21</v>
      </c>
      <c r="F29" s="40">
        <f t="shared" si="12"/>
        <v>-61.199999999999477</v>
      </c>
      <c r="G29" s="40">
        <f t="shared" si="13"/>
        <v>5103.2</v>
      </c>
      <c r="H29" s="231">
        <f t="shared" si="14"/>
        <v>-1.1992475309609556E-2</v>
      </c>
      <c r="I29" s="40"/>
      <c r="W29" s="133">
        <v>42639</v>
      </c>
      <c r="X29" s="10">
        <v>26.5</v>
      </c>
      <c r="Y29" s="10">
        <v>26.6</v>
      </c>
      <c r="Z29" s="10">
        <v>25.38</v>
      </c>
      <c r="AA29" s="10">
        <v>25.53</v>
      </c>
      <c r="AB29" s="95">
        <v>5491900</v>
      </c>
      <c r="AC29" s="10">
        <v>25.53</v>
      </c>
      <c r="AD29">
        <f t="shared" si="0"/>
        <v>1.2200000000000024</v>
      </c>
      <c r="AE29" s="138">
        <f t="shared" si="1"/>
        <v>-7.3657474600870798E-2</v>
      </c>
    </row>
    <row r="30" spans="1:31" x14ac:dyDescent="0.25">
      <c r="B30" s="193">
        <v>42650</v>
      </c>
      <c r="C30" s="10">
        <v>200</v>
      </c>
      <c r="D30" s="40">
        <v>25.515999999999998</v>
      </c>
      <c r="E30" s="40">
        <v>25.33</v>
      </c>
      <c r="F30" s="40">
        <f t="shared" ref="F30" si="15">C30*(E30-D30)</f>
        <v>-37.199999999999989</v>
      </c>
      <c r="G30" s="40">
        <f t="shared" ref="G30" si="16">D30*C30</f>
        <v>5103.2</v>
      </c>
      <c r="H30" s="231">
        <f t="shared" ref="H30" si="17">(E30-D30)/D30</f>
        <v>-7.2895438156450835E-3</v>
      </c>
      <c r="I30" s="40"/>
      <c r="W30" s="133">
        <v>42636</v>
      </c>
      <c r="X30" s="10">
        <v>27.56</v>
      </c>
      <c r="Y30" s="10">
        <v>27.84</v>
      </c>
      <c r="Z30" s="10">
        <v>27.5</v>
      </c>
      <c r="AA30" s="10">
        <v>27.56</v>
      </c>
      <c r="AB30" s="95">
        <v>901900</v>
      </c>
      <c r="AC30" s="10">
        <v>27.56</v>
      </c>
      <c r="AD30">
        <f t="shared" si="0"/>
        <v>0.33999999999999986</v>
      </c>
      <c r="AE30" s="138">
        <f t="shared" si="1"/>
        <v>-1.810938065918144E-3</v>
      </c>
    </row>
    <row r="31" spans="1:31" x14ac:dyDescent="0.25">
      <c r="B31" s="193">
        <v>42661</v>
      </c>
      <c r="C31" s="10">
        <v>200</v>
      </c>
      <c r="D31" s="40">
        <v>25.515999999999998</v>
      </c>
      <c r="E31" s="40">
        <v>26.25</v>
      </c>
      <c r="F31" s="40">
        <f t="shared" ref="F31" si="18">C31*(E31-D31)</f>
        <v>146.80000000000035</v>
      </c>
      <c r="G31" s="40">
        <f t="shared" ref="G31" si="19">D31*C31</f>
        <v>5103.2</v>
      </c>
      <c r="H31" s="231">
        <f t="shared" ref="H31" si="20">(E31-D31)/D31</f>
        <v>2.876626430475003E-2</v>
      </c>
      <c r="I31" s="40"/>
      <c r="W31" s="133">
        <v>42635</v>
      </c>
      <c r="X31" s="10">
        <v>27.85</v>
      </c>
      <c r="Y31" s="10">
        <v>27.97</v>
      </c>
      <c r="Z31" s="10">
        <v>27.34</v>
      </c>
      <c r="AA31" s="10">
        <v>27.61</v>
      </c>
      <c r="AB31" s="95">
        <v>1575100</v>
      </c>
      <c r="AC31" s="10">
        <v>27.61</v>
      </c>
      <c r="AD31">
        <f t="shared" si="0"/>
        <v>0.62999999999999901</v>
      </c>
      <c r="AE31" s="138">
        <f t="shared" si="1"/>
        <v>-6.8345323741008102E-3</v>
      </c>
    </row>
    <row r="32" spans="1:31" x14ac:dyDescent="0.25">
      <c r="B32" s="193">
        <v>42674</v>
      </c>
      <c r="C32" s="10">
        <v>200</v>
      </c>
      <c r="D32" s="40">
        <v>25.515999999999998</v>
      </c>
      <c r="E32" s="40">
        <v>26.42</v>
      </c>
      <c r="F32" s="40">
        <f t="shared" ref="F32" si="21">C32*(E32-D32)</f>
        <v>180.80000000000069</v>
      </c>
      <c r="G32" s="40">
        <f t="shared" ref="G32" si="22">D32*C32</f>
        <v>5103.2</v>
      </c>
      <c r="H32" s="231">
        <f t="shared" ref="H32" si="23">(E32-D32)/D32</f>
        <v>3.5428750587866577E-2</v>
      </c>
      <c r="I32" s="40"/>
      <c r="W32" s="133">
        <v>42634</v>
      </c>
      <c r="X32" s="10">
        <v>27.33</v>
      </c>
      <c r="Y32" s="10">
        <v>27.82</v>
      </c>
      <c r="Z32" s="10">
        <v>27.32</v>
      </c>
      <c r="AA32" s="10">
        <v>27.8</v>
      </c>
      <c r="AB32" s="95">
        <v>1475400</v>
      </c>
      <c r="AC32" s="10">
        <v>27.8</v>
      </c>
      <c r="AD32">
        <f t="shared" si="0"/>
        <v>0.5</v>
      </c>
      <c r="AE32" s="138">
        <f t="shared" si="1"/>
        <v>1.7942145734163306E-2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42633</v>
      </c>
      <c r="X33" s="10">
        <v>27.97</v>
      </c>
      <c r="Y33" s="10">
        <v>27.99</v>
      </c>
      <c r="Z33" s="10">
        <v>27.29</v>
      </c>
      <c r="AA33" s="10">
        <v>27.31</v>
      </c>
      <c r="AB33" s="95">
        <v>1560200</v>
      </c>
      <c r="AC33" s="10">
        <v>27.31</v>
      </c>
      <c r="AD33">
        <f t="shared" si="0"/>
        <v>0.69999999999999929</v>
      </c>
      <c r="AE33" s="138">
        <f t="shared" si="1"/>
        <v>-2.3596710761530248E-2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42632</v>
      </c>
      <c r="X34" s="10">
        <v>27.66</v>
      </c>
      <c r="Y34" s="10">
        <v>28.19</v>
      </c>
      <c r="Z34" s="10">
        <v>27.61</v>
      </c>
      <c r="AA34" s="10">
        <v>27.97</v>
      </c>
      <c r="AB34" s="95">
        <v>2114000</v>
      </c>
      <c r="AC34" s="10">
        <v>27.97</v>
      </c>
      <c r="AD34">
        <f t="shared" si="0"/>
        <v>0.58000000000000185</v>
      </c>
      <c r="AE34" s="138">
        <f t="shared" si="1"/>
        <v>2.3417489937797242E-2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42629</v>
      </c>
      <c r="X35" s="10">
        <v>27.32</v>
      </c>
      <c r="Y35" s="10">
        <v>27.34</v>
      </c>
      <c r="Z35" s="10">
        <v>26.9</v>
      </c>
      <c r="AA35" s="10">
        <v>27.33</v>
      </c>
      <c r="AB35" s="95">
        <v>1647700</v>
      </c>
      <c r="AC35" s="10">
        <v>27.33</v>
      </c>
      <c r="AD35">
        <f t="shared" si="0"/>
        <v>0.44000000000000128</v>
      </c>
      <c r="AE35" s="138">
        <f t="shared" si="1"/>
        <v>3.6603221083453263E-4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42628</v>
      </c>
      <c r="X36" s="10">
        <v>26.64</v>
      </c>
      <c r="Y36" s="10">
        <v>27.32</v>
      </c>
      <c r="Z36" s="10">
        <v>26.53</v>
      </c>
      <c r="AA36" s="10">
        <v>27.32</v>
      </c>
      <c r="AB36" s="95">
        <v>1412100</v>
      </c>
      <c r="AC36" s="10">
        <v>27.32</v>
      </c>
      <c r="AD36">
        <f t="shared" si="0"/>
        <v>0.78999999999999915</v>
      </c>
      <c r="AE36" s="138">
        <f t="shared" si="1"/>
        <v>2.6681698609545279E-2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42627</v>
      </c>
      <c r="X37" s="10">
        <v>26.62</v>
      </c>
      <c r="Y37" s="10">
        <v>27.08</v>
      </c>
      <c r="Z37" s="10">
        <v>26.47</v>
      </c>
      <c r="AA37" s="10">
        <v>26.61</v>
      </c>
      <c r="AB37" s="95">
        <v>2384300</v>
      </c>
      <c r="AC37" s="10">
        <v>26.61</v>
      </c>
      <c r="AD37">
        <f t="shared" si="0"/>
        <v>0.60999999999999943</v>
      </c>
      <c r="AE37" s="138">
        <f t="shared" si="1"/>
        <v>-3.7439161362785578E-3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42626</v>
      </c>
      <c r="X38" s="10">
        <v>26.79</v>
      </c>
      <c r="Y38" s="10">
        <v>26.98</v>
      </c>
      <c r="Z38" s="10">
        <v>26.55</v>
      </c>
      <c r="AA38" s="10">
        <v>26.71</v>
      </c>
      <c r="AB38" s="95">
        <v>1758900</v>
      </c>
      <c r="AC38" s="10">
        <v>26.71</v>
      </c>
      <c r="AD38">
        <f t="shared" si="0"/>
        <v>0.42999999999999972</v>
      </c>
      <c r="AE38" s="138">
        <f t="shared" si="1"/>
        <v>-7.8008915304607074E-3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42625</v>
      </c>
      <c r="X39" s="10">
        <v>27.25</v>
      </c>
      <c r="Y39" s="10">
        <v>27.39</v>
      </c>
      <c r="Z39" s="10">
        <v>26.55</v>
      </c>
      <c r="AA39" s="10">
        <v>26.92</v>
      </c>
      <c r="AB39" s="95">
        <v>3101000</v>
      </c>
      <c r="AC39" s="10">
        <v>26.92</v>
      </c>
      <c r="AD39">
        <f t="shared" si="0"/>
        <v>0.83999999999999986</v>
      </c>
      <c r="AE39" s="138">
        <f t="shared" si="1"/>
        <v>-2.2512708787218449E-2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8" t="s">
        <v>78</v>
      </c>
      <c r="P40" s="588"/>
      <c r="W40" s="133">
        <v>42622</v>
      </c>
      <c r="X40" s="10">
        <v>27.62</v>
      </c>
      <c r="Y40" s="10">
        <v>28.15</v>
      </c>
      <c r="Z40" s="10">
        <v>27.54</v>
      </c>
      <c r="AA40" s="10">
        <v>27.54</v>
      </c>
      <c r="AB40" s="95">
        <v>2302400</v>
      </c>
      <c r="AC40" s="10">
        <v>27.54</v>
      </c>
      <c r="AD40">
        <f t="shared" si="0"/>
        <v>0.60999999999999943</v>
      </c>
      <c r="AE40" s="138">
        <f t="shared" si="1"/>
        <v>-1.254930082466843E-2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28.952000000000002</v>
      </c>
      <c r="Q41" s="2"/>
      <c r="W41" s="133">
        <v>42621</v>
      </c>
      <c r="X41" s="10">
        <v>27.91</v>
      </c>
      <c r="Y41" s="10">
        <v>28</v>
      </c>
      <c r="Z41" s="10">
        <v>27.76</v>
      </c>
      <c r="AA41" s="10">
        <v>27.89</v>
      </c>
      <c r="AB41" s="95">
        <v>1805100</v>
      </c>
      <c r="AC41" s="10">
        <v>27.89</v>
      </c>
      <c r="AD41">
        <f t="shared" si="0"/>
        <v>0.23999999999999844</v>
      </c>
      <c r="AE41" s="138">
        <f t="shared" si="1"/>
        <v>-4.9946485907955696E-3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4">O42*$Q$4</f>
        <v>28.688800000000004</v>
      </c>
      <c r="Q42" s="2"/>
      <c r="T42" s="91" t="s">
        <v>113</v>
      </c>
      <c r="W42" s="133">
        <v>42620</v>
      </c>
      <c r="X42" s="10">
        <v>27.84</v>
      </c>
      <c r="Y42" s="10">
        <v>28.04</v>
      </c>
      <c r="Z42" s="10">
        <v>27.61</v>
      </c>
      <c r="AA42" s="10">
        <v>28.03</v>
      </c>
      <c r="AB42" s="95">
        <v>2292500</v>
      </c>
      <c r="AC42" s="10">
        <v>28.03</v>
      </c>
      <c r="AD42">
        <f t="shared" si="0"/>
        <v>0.42999999999999972</v>
      </c>
      <c r="AE42" s="138">
        <f t="shared" si="1"/>
        <v>2.5035765379113339E-3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4"/>
        <v>28.425600000000003</v>
      </c>
      <c r="Q43" s="2"/>
      <c r="T43" s="128" t="s">
        <v>98</v>
      </c>
      <c r="U43" s="129">
        <v>26.06</v>
      </c>
      <c r="W43" s="133">
        <v>42619</v>
      </c>
      <c r="X43" s="10">
        <v>27.99</v>
      </c>
      <c r="Y43" s="10">
        <v>28.09</v>
      </c>
      <c r="Z43" s="10">
        <v>27.29</v>
      </c>
      <c r="AA43" s="10">
        <v>27.96</v>
      </c>
      <c r="AB43" s="95">
        <v>3849500</v>
      </c>
      <c r="AC43" s="10">
        <v>27.96</v>
      </c>
      <c r="AD43">
        <f t="shared" si="0"/>
        <v>0.80000000000000071</v>
      </c>
      <c r="AE43" s="138">
        <f t="shared" si="1"/>
        <v>9.750812567713929E-3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4"/>
        <v>28.162400000000002</v>
      </c>
      <c r="Q44" s="2"/>
      <c r="T44" s="93" t="s">
        <v>99</v>
      </c>
      <c r="U44" s="130">
        <v>26.25</v>
      </c>
      <c r="W44" s="133">
        <v>42615</v>
      </c>
      <c r="X44" s="10">
        <v>29.1</v>
      </c>
      <c r="Y44" s="10">
        <v>29.25</v>
      </c>
      <c r="Z44" s="10">
        <v>27.08</v>
      </c>
      <c r="AA44" s="10">
        <v>27.69</v>
      </c>
      <c r="AB44" s="95">
        <v>10286600</v>
      </c>
      <c r="AC44" s="10">
        <v>27.69</v>
      </c>
      <c r="AD44">
        <f t="shared" si="0"/>
        <v>2.1700000000000017</v>
      </c>
      <c r="AE44" s="138">
        <f t="shared" si="1"/>
        <v>-6.3894523326571862E-2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4"/>
        <v>27.8992</v>
      </c>
      <c r="Q45" s="2"/>
      <c r="T45" s="93" t="s">
        <v>100</v>
      </c>
      <c r="U45" s="130" t="s">
        <v>602</v>
      </c>
      <c r="W45" s="133">
        <v>42614</v>
      </c>
      <c r="X45" s="10">
        <v>28.7</v>
      </c>
      <c r="Y45" s="10">
        <v>29.59</v>
      </c>
      <c r="Z45" s="10">
        <v>28.4</v>
      </c>
      <c r="AA45" s="10">
        <v>29.58</v>
      </c>
      <c r="AB45" s="95">
        <v>4362600</v>
      </c>
      <c r="AC45" s="10">
        <v>29.58</v>
      </c>
      <c r="AD45">
        <f t="shared" si="0"/>
        <v>1.1900000000000013</v>
      </c>
      <c r="AE45" s="138">
        <f t="shared" si="1"/>
        <v>5.0799289520426338E-2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4"/>
        <v>27.636000000000003</v>
      </c>
      <c r="Q46" s="2"/>
      <c r="T46" s="93" t="s">
        <v>101</v>
      </c>
      <c r="U46" s="130" t="s">
        <v>603</v>
      </c>
      <c r="W46" s="133">
        <v>42613</v>
      </c>
      <c r="X46" s="10">
        <v>29.5</v>
      </c>
      <c r="Y46" s="10">
        <v>29.62</v>
      </c>
      <c r="Z46" s="10">
        <v>27.69</v>
      </c>
      <c r="AA46" s="10">
        <v>28.15</v>
      </c>
      <c r="AB46" s="95">
        <v>3892500</v>
      </c>
      <c r="AC46" s="10">
        <v>28.15</v>
      </c>
      <c r="AD46">
        <f t="shared" si="0"/>
        <v>1.9299999999999997</v>
      </c>
      <c r="AE46" s="138">
        <f t="shared" si="1"/>
        <v>-4.8343475321162899E-2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24"/>
        <v>27.372800000000002</v>
      </c>
      <c r="Q47" s="2"/>
      <c r="T47" s="93" t="s">
        <v>102</v>
      </c>
      <c r="U47" s="130">
        <v>31.63</v>
      </c>
      <c r="W47" s="133">
        <v>42612</v>
      </c>
      <c r="X47" s="10">
        <v>29.83</v>
      </c>
      <c r="Y47" s="10">
        <v>30.04</v>
      </c>
      <c r="Z47" s="10">
        <v>29.3</v>
      </c>
      <c r="AA47" s="10">
        <v>29.58</v>
      </c>
      <c r="AB47" s="95">
        <v>1817000</v>
      </c>
      <c r="AC47" s="10">
        <v>29.58</v>
      </c>
      <c r="AD47">
        <f t="shared" si="0"/>
        <v>0.73999999999999844</v>
      </c>
      <c r="AE47" s="138">
        <f t="shared" si="1"/>
        <v>5.0968399592252744E-3</v>
      </c>
    </row>
    <row r="48" spans="2:31" x14ac:dyDescent="0.25">
      <c r="O48" s="83">
        <v>1.03</v>
      </c>
      <c r="P48" s="83">
        <f t="shared" si="24"/>
        <v>27.1096</v>
      </c>
      <c r="Q48" s="2"/>
      <c r="T48" s="93" t="s">
        <v>103</v>
      </c>
      <c r="U48" s="130">
        <v>-0.13314400000000001</v>
      </c>
      <c r="W48" s="133">
        <v>42611</v>
      </c>
      <c r="X48" s="10">
        <v>28.91</v>
      </c>
      <c r="Y48" s="10">
        <v>29.82</v>
      </c>
      <c r="Z48" s="10">
        <v>28.87</v>
      </c>
      <c r="AA48" s="10">
        <v>29.43</v>
      </c>
      <c r="AB48" s="95">
        <v>1900300</v>
      </c>
      <c r="AC48" s="10">
        <v>29.43</v>
      </c>
      <c r="AD48">
        <f t="shared" si="0"/>
        <v>0.94999999999999929</v>
      </c>
      <c r="AE48" s="138">
        <f t="shared" si="1"/>
        <v>2.0457697642163764E-2</v>
      </c>
    </row>
    <row r="49" spans="15:31" x14ac:dyDescent="0.25">
      <c r="O49" s="83">
        <v>1.02</v>
      </c>
      <c r="P49" s="83">
        <f t="shared" si="24"/>
        <v>26.846399999999999</v>
      </c>
      <c r="Q49" s="2"/>
      <c r="T49" s="93" t="s">
        <v>122</v>
      </c>
      <c r="U49" s="130" t="s">
        <v>358</v>
      </c>
      <c r="W49" s="133">
        <v>42608</v>
      </c>
      <c r="X49" s="10">
        <v>30</v>
      </c>
      <c r="Y49" s="10">
        <v>30.08</v>
      </c>
      <c r="Z49" s="10">
        <v>28.57</v>
      </c>
      <c r="AA49" s="10">
        <v>28.84</v>
      </c>
      <c r="AB49" s="95">
        <v>2739600</v>
      </c>
      <c r="AC49" s="10">
        <v>28.84</v>
      </c>
      <c r="AD49">
        <f t="shared" si="0"/>
        <v>1.509999999999998</v>
      </c>
      <c r="AE49" s="138">
        <f t="shared" si="1"/>
        <v>-3.3188065705665348E-2</v>
      </c>
    </row>
    <row r="50" spans="15:31" x14ac:dyDescent="0.25">
      <c r="O50" s="83">
        <v>1.01</v>
      </c>
      <c r="P50" s="83">
        <f t="shared" si="24"/>
        <v>26.583200000000001</v>
      </c>
      <c r="Q50" s="2"/>
      <c r="T50" s="93"/>
      <c r="U50" s="130"/>
      <c r="W50" s="133">
        <v>42607</v>
      </c>
      <c r="X50" s="10">
        <v>29.5</v>
      </c>
      <c r="Y50" s="10">
        <v>29.97</v>
      </c>
      <c r="Z50" s="10">
        <v>29.4</v>
      </c>
      <c r="AA50" s="10">
        <v>29.83</v>
      </c>
      <c r="AB50" s="95">
        <v>1752000</v>
      </c>
      <c r="AC50" s="10">
        <v>29.83</v>
      </c>
      <c r="AD50">
        <f t="shared" si="0"/>
        <v>0.57000000000000028</v>
      </c>
      <c r="AE50" s="138">
        <f t="shared" si="1"/>
        <v>1.9829059829059803E-2</v>
      </c>
    </row>
    <row r="51" spans="15:31" x14ac:dyDescent="0.25">
      <c r="O51" s="83">
        <v>1</v>
      </c>
      <c r="P51" s="83">
        <f t="shared" si="24"/>
        <v>26.32</v>
      </c>
      <c r="Q51" s="2"/>
      <c r="T51" s="93" t="s">
        <v>105</v>
      </c>
      <c r="U51" s="130" t="s">
        <v>604</v>
      </c>
      <c r="W51" s="133">
        <v>42606</v>
      </c>
      <c r="X51" s="10">
        <v>28.7</v>
      </c>
      <c r="Y51" s="10">
        <v>29.43</v>
      </c>
      <c r="Z51" s="10">
        <v>28.51</v>
      </c>
      <c r="AA51" s="10">
        <v>29.25</v>
      </c>
      <c r="AB51" s="95">
        <v>1259700</v>
      </c>
      <c r="AC51" s="10">
        <v>29.25</v>
      </c>
      <c r="AD51">
        <f t="shared" si="0"/>
        <v>0.91999999999999815</v>
      </c>
      <c r="AE51" s="138">
        <f t="shared" si="1"/>
        <v>1.4920194309507195E-2</v>
      </c>
    </row>
    <row r="52" spans="15:31" x14ac:dyDescent="0.25">
      <c r="O52" s="83">
        <v>0.99</v>
      </c>
      <c r="P52" s="83">
        <f t="shared" si="24"/>
        <v>26.056799999999999</v>
      </c>
      <c r="Q52" s="2"/>
      <c r="T52" s="93" t="s">
        <v>106</v>
      </c>
      <c r="U52" s="130" t="s">
        <v>364</v>
      </c>
      <c r="W52" s="133">
        <v>42605</v>
      </c>
      <c r="X52" s="10">
        <v>28.62</v>
      </c>
      <c r="Y52" s="10">
        <v>29.09</v>
      </c>
      <c r="Z52" s="10">
        <v>28.56</v>
      </c>
      <c r="AA52" s="10">
        <v>28.82</v>
      </c>
      <c r="AB52" s="95">
        <v>1142000</v>
      </c>
      <c r="AC52" s="10">
        <v>28.82</v>
      </c>
      <c r="AD52">
        <f t="shared" si="0"/>
        <v>0.53000000000000114</v>
      </c>
      <c r="AE52" s="138">
        <f t="shared" si="1"/>
        <v>7.692307692307665E-3</v>
      </c>
    </row>
    <row r="53" spans="15:31" x14ac:dyDescent="0.25">
      <c r="O53" s="83">
        <v>0.98</v>
      </c>
      <c r="P53" s="83">
        <f t="shared" si="24"/>
        <v>25.793600000000001</v>
      </c>
      <c r="Q53" s="2"/>
      <c r="T53" s="93" t="s">
        <v>107</v>
      </c>
      <c r="U53" s="131">
        <v>1496708</v>
      </c>
      <c r="W53" s="133">
        <v>42604</v>
      </c>
      <c r="X53" s="10">
        <v>28.5</v>
      </c>
      <c r="Y53" s="10">
        <v>28.69</v>
      </c>
      <c r="Z53" s="10">
        <v>28.2</v>
      </c>
      <c r="AA53" s="10">
        <v>28.6</v>
      </c>
      <c r="AB53" s="95">
        <v>820000</v>
      </c>
      <c r="AC53" s="10">
        <v>28.6</v>
      </c>
      <c r="AD53">
        <f t="shared" si="0"/>
        <v>0.49000000000000199</v>
      </c>
      <c r="AE53" s="138">
        <f t="shared" si="1"/>
        <v>2.4535576586048879E-3</v>
      </c>
    </row>
    <row r="54" spans="15:31" x14ac:dyDescent="0.25">
      <c r="O54" s="83">
        <v>0.97</v>
      </c>
      <c r="P54" s="83">
        <f t="shared" si="24"/>
        <v>25.5304</v>
      </c>
      <c r="T54" s="93" t="s">
        <v>110</v>
      </c>
      <c r="U54" s="131">
        <v>1779920</v>
      </c>
      <c r="W54" s="133">
        <v>42601</v>
      </c>
      <c r="X54" s="10">
        <v>28.81</v>
      </c>
      <c r="Y54" s="10">
        <v>28.84</v>
      </c>
      <c r="Z54" s="10">
        <v>28.47</v>
      </c>
      <c r="AA54" s="10">
        <v>28.53</v>
      </c>
      <c r="AB54" s="95">
        <v>675900</v>
      </c>
      <c r="AC54" s="10">
        <v>28.53</v>
      </c>
      <c r="AD54">
        <f t="shared" si="0"/>
        <v>0.37000000000000099</v>
      </c>
      <c r="AE54" s="138">
        <f t="shared" si="1"/>
        <v>-9.7188476223533105E-3</v>
      </c>
    </row>
    <row r="55" spans="15:31" x14ac:dyDescent="0.25">
      <c r="O55" s="83">
        <v>0.96</v>
      </c>
      <c r="P55" s="83">
        <f t="shared" si="24"/>
        <v>25.267199999999999</v>
      </c>
      <c r="T55" s="93" t="s">
        <v>108</v>
      </c>
      <c r="U55" s="130" t="s">
        <v>605</v>
      </c>
      <c r="W55" s="133">
        <v>42600</v>
      </c>
      <c r="X55" s="10">
        <v>28.46</v>
      </c>
      <c r="Y55" s="10">
        <v>28.88</v>
      </c>
      <c r="Z55" s="10">
        <v>28.41</v>
      </c>
      <c r="AA55" s="10">
        <v>28.81</v>
      </c>
      <c r="AB55" s="95">
        <v>766600</v>
      </c>
      <c r="AC55" s="10">
        <v>28.81</v>
      </c>
      <c r="AD55">
        <f t="shared" si="0"/>
        <v>0.46999999999999886</v>
      </c>
      <c r="AE55" s="138">
        <f t="shared" si="1"/>
        <v>9.8142306344197738E-3</v>
      </c>
    </row>
    <row r="56" spans="15:31" x14ac:dyDescent="0.25">
      <c r="O56" s="83">
        <v>0.95</v>
      </c>
      <c r="P56" s="83">
        <f t="shared" si="24"/>
        <v>25.003999999999998</v>
      </c>
      <c r="T56" s="93" t="s">
        <v>111</v>
      </c>
      <c r="U56" s="130">
        <v>13.23</v>
      </c>
      <c r="W56" s="133">
        <v>42599</v>
      </c>
      <c r="X56" s="10">
        <v>28.69</v>
      </c>
      <c r="Y56" s="10">
        <v>28.86</v>
      </c>
      <c r="Z56" s="10">
        <v>28.16</v>
      </c>
      <c r="AA56" s="10">
        <v>28.53</v>
      </c>
      <c r="AB56" s="95">
        <v>1239800</v>
      </c>
      <c r="AC56" s="10">
        <v>28.53</v>
      </c>
      <c r="AD56">
        <f t="shared" si="0"/>
        <v>0.69999999999999929</v>
      </c>
      <c r="AE56" s="138">
        <f t="shared" si="1"/>
        <v>-1.0405827263267331E-2</v>
      </c>
    </row>
    <row r="57" spans="15:31" x14ac:dyDescent="0.25">
      <c r="O57" s="83">
        <v>0.94</v>
      </c>
      <c r="P57" s="83">
        <f t="shared" si="24"/>
        <v>24.7408</v>
      </c>
      <c r="T57" s="93" t="s">
        <v>112</v>
      </c>
      <c r="U57" s="130">
        <v>1.99</v>
      </c>
      <c r="W57" s="133">
        <v>42598</v>
      </c>
      <c r="X57" s="10">
        <v>29.3</v>
      </c>
      <c r="Y57" s="10">
        <v>29.42</v>
      </c>
      <c r="Z57" s="10">
        <v>28.6</v>
      </c>
      <c r="AA57" s="10">
        <v>28.83</v>
      </c>
      <c r="AB57" s="95">
        <v>1396500</v>
      </c>
      <c r="AC57" s="10">
        <v>28.83</v>
      </c>
      <c r="AD57">
        <f t="shared" si="0"/>
        <v>0.82000000000000028</v>
      </c>
      <c r="AE57" s="138">
        <f t="shared" si="1"/>
        <v>-2.0387359836901209E-2</v>
      </c>
    </row>
    <row r="58" spans="15:31" x14ac:dyDescent="0.25">
      <c r="O58" s="83">
        <v>0.93</v>
      </c>
      <c r="P58" s="83">
        <f t="shared" si="24"/>
        <v>24.477600000000002</v>
      </c>
      <c r="T58" s="93" t="s">
        <v>109</v>
      </c>
      <c r="U58" s="130" t="s">
        <v>123</v>
      </c>
      <c r="W58" s="133">
        <v>42597</v>
      </c>
      <c r="X58" s="10">
        <v>29.78</v>
      </c>
      <c r="Y58" s="10">
        <v>30.04</v>
      </c>
      <c r="Z58" s="10">
        <v>29.34</v>
      </c>
      <c r="AA58" s="10">
        <v>29.43</v>
      </c>
      <c r="AB58" s="95">
        <v>1313800</v>
      </c>
      <c r="AC58" s="10">
        <v>29.43</v>
      </c>
      <c r="AD58">
        <f t="shared" si="0"/>
        <v>0.69999999999999929</v>
      </c>
      <c r="AE58" s="138">
        <f t="shared" si="1"/>
        <v>-8.4231805929919634E-3</v>
      </c>
    </row>
    <row r="59" spans="15:31" x14ac:dyDescent="0.25">
      <c r="O59" s="83">
        <v>0.92</v>
      </c>
      <c r="P59" s="83">
        <f t="shared" si="24"/>
        <v>24.214400000000001</v>
      </c>
      <c r="W59" s="133">
        <v>42594</v>
      </c>
      <c r="X59" s="10">
        <v>29.8</v>
      </c>
      <c r="Y59" s="10">
        <v>30.16</v>
      </c>
      <c r="Z59" s="10">
        <v>29.58</v>
      </c>
      <c r="AA59" s="10">
        <v>29.68</v>
      </c>
      <c r="AB59" s="95">
        <v>1136700</v>
      </c>
      <c r="AC59" s="10">
        <v>29.68</v>
      </c>
      <c r="AD59">
        <f t="shared" si="0"/>
        <v>0.58000000000000185</v>
      </c>
      <c r="AE59" s="138">
        <f t="shared" si="1"/>
        <v>-6.6934404283801596E-3</v>
      </c>
    </row>
    <row r="60" spans="15:31" x14ac:dyDescent="0.25">
      <c r="O60" s="83">
        <v>0.91</v>
      </c>
      <c r="P60" s="83">
        <f t="shared" si="24"/>
        <v>23.9512</v>
      </c>
      <c r="W60" s="133">
        <v>42593</v>
      </c>
      <c r="X60" s="10">
        <v>29.84</v>
      </c>
      <c r="Y60" s="10">
        <v>31.19</v>
      </c>
      <c r="Z60" s="10">
        <v>29.83</v>
      </c>
      <c r="AA60" s="10">
        <v>29.88</v>
      </c>
      <c r="AB60" s="95">
        <v>1542300</v>
      </c>
      <c r="AC60" s="10">
        <v>29.88</v>
      </c>
      <c r="AD60">
        <f t="shared" si="0"/>
        <v>1.360000000000003</v>
      </c>
      <c r="AE60" s="138">
        <f t="shared" si="1"/>
        <v>0</v>
      </c>
    </row>
    <row r="61" spans="15:31" x14ac:dyDescent="0.25">
      <c r="O61" s="83">
        <v>0.9</v>
      </c>
      <c r="P61" s="83">
        <f t="shared" si="24"/>
        <v>23.688000000000002</v>
      </c>
      <c r="W61" s="133">
        <v>42592</v>
      </c>
      <c r="X61" s="10">
        <v>29.81</v>
      </c>
      <c r="Y61" s="10">
        <v>30.09</v>
      </c>
      <c r="Z61" s="10">
        <v>29.61</v>
      </c>
      <c r="AA61" s="10">
        <v>29.88</v>
      </c>
      <c r="AB61" s="95">
        <v>893500</v>
      </c>
      <c r="AC61" s="10">
        <v>29.88</v>
      </c>
      <c r="AD61">
        <f t="shared" si="0"/>
        <v>0.48000000000000043</v>
      </c>
      <c r="AE61" s="138">
        <f t="shared" si="1"/>
        <v>5.3835800807537915E-3</v>
      </c>
    </row>
    <row r="62" spans="15:31" x14ac:dyDescent="0.25">
      <c r="W62" s="133">
        <v>42591</v>
      </c>
      <c r="X62" s="10">
        <v>29.52</v>
      </c>
      <c r="Y62" s="10">
        <v>30.01</v>
      </c>
      <c r="Z62" s="10">
        <v>29.47</v>
      </c>
      <c r="AA62" s="10">
        <v>29.72</v>
      </c>
      <c r="AB62" s="95">
        <v>928900</v>
      </c>
      <c r="AC62" s="10">
        <v>29.72</v>
      </c>
      <c r="AD62">
        <f t="shared" si="0"/>
        <v>0.5400000000000027</v>
      </c>
      <c r="AE62" s="138">
        <f t="shared" si="1"/>
        <v>6.0934326337169775E-3</v>
      </c>
    </row>
    <row r="63" spans="15:31" x14ac:dyDescent="0.25">
      <c r="W63" s="133">
        <v>42590</v>
      </c>
      <c r="X63" s="10">
        <v>29.9</v>
      </c>
      <c r="Y63" s="10">
        <v>30.06</v>
      </c>
      <c r="Z63" s="10">
        <v>29.32</v>
      </c>
      <c r="AA63" s="10">
        <v>29.54</v>
      </c>
      <c r="AB63" s="95">
        <v>1170200</v>
      </c>
      <c r="AC63" s="10">
        <v>29.54</v>
      </c>
      <c r="AD63">
        <f t="shared" si="0"/>
        <v>0.73999999999999844</v>
      </c>
      <c r="AE63" s="138">
        <f t="shared" si="1"/>
        <v>-6.0565275908479599E-3</v>
      </c>
    </row>
    <row r="64" spans="15:31" x14ac:dyDescent="0.25">
      <c r="W64" s="133">
        <v>42587</v>
      </c>
      <c r="X64" s="10">
        <v>29.67</v>
      </c>
      <c r="Y64" s="10">
        <v>30</v>
      </c>
      <c r="Z64" s="10">
        <v>29.62</v>
      </c>
      <c r="AA64" s="10">
        <v>29.72</v>
      </c>
      <c r="AB64" s="95">
        <v>948000</v>
      </c>
      <c r="AC64" s="10">
        <v>29.72</v>
      </c>
      <c r="AD64">
        <f t="shared" si="0"/>
        <v>0.37999999999999901</v>
      </c>
      <c r="AE64" s="138">
        <f t="shared" si="1"/>
        <v>4.7329276538201626E-3</v>
      </c>
    </row>
    <row r="65" spans="23:31" x14ac:dyDescent="0.25">
      <c r="W65" s="133">
        <v>42586</v>
      </c>
      <c r="X65" s="10">
        <v>29.67</v>
      </c>
      <c r="Y65" s="10">
        <v>30.15</v>
      </c>
      <c r="Z65" s="10">
        <v>29.52</v>
      </c>
      <c r="AA65" s="10">
        <v>29.58</v>
      </c>
      <c r="AB65" s="95">
        <v>1181700</v>
      </c>
      <c r="AC65" s="10">
        <v>29.58</v>
      </c>
      <c r="AD65">
        <f t="shared" si="0"/>
        <v>0.62999999999999901</v>
      </c>
      <c r="AE65" s="138">
        <f t="shared" si="1"/>
        <v>-5.0454086781029917E-3</v>
      </c>
    </row>
    <row r="66" spans="23:31" x14ac:dyDescent="0.25">
      <c r="W66" s="133">
        <v>42585</v>
      </c>
      <c r="X66" s="10">
        <v>29.62</v>
      </c>
      <c r="Y66" s="10">
        <v>29.9</v>
      </c>
      <c r="Z66" s="10">
        <v>28.95</v>
      </c>
      <c r="AA66" s="10">
        <v>29.73</v>
      </c>
      <c r="AB66" s="95">
        <v>1719900</v>
      </c>
      <c r="AC66" s="10">
        <v>29.73</v>
      </c>
      <c r="AD66">
        <f t="shared" si="0"/>
        <v>0.94999999999999929</v>
      </c>
      <c r="AE66" s="138">
        <f t="shared" si="1"/>
        <v>-2.3489932885906173E-3</v>
      </c>
    </row>
    <row r="67" spans="23:31" x14ac:dyDescent="0.25">
      <c r="W67" s="133">
        <v>42584</v>
      </c>
      <c r="X67" s="10">
        <v>30.37</v>
      </c>
      <c r="Y67" s="10">
        <v>30.48</v>
      </c>
      <c r="Z67" s="10">
        <v>29.63</v>
      </c>
      <c r="AA67" s="10">
        <v>29.8</v>
      </c>
      <c r="AB67" s="95">
        <v>1253700</v>
      </c>
      <c r="AC67" s="10">
        <v>29.8</v>
      </c>
      <c r="AD67">
        <f t="shared" ref="AD67:AD69" si="25">Y67-Z67</f>
        <v>0.85000000000000142</v>
      </c>
      <c r="AE67" s="138" t="e">
        <f t="shared" ref="AE67" si="26">AC67/AC68-1</f>
        <v>#DIV/0!</v>
      </c>
    </row>
    <row r="68" spans="23:31" x14ac:dyDescent="0.25">
      <c r="W68" s="133" t="s">
        <v>121</v>
      </c>
      <c r="X68" s="10"/>
      <c r="Y68" s="10"/>
      <c r="Z68" s="10"/>
      <c r="AA68" s="10"/>
      <c r="AB68" s="95"/>
      <c r="AC68" s="10"/>
      <c r="AD68">
        <f t="shared" si="25"/>
        <v>0</v>
      </c>
      <c r="AE68" s="138" t="e">
        <f>AC68/AC69-1</f>
        <v>#DIV/0!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>
        <f t="shared" si="25"/>
        <v>0</v>
      </c>
      <c r="AE69" s="138" t="e">
        <f t="shared" ref="AE69" si="27"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711" priority="11">
      <formula>F39&gt;0</formula>
    </cfRule>
    <cfRule type="expression" dxfId="710" priority="12">
      <formula>F39&lt;0</formula>
    </cfRule>
  </conditionalFormatting>
  <conditionalFormatting sqref="Q7">
    <cfRule type="expression" dxfId="709" priority="9">
      <formula>Q7&gt;0</formula>
    </cfRule>
    <cfRule type="expression" dxfId="708" priority="10">
      <formula>Q7&lt;0</formula>
    </cfRule>
  </conditionalFormatting>
  <conditionalFormatting sqref="Q8">
    <cfRule type="expression" dxfId="707" priority="7">
      <formula>Q8&gt;0</formula>
    </cfRule>
    <cfRule type="expression" dxfId="706" priority="8">
      <formula>Q8&lt;0</formula>
    </cfRule>
  </conditionalFormatting>
  <conditionalFormatting sqref="F25:F38">
    <cfRule type="expression" dxfId="705" priority="5">
      <formula>F25&gt;0</formula>
    </cfRule>
    <cfRule type="expression" dxfId="704" priority="6">
      <formula>F25&lt;0</formula>
    </cfRule>
  </conditionalFormatting>
  <conditionalFormatting sqref="H25:H38">
    <cfRule type="expression" dxfId="703" priority="3">
      <formula>H25&gt;0</formula>
    </cfRule>
    <cfRule type="expression" dxfId="702" priority="4">
      <formula>H25&lt;0</formula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9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42578125" bestFit="1" customWidth="1"/>
    <col min="9" max="9" width="13.42578125" style="2" bestFit="1" customWidth="1"/>
    <col min="10" max="11" width="9.140625" style="2"/>
    <col min="18" max="18" width="10.42578125" bestFit="1" customWidth="1"/>
    <col min="20" max="20" width="18.5703125" customWidth="1"/>
    <col min="21" max="21" width="33.57031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244</v>
      </c>
      <c r="B2" s="532">
        <v>42545</v>
      </c>
      <c r="C2" s="7">
        <v>100</v>
      </c>
      <c r="D2" s="44">
        <v>25.25</v>
      </c>
      <c r="E2" s="44">
        <v>0</v>
      </c>
      <c r="F2" s="44">
        <f t="shared" ref="F2:F12" si="0">D2*C2+E2</f>
        <v>2525</v>
      </c>
      <c r="G2" s="532">
        <v>42577</v>
      </c>
      <c r="H2" s="82">
        <v>30</v>
      </c>
      <c r="I2" s="44">
        <v>25.81</v>
      </c>
      <c r="J2" s="44">
        <v>0.02</v>
      </c>
      <c r="K2" s="44">
        <f t="shared" ref="K2:K8" si="1">H2*I2-J2</f>
        <v>774.28</v>
      </c>
      <c r="L2" s="74">
        <v>42613</v>
      </c>
      <c r="M2" s="44">
        <v>90</v>
      </c>
      <c r="O2" s="11" t="s">
        <v>57</v>
      </c>
      <c r="Q2">
        <f>C18-H18</f>
        <v>300</v>
      </c>
      <c r="T2" s="1">
        <v>42568</v>
      </c>
      <c r="U2" t="s">
        <v>273</v>
      </c>
      <c r="W2" s="133">
        <v>42676</v>
      </c>
      <c r="X2" s="10">
        <v>24.79</v>
      </c>
      <c r="Y2" s="10">
        <v>25.11</v>
      </c>
      <c r="Z2" s="10">
        <v>24.56</v>
      </c>
      <c r="AA2" s="10">
        <v>24.7</v>
      </c>
      <c r="AB2" s="95">
        <v>5548400</v>
      </c>
      <c r="AC2" s="10">
        <v>24.7</v>
      </c>
      <c r="AD2" s="2">
        <f>Y2-Z2</f>
        <v>0.55000000000000071</v>
      </c>
      <c r="AE2" s="138">
        <f>AC2/AC3-1</f>
        <v>-7.6335877862595547E-3</v>
      </c>
    </row>
    <row r="3" spans="1:31" x14ac:dyDescent="0.25">
      <c r="A3" s="23" t="s">
        <v>71</v>
      </c>
      <c r="B3" s="532">
        <v>42580</v>
      </c>
      <c r="C3" s="7">
        <v>30</v>
      </c>
      <c r="D3" s="44">
        <v>23.78</v>
      </c>
      <c r="E3" s="44">
        <v>0</v>
      </c>
      <c r="F3" s="44">
        <f t="shared" si="0"/>
        <v>713.40000000000009</v>
      </c>
      <c r="G3" s="532">
        <v>42597</v>
      </c>
      <c r="H3" s="82">
        <v>70</v>
      </c>
      <c r="I3" s="44">
        <v>22.94</v>
      </c>
      <c r="J3" s="44">
        <v>0.38</v>
      </c>
      <c r="K3" s="44">
        <f t="shared" si="1"/>
        <v>1605.42</v>
      </c>
      <c r="L3" s="4"/>
      <c r="O3" s="11" t="s">
        <v>58</v>
      </c>
      <c r="Q3" s="230">
        <f>IF(Q2=0, Q4, (F18-K18-M18)/Q2)</f>
        <v>21.609633333333342</v>
      </c>
      <c r="T3" s="1" t="s">
        <v>274</v>
      </c>
      <c r="W3" s="133">
        <v>42675</v>
      </c>
      <c r="X3" s="10">
        <v>24.15</v>
      </c>
      <c r="Y3" s="10">
        <v>25.01</v>
      </c>
      <c r="Z3" s="10">
        <v>23.92</v>
      </c>
      <c r="AA3" s="10">
        <v>24.89</v>
      </c>
      <c r="AB3" s="95">
        <v>7406800</v>
      </c>
      <c r="AC3" s="10">
        <v>24.89</v>
      </c>
      <c r="AD3" s="2">
        <f t="shared" ref="AD3:AD66" si="2">Y3-Z3</f>
        <v>1.0899999999999999</v>
      </c>
      <c r="AE3" s="138">
        <f t="shared" ref="AE3:AE66" si="3">AC3/AC4-1</f>
        <v>3.6651395251978247E-2</v>
      </c>
    </row>
    <row r="4" spans="1:31" x14ac:dyDescent="0.25">
      <c r="B4" s="532">
        <v>42586</v>
      </c>
      <c r="C4" s="7">
        <v>40</v>
      </c>
      <c r="D4" s="44">
        <v>22.65</v>
      </c>
      <c r="E4" s="44">
        <v>0</v>
      </c>
      <c r="F4" s="44">
        <f t="shared" si="0"/>
        <v>906</v>
      </c>
      <c r="G4" s="532">
        <v>42599</v>
      </c>
      <c r="H4" s="82">
        <v>30</v>
      </c>
      <c r="I4" s="44">
        <v>23.48</v>
      </c>
      <c r="J4" s="44">
        <v>0.02</v>
      </c>
      <c r="K4" s="44">
        <f t="shared" si="1"/>
        <v>704.38</v>
      </c>
      <c r="L4" s="4"/>
      <c r="O4" s="11" t="s">
        <v>66</v>
      </c>
      <c r="Q4" s="55">
        <v>24.7</v>
      </c>
      <c r="R4" s="560">
        <v>-7.6E-3</v>
      </c>
      <c r="T4" s="163">
        <v>42633</v>
      </c>
      <c r="U4" s="1" t="s">
        <v>332</v>
      </c>
      <c r="W4" s="133">
        <v>42674</v>
      </c>
      <c r="X4" s="10">
        <v>24.46</v>
      </c>
      <c r="Y4" s="10">
        <v>24.8</v>
      </c>
      <c r="Z4" s="10">
        <v>23.94</v>
      </c>
      <c r="AA4" s="10">
        <v>24.01</v>
      </c>
      <c r="AB4" s="95">
        <v>3501100</v>
      </c>
      <c r="AC4" s="10">
        <v>24.01</v>
      </c>
      <c r="AD4" s="2">
        <f t="shared" si="2"/>
        <v>0.85999999999999943</v>
      </c>
      <c r="AE4" s="138">
        <f t="shared" si="3"/>
        <v>-2.0799347471451846E-2</v>
      </c>
    </row>
    <row r="5" spans="1:31" x14ac:dyDescent="0.25">
      <c r="B5" s="532">
        <v>42586</v>
      </c>
      <c r="C5" s="7">
        <v>60</v>
      </c>
      <c r="D5" s="44">
        <v>22.65</v>
      </c>
      <c r="E5" s="44">
        <v>0</v>
      </c>
      <c r="F5" s="44">
        <f t="shared" si="0"/>
        <v>1359</v>
      </c>
      <c r="G5" s="532">
        <v>42621</v>
      </c>
      <c r="H5" s="82">
        <v>40</v>
      </c>
      <c r="I5" s="44">
        <v>26.28</v>
      </c>
      <c r="J5" s="44">
        <v>0.02</v>
      </c>
      <c r="K5" s="44">
        <f t="shared" si="1"/>
        <v>1051.18</v>
      </c>
      <c r="L5" s="4"/>
      <c r="O5" s="11" t="s">
        <v>67</v>
      </c>
      <c r="Q5" s="3">
        <f>Q4*Q2</f>
        <v>7410</v>
      </c>
      <c r="W5" s="133">
        <v>42671</v>
      </c>
      <c r="X5" s="10">
        <v>24.62</v>
      </c>
      <c r="Y5" s="10">
        <v>24.93</v>
      </c>
      <c r="Z5" s="10">
        <v>24.09</v>
      </c>
      <c r="AA5" s="10">
        <v>24.52</v>
      </c>
      <c r="AB5" s="95">
        <v>4721800</v>
      </c>
      <c r="AC5" s="10">
        <v>24.52</v>
      </c>
      <c r="AD5" s="2">
        <f t="shared" si="2"/>
        <v>0.83999999999999986</v>
      </c>
      <c r="AE5" s="138">
        <f t="shared" si="3"/>
        <v>-4.0766408479420146E-4</v>
      </c>
    </row>
    <row r="6" spans="1:31" x14ac:dyDescent="0.25">
      <c r="B6" s="532">
        <v>42586</v>
      </c>
      <c r="C6" s="7">
        <v>100</v>
      </c>
      <c r="D6" s="44">
        <v>20.92</v>
      </c>
      <c r="E6" s="44">
        <v>-0.5</v>
      </c>
      <c r="F6" s="44">
        <f t="shared" si="0"/>
        <v>2091.5</v>
      </c>
      <c r="G6" s="532">
        <v>42639</v>
      </c>
      <c r="H6" s="82">
        <v>100</v>
      </c>
      <c r="I6" s="44">
        <v>22.82</v>
      </c>
      <c r="J6" s="44">
        <v>0.05</v>
      </c>
      <c r="K6" s="44">
        <f t="shared" si="1"/>
        <v>2281.9499999999998</v>
      </c>
      <c r="L6" s="4"/>
      <c r="O6" s="11" t="s">
        <v>64</v>
      </c>
      <c r="Q6" s="2">
        <f>Q3*Q2</f>
        <v>6482.8900000000021</v>
      </c>
      <c r="W6" s="133">
        <v>42670</v>
      </c>
      <c r="X6" s="10">
        <v>25.87</v>
      </c>
      <c r="Y6" s="10">
        <v>25.95</v>
      </c>
      <c r="Z6" s="10">
        <v>24.46</v>
      </c>
      <c r="AA6" s="10">
        <v>24.53</v>
      </c>
      <c r="AB6" s="95">
        <v>4568300</v>
      </c>
      <c r="AC6" s="10">
        <v>24.53</v>
      </c>
      <c r="AD6" s="2">
        <f t="shared" si="2"/>
        <v>1.4899999999999984</v>
      </c>
      <c r="AE6" s="138">
        <f t="shared" si="3"/>
        <v>-3.9921722113502867E-2</v>
      </c>
    </row>
    <row r="7" spans="1:31" x14ac:dyDescent="0.25">
      <c r="B7" s="532">
        <v>42626</v>
      </c>
      <c r="C7" s="7">
        <v>40</v>
      </c>
      <c r="D7" s="44">
        <v>24.58</v>
      </c>
      <c r="E7" s="44">
        <v>0</v>
      </c>
      <c r="F7" s="44">
        <f t="shared" si="0"/>
        <v>983.19999999999993</v>
      </c>
      <c r="G7" s="532">
        <v>42643</v>
      </c>
      <c r="H7" s="82">
        <v>60</v>
      </c>
      <c r="I7" s="44">
        <v>24.72</v>
      </c>
      <c r="J7" s="44">
        <v>0.03</v>
      </c>
      <c r="K7" s="44">
        <f t="shared" si="1"/>
        <v>1483.1699999999998</v>
      </c>
      <c r="L7" s="4"/>
      <c r="O7" s="11" t="s">
        <v>184</v>
      </c>
      <c r="Q7" s="2">
        <f>Q10+Q8</f>
        <v>927.10999999999694</v>
      </c>
      <c r="R7">
        <v>60</v>
      </c>
      <c r="W7" s="133">
        <v>42669</v>
      </c>
      <c r="X7" s="10">
        <v>25.45</v>
      </c>
      <c r="Y7" s="10">
        <v>26</v>
      </c>
      <c r="Z7" s="10">
        <v>25.24</v>
      </c>
      <c r="AA7" s="10">
        <v>25.55</v>
      </c>
      <c r="AB7" s="95">
        <v>4572000</v>
      </c>
      <c r="AC7" s="10">
        <v>25.55</v>
      </c>
      <c r="AD7" s="2">
        <f t="shared" si="2"/>
        <v>0.76000000000000156</v>
      </c>
      <c r="AE7" s="138">
        <f t="shared" si="3"/>
        <v>3.915426781520015E-4</v>
      </c>
    </row>
    <row r="8" spans="1:31" x14ac:dyDescent="0.25">
      <c r="B8" s="532">
        <v>42639</v>
      </c>
      <c r="C8" s="7">
        <v>100</v>
      </c>
      <c r="D8" s="44">
        <v>22.28</v>
      </c>
      <c r="E8" s="44">
        <v>0</v>
      </c>
      <c r="F8" s="44">
        <f t="shared" si="0"/>
        <v>2228</v>
      </c>
      <c r="G8" s="532">
        <v>42663</v>
      </c>
      <c r="H8" s="82">
        <v>40</v>
      </c>
      <c r="I8" s="44">
        <v>24.78</v>
      </c>
      <c r="J8" s="44">
        <v>0.02</v>
      </c>
      <c r="K8" s="44">
        <f t="shared" si="1"/>
        <v>991.18000000000006</v>
      </c>
      <c r="L8" s="4"/>
      <c r="O8" s="11" t="s">
        <v>187</v>
      </c>
      <c r="P8" s="34"/>
      <c r="Q8" s="2">
        <f>K18+M18-F18+Q2*Q4</f>
        <v>927.10999999999694</v>
      </c>
      <c r="W8" s="133">
        <v>42668</v>
      </c>
      <c r="X8" s="10">
        <v>25.39</v>
      </c>
      <c r="Y8" s="10">
        <v>25.8</v>
      </c>
      <c r="Z8" s="10">
        <v>25.2</v>
      </c>
      <c r="AA8" s="10">
        <v>25.54</v>
      </c>
      <c r="AB8" s="95">
        <v>4860100</v>
      </c>
      <c r="AC8" s="10">
        <v>25.54</v>
      </c>
      <c r="AD8" s="2">
        <f t="shared" si="2"/>
        <v>0.60000000000000142</v>
      </c>
      <c r="AE8" s="138">
        <f t="shared" si="3"/>
        <v>7.495069033530477E-3</v>
      </c>
    </row>
    <row r="9" spans="1:31" x14ac:dyDescent="0.25">
      <c r="B9" s="535">
        <v>42643</v>
      </c>
      <c r="C9" s="4">
        <v>60</v>
      </c>
      <c r="D9" s="2">
        <v>24.3</v>
      </c>
      <c r="E9" s="2">
        <v>0</v>
      </c>
      <c r="F9" s="2">
        <f t="shared" si="0"/>
        <v>1458</v>
      </c>
      <c r="G9" s="532">
        <v>42675</v>
      </c>
      <c r="H9" s="82">
        <v>100</v>
      </c>
      <c r="I9" s="44">
        <v>24.75</v>
      </c>
      <c r="J9" s="44">
        <v>0.05</v>
      </c>
      <c r="K9" s="44">
        <f>H9*I9-J9</f>
        <v>2474.9499999999998</v>
      </c>
      <c r="O9" s="11" t="s">
        <v>219</v>
      </c>
      <c r="Q9" s="138">
        <f>IF(Q2=0, 0, Q8/Q6)</f>
        <v>0.14300875072691294</v>
      </c>
      <c r="W9" s="133">
        <v>42667</v>
      </c>
      <c r="X9" s="10">
        <v>25.92</v>
      </c>
      <c r="Y9" s="10">
        <v>25.94</v>
      </c>
      <c r="Z9" s="10">
        <v>25</v>
      </c>
      <c r="AA9" s="10">
        <v>25.35</v>
      </c>
      <c r="AB9" s="95">
        <v>4582100</v>
      </c>
      <c r="AC9" s="10">
        <v>25.35</v>
      </c>
      <c r="AD9" s="2">
        <f t="shared" si="2"/>
        <v>0.94000000000000128</v>
      </c>
      <c r="AE9" s="138">
        <f t="shared" si="3"/>
        <v>-2.19907407407407E-2</v>
      </c>
    </row>
    <row r="10" spans="1:31" x14ac:dyDescent="0.25">
      <c r="B10" s="536">
        <v>42655</v>
      </c>
      <c r="C10" s="4">
        <v>100</v>
      </c>
      <c r="D10" s="2">
        <v>22.56</v>
      </c>
      <c r="E10" s="2">
        <v>0</v>
      </c>
      <c r="F10" s="2">
        <f t="shared" si="0"/>
        <v>2256</v>
      </c>
      <c r="G10" s="30"/>
      <c r="H10" s="72"/>
      <c r="O10" s="11" t="s">
        <v>218</v>
      </c>
      <c r="P10" s="34"/>
      <c r="Q10" s="2">
        <v>0</v>
      </c>
      <c r="W10" s="133">
        <v>42664</v>
      </c>
      <c r="X10" s="10">
        <v>25.03</v>
      </c>
      <c r="Y10" s="10">
        <v>26.21</v>
      </c>
      <c r="Z10" s="10">
        <v>24.77</v>
      </c>
      <c r="AA10" s="10">
        <v>25.92</v>
      </c>
      <c r="AB10" s="95">
        <v>8578300</v>
      </c>
      <c r="AC10" s="10">
        <v>25.92</v>
      </c>
      <c r="AD10" s="2">
        <f t="shared" si="2"/>
        <v>1.4400000000000013</v>
      </c>
      <c r="AE10" s="138">
        <f t="shared" si="3"/>
        <v>3.7630104083266724E-2</v>
      </c>
    </row>
    <row r="11" spans="1:31" x14ac:dyDescent="0.25">
      <c r="B11" s="536">
        <v>42674</v>
      </c>
      <c r="C11" s="4">
        <v>40</v>
      </c>
      <c r="D11" s="2">
        <v>24.16</v>
      </c>
      <c r="E11" s="2">
        <v>-0.1</v>
      </c>
      <c r="F11" s="2">
        <f t="shared" si="0"/>
        <v>966.3</v>
      </c>
      <c r="G11" s="30"/>
      <c r="H11" s="72"/>
      <c r="O11" s="11" t="s">
        <v>181</v>
      </c>
      <c r="P11" s="34"/>
      <c r="Q11" s="138">
        <f>IF(U58="N/A (N/A)", 0, VALUE(TRIM(CLEAN(MID(U58, FIND("(", U58)+1, 5)))))</f>
        <v>4.8899999999999999E-2</v>
      </c>
      <c r="W11" s="133">
        <v>42663</v>
      </c>
      <c r="X11" s="10">
        <v>23.8</v>
      </c>
      <c r="Y11" s="10">
        <v>25.36</v>
      </c>
      <c r="Z11" s="10">
        <v>23.53</v>
      </c>
      <c r="AA11" s="10">
        <v>24.98</v>
      </c>
      <c r="AB11" s="95">
        <v>8322600</v>
      </c>
      <c r="AC11" s="10">
        <v>24.98</v>
      </c>
      <c r="AD11" s="2">
        <f t="shared" si="2"/>
        <v>1.8299999999999983</v>
      </c>
      <c r="AE11" s="138">
        <f t="shared" si="3"/>
        <v>3.4368530020703947E-2</v>
      </c>
    </row>
    <row r="12" spans="1:31" x14ac:dyDescent="0.25">
      <c r="B12" s="536">
        <v>42675</v>
      </c>
      <c r="C12" s="4">
        <v>100</v>
      </c>
      <c r="D12" s="2">
        <v>24.53</v>
      </c>
      <c r="E12" s="2">
        <v>0</v>
      </c>
      <c r="F12" s="2">
        <f t="shared" si="0"/>
        <v>2453</v>
      </c>
      <c r="G12" s="30"/>
      <c r="H12" s="72"/>
      <c r="W12" s="133">
        <v>42662</v>
      </c>
      <c r="X12" s="10">
        <v>23.37</v>
      </c>
      <c r="Y12" s="10">
        <v>24.41</v>
      </c>
      <c r="Z12" s="10">
        <v>23.27</v>
      </c>
      <c r="AA12" s="10">
        <v>24.15</v>
      </c>
      <c r="AB12" s="95">
        <v>6426100</v>
      </c>
      <c r="AC12" s="10">
        <v>24.15</v>
      </c>
      <c r="AD12" s="2">
        <f t="shared" si="2"/>
        <v>1.1400000000000006</v>
      </c>
      <c r="AE12" s="138">
        <f t="shared" si="3"/>
        <v>2.9411764705882248E-2</v>
      </c>
    </row>
    <row r="13" spans="1:31" x14ac:dyDescent="0.25">
      <c r="G13" s="30"/>
      <c r="H13" s="72"/>
      <c r="W13" s="133">
        <v>42661</v>
      </c>
      <c r="X13" s="10">
        <v>22.86</v>
      </c>
      <c r="Y13" s="10">
        <v>23.63</v>
      </c>
      <c r="Z13" s="10">
        <v>22.73</v>
      </c>
      <c r="AA13" s="10">
        <v>23.46</v>
      </c>
      <c r="AB13" s="95">
        <v>5603400</v>
      </c>
      <c r="AC13" s="10">
        <v>23.46</v>
      </c>
      <c r="AD13" s="2">
        <f t="shared" si="2"/>
        <v>0.89999999999999858</v>
      </c>
      <c r="AE13" s="138">
        <f t="shared" si="3"/>
        <v>3.8053097345132736E-2</v>
      </c>
    </row>
    <row r="14" spans="1:31" x14ac:dyDescent="0.25">
      <c r="G14" s="30"/>
      <c r="H14" s="72"/>
      <c r="W14" s="133">
        <v>42660</v>
      </c>
      <c r="X14" s="10">
        <v>22.27</v>
      </c>
      <c r="Y14" s="10">
        <v>22.79</v>
      </c>
      <c r="Z14" s="10">
        <v>22.23</v>
      </c>
      <c r="AA14" s="10">
        <v>22.6</v>
      </c>
      <c r="AB14" s="95">
        <v>5070700</v>
      </c>
      <c r="AC14" s="10">
        <v>22.6</v>
      </c>
      <c r="AD14" s="2">
        <f t="shared" si="2"/>
        <v>0.55999999999999872</v>
      </c>
      <c r="AE14" s="138">
        <f t="shared" si="3"/>
        <v>1.4362657091562037E-2</v>
      </c>
    </row>
    <row r="15" spans="1:31" x14ac:dyDescent="0.25">
      <c r="G15" s="30"/>
      <c r="H15" s="72"/>
      <c r="W15" s="133">
        <v>42657</v>
      </c>
      <c r="X15" s="10">
        <v>23.25</v>
      </c>
      <c r="Y15" s="10">
        <v>23.56</v>
      </c>
      <c r="Z15" s="10">
        <v>22.22</v>
      </c>
      <c r="AA15" s="10">
        <v>22.28</v>
      </c>
      <c r="AB15" s="95">
        <v>4740900</v>
      </c>
      <c r="AC15" s="10">
        <v>22.28</v>
      </c>
      <c r="AD15" s="2">
        <f t="shared" si="2"/>
        <v>1.3399999999999999</v>
      </c>
      <c r="AE15" s="138">
        <f t="shared" si="3"/>
        <v>-3.2986111111111049E-2</v>
      </c>
    </row>
    <row r="16" spans="1:31" x14ac:dyDescent="0.25">
      <c r="G16" s="30"/>
      <c r="H16" s="72"/>
      <c r="W16" s="133">
        <v>42656</v>
      </c>
      <c r="X16" s="10">
        <v>22.61</v>
      </c>
      <c r="Y16" s="10">
        <v>23.17</v>
      </c>
      <c r="Z16" s="10">
        <v>22</v>
      </c>
      <c r="AA16" s="10">
        <v>23.04</v>
      </c>
      <c r="AB16" s="95">
        <v>6075200</v>
      </c>
      <c r="AC16" s="10">
        <v>23.04</v>
      </c>
      <c r="AD16" s="2">
        <f t="shared" si="2"/>
        <v>1.1700000000000017</v>
      </c>
      <c r="AE16" s="138">
        <f t="shared" si="3"/>
        <v>5.2356020942407877E-3</v>
      </c>
    </row>
    <row r="17" spans="1:31" x14ac:dyDescent="0.25">
      <c r="G17" s="30"/>
      <c r="W17" s="133">
        <v>42655</v>
      </c>
      <c r="X17" s="10">
        <v>23.48</v>
      </c>
      <c r="Y17" s="10">
        <v>23.57</v>
      </c>
      <c r="Z17" s="10">
        <v>22.56</v>
      </c>
      <c r="AA17" s="10">
        <v>22.92</v>
      </c>
      <c r="AB17" s="95">
        <v>4706800</v>
      </c>
      <c r="AC17" s="10">
        <v>22.92</v>
      </c>
      <c r="AD17" s="2">
        <f t="shared" si="2"/>
        <v>1.0100000000000016</v>
      </c>
      <c r="AE17" s="138">
        <f t="shared" si="3"/>
        <v>-2.3017902813299185E-2</v>
      </c>
    </row>
    <row r="18" spans="1:31" x14ac:dyDescent="0.25">
      <c r="A18" s="32" t="s">
        <v>81</v>
      </c>
      <c r="B18" s="537"/>
      <c r="C18" s="14">
        <f>SUM(C2:C12)</f>
        <v>770</v>
      </c>
      <c r="D18" s="18"/>
      <c r="E18" s="18"/>
      <c r="F18" s="18">
        <f>SUM(F2:F12)</f>
        <v>17939.400000000001</v>
      </c>
      <c r="G18" s="14"/>
      <c r="H18" s="14">
        <f>SUM(H2:H9)</f>
        <v>470</v>
      </c>
      <c r="I18" s="18"/>
      <c r="J18" s="18"/>
      <c r="K18" s="18">
        <f>SUM(K2:K9)</f>
        <v>11366.509999999998</v>
      </c>
      <c r="L18" s="14"/>
      <c r="M18" s="18">
        <f>SUM(M2:M10)</f>
        <v>90</v>
      </c>
      <c r="W18" s="133">
        <v>42654</v>
      </c>
      <c r="X18" s="10">
        <v>23.75</v>
      </c>
      <c r="Y18" s="10">
        <v>23.83</v>
      </c>
      <c r="Z18" s="10">
        <v>23.25</v>
      </c>
      <c r="AA18" s="10">
        <v>23.46</v>
      </c>
      <c r="AB18" s="95">
        <v>4050600</v>
      </c>
      <c r="AC18" s="10">
        <v>23.46</v>
      </c>
      <c r="AD18" s="2">
        <f t="shared" si="2"/>
        <v>0.57999999999999829</v>
      </c>
      <c r="AE18" s="138">
        <f t="shared" si="3"/>
        <v>-1.6764459346185978E-2</v>
      </c>
    </row>
    <row r="19" spans="1:31" ht="15.75" thickBot="1" x14ac:dyDescent="0.3">
      <c r="A19" s="359" t="s">
        <v>201</v>
      </c>
      <c r="B19" s="538"/>
      <c r="C19" s="361">
        <f>SumByColor($A$19,C2:C17)</f>
        <v>370</v>
      </c>
      <c r="D19" s="361"/>
      <c r="E19" s="361"/>
      <c r="F19" s="362">
        <f>SumByColor($A$19,F2:F17)</f>
        <v>8714</v>
      </c>
      <c r="G19" s="361"/>
      <c r="H19" s="361">
        <f>SumByColor($A$19,H2:H17)</f>
        <v>370</v>
      </c>
      <c r="I19" s="361"/>
      <c r="J19" s="361"/>
      <c r="K19" s="362">
        <f>SumByColor($A$19,K2:K17)</f>
        <v>8890</v>
      </c>
      <c r="L19" s="361"/>
      <c r="M19" s="362">
        <f t="shared" ref="M19" si="4">SumByColor($A$19,M2:M17)</f>
        <v>90</v>
      </c>
      <c r="W19" s="133">
        <v>42653</v>
      </c>
      <c r="X19" s="10">
        <v>24.16</v>
      </c>
      <c r="Y19" s="10">
        <v>24.35</v>
      </c>
      <c r="Z19" s="10">
        <v>23.8</v>
      </c>
      <c r="AA19" s="10">
        <v>23.86</v>
      </c>
      <c r="AB19" s="95">
        <v>3346600</v>
      </c>
      <c r="AC19" s="10">
        <v>23.86</v>
      </c>
      <c r="AD19" s="2">
        <f t="shared" si="2"/>
        <v>0.55000000000000071</v>
      </c>
      <c r="AE19" s="138">
        <f t="shared" si="3"/>
        <v>-3.7578288100208468E-3</v>
      </c>
    </row>
    <row r="20" spans="1:31" x14ac:dyDescent="0.25">
      <c r="W20" s="133">
        <v>42650</v>
      </c>
      <c r="X20" s="10">
        <v>24.67</v>
      </c>
      <c r="Y20" s="10">
        <v>24.77</v>
      </c>
      <c r="Z20" s="10">
        <v>23.94</v>
      </c>
      <c r="AA20" s="10">
        <v>23.95</v>
      </c>
      <c r="AB20" s="95">
        <v>3901500</v>
      </c>
      <c r="AC20" s="10">
        <v>23.95</v>
      </c>
      <c r="AD20" s="2">
        <f t="shared" si="2"/>
        <v>0.82999999999999829</v>
      </c>
      <c r="AE20" s="138">
        <f t="shared" si="3"/>
        <v>-2.879156528791571E-2</v>
      </c>
    </row>
    <row r="21" spans="1:31" x14ac:dyDescent="0.25">
      <c r="W21" s="133">
        <v>42649</v>
      </c>
      <c r="X21" s="10">
        <v>24.77</v>
      </c>
      <c r="Y21" s="10">
        <v>25.11</v>
      </c>
      <c r="Z21" s="10">
        <v>24.01</v>
      </c>
      <c r="AA21" s="10">
        <v>24.66</v>
      </c>
      <c r="AB21" s="95">
        <v>4226500</v>
      </c>
      <c r="AC21" s="10">
        <v>24.66</v>
      </c>
      <c r="AD21" s="2">
        <f t="shared" si="2"/>
        <v>1.0999999999999979</v>
      </c>
      <c r="AE21" s="138">
        <f t="shared" si="3"/>
        <v>-8.045052292839916E-3</v>
      </c>
    </row>
    <row r="22" spans="1:31" x14ac:dyDescent="0.25">
      <c r="W22" s="133">
        <v>42648</v>
      </c>
      <c r="X22" s="10">
        <v>24.57</v>
      </c>
      <c r="Y22" s="10">
        <v>25.15</v>
      </c>
      <c r="Z22" s="10">
        <v>24.21</v>
      </c>
      <c r="AA22" s="10">
        <v>24.86</v>
      </c>
      <c r="AB22" s="95">
        <v>4704200</v>
      </c>
      <c r="AC22" s="10">
        <v>24.86</v>
      </c>
      <c r="AD22" s="2">
        <f t="shared" si="2"/>
        <v>0.93999999999999773</v>
      </c>
      <c r="AE22" s="138">
        <f t="shared" si="3"/>
        <v>1.885245901639343E-2</v>
      </c>
    </row>
    <row r="23" spans="1:31" x14ac:dyDescent="0.25">
      <c r="W23" s="133">
        <v>42647</v>
      </c>
      <c r="X23" s="10">
        <v>24.28</v>
      </c>
      <c r="Y23" s="10">
        <v>24.71</v>
      </c>
      <c r="Z23" s="10">
        <v>24.15</v>
      </c>
      <c r="AA23" s="10">
        <v>24.4</v>
      </c>
      <c r="AB23" s="95">
        <v>3865700</v>
      </c>
      <c r="AC23" s="10">
        <v>24.4</v>
      </c>
      <c r="AD23" s="2">
        <f t="shared" si="2"/>
        <v>0.56000000000000227</v>
      </c>
      <c r="AE23" s="138">
        <f t="shared" si="3"/>
        <v>7.8479966955802283E-3</v>
      </c>
    </row>
    <row r="24" spans="1:31" x14ac:dyDescent="0.25">
      <c r="B24" s="539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42646</v>
      </c>
      <c r="X24" s="10">
        <v>24.27</v>
      </c>
      <c r="Y24" s="10">
        <v>24.39</v>
      </c>
      <c r="Z24" s="10">
        <v>23.83</v>
      </c>
      <c r="AA24" s="10">
        <v>24.21</v>
      </c>
      <c r="AB24" s="95">
        <v>4257700</v>
      </c>
      <c r="AC24" s="10">
        <v>24.21</v>
      </c>
      <c r="AD24" s="2">
        <f t="shared" si="2"/>
        <v>0.56000000000000227</v>
      </c>
      <c r="AE24" s="138">
        <f t="shared" si="3"/>
        <v>-5.7494866529774757E-3</v>
      </c>
    </row>
    <row r="25" spans="1:31" x14ac:dyDescent="0.25">
      <c r="B25" s="157">
        <v>42545</v>
      </c>
      <c r="C25" s="237">
        <v>100</v>
      </c>
      <c r="D25" s="238">
        <v>25.25</v>
      </c>
      <c r="E25" s="40">
        <v>25.43</v>
      </c>
      <c r="F25" s="40">
        <f t="shared" ref="F25" si="5">C25*(E25-D25)</f>
        <v>17.999999999999972</v>
      </c>
      <c r="G25" s="40">
        <f t="shared" ref="G25" si="6">D25*C25</f>
        <v>2525</v>
      </c>
      <c r="H25" s="231">
        <f t="shared" ref="H25" si="7">(E25-D25)/D25</f>
        <v>7.1287128712871177E-3</v>
      </c>
      <c r="I25" s="40"/>
      <c r="W25" s="133">
        <v>42643</v>
      </c>
      <c r="X25" s="10">
        <v>24.3</v>
      </c>
      <c r="Y25" s="10">
        <v>24.73</v>
      </c>
      <c r="Z25" s="10">
        <v>23.95</v>
      </c>
      <c r="AA25" s="10">
        <v>24.35</v>
      </c>
      <c r="AB25" s="95">
        <v>4186300</v>
      </c>
      <c r="AC25" s="10">
        <v>24.35</v>
      </c>
      <c r="AD25" s="2">
        <f t="shared" si="2"/>
        <v>0.78000000000000114</v>
      </c>
      <c r="AE25" s="138">
        <f t="shared" si="3"/>
        <v>6.1983471074380514E-3</v>
      </c>
    </row>
    <row r="26" spans="1:31" x14ac:dyDescent="0.25">
      <c r="B26" s="157">
        <v>42548</v>
      </c>
      <c r="C26" s="10">
        <v>100</v>
      </c>
      <c r="D26" s="40">
        <v>25.25</v>
      </c>
      <c r="E26" s="40">
        <v>23.48</v>
      </c>
      <c r="F26" s="40">
        <f t="shared" ref="F26" si="8">C26*(E26-D26)</f>
        <v>-176.99999999999994</v>
      </c>
      <c r="G26" s="40">
        <f t="shared" ref="G26" si="9">D26*C26</f>
        <v>2525</v>
      </c>
      <c r="H26" s="231">
        <f t="shared" ref="H26" si="10">(E26-D26)/D26</f>
        <v>-7.0099009900990078E-2</v>
      </c>
      <c r="I26" s="40"/>
      <c r="W26" s="133">
        <v>42642</v>
      </c>
      <c r="X26" s="10">
        <v>23.91</v>
      </c>
      <c r="Y26" s="10">
        <v>24.68</v>
      </c>
      <c r="Z26" s="10">
        <v>23.72</v>
      </c>
      <c r="AA26" s="10">
        <v>24.2</v>
      </c>
      <c r="AB26" s="95">
        <v>4468900</v>
      </c>
      <c r="AC26" s="10">
        <v>24.2</v>
      </c>
      <c r="AD26" s="2">
        <f t="shared" si="2"/>
        <v>0.96000000000000085</v>
      </c>
      <c r="AE26" s="138">
        <f t="shared" si="3"/>
        <v>1.0438413361169019E-2</v>
      </c>
    </row>
    <row r="27" spans="1:31" x14ac:dyDescent="0.25">
      <c r="B27" s="157">
        <v>42549</v>
      </c>
      <c r="C27" s="10">
        <v>100</v>
      </c>
      <c r="D27" s="40">
        <v>25.25</v>
      </c>
      <c r="E27" s="40">
        <v>24.06</v>
      </c>
      <c r="F27" s="40">
        <f t="shared" ref="F27" si="11">C27*(E27-D27)</f>
        <v>-119.00000000000013</v>
      </c>
      <c r="G27" s="40">
        <f t="shared" ref="G27" si="12">D27*C27</f>
        <v>2525</v>
      </c>
      <c r="H27" s="231">
        <f t="shared" ref="H27" si="13">(E27-D27)/D27</f>
        <v>-4.7128712871287178E-2</v>
      </c>
      <c r="I27" s="40"/>
      <c r="W27" s="133">
        <v>42641</v>
      </c>
      <c r="X27" s="10">
        <v>23.05</v>
      </c>
      <c r="Y27" s="10">
        <v>24.03</v>
      </c>
      <c r="Z27" s="10">
        <v>23.03</v>
      </c>
      <c r="AA27" s="10">
        <v>23.95</v>
      </c>
      <c r="AB27" s="95">
        <v>5773800</v>
      </c>
      <c r="AC27" s="10">
        <v>23.95</v>
      </c>
      <c r="AD27" s="2">
        <f t="shared" si="2"/>
        <v>1</v>
      </c>
      <c r="AE27" s="138">
        <f t="shared" si="3"/>
        <v>4.6308431629532576E-2</v>
      </c>
    </row>
    <row r="28" spans="1:31" x14ac:dyDescent="0.25">
      <c r="B28" s="157">
        <v>42556</v>
      </c>
      <c r="C28" s="10">
        <v>100</v>
      </c>
      <c r="D28" s="40">
        <v>25.25</v>
      </c>
      <c r="E28" s="40">
        <v>23.54</v>
      </c>
      <c r="F28" s="40">
        <f t="shared" ref="F28" si="14">C28*(E28-D28)</f>
        <v>-171.00000000000009</v>
      </c>
      <c r="G28" s="40">
        <f t="shared" ref="G28" si="15">D28*C28</f>
        <v>2525</v>
      </c>
      <c r="H28" s="231">
        <f t="shared" ref="H28" si="16">(E28-D28)/D28</f>
        <v>-6.7722772277227755E-2</v>
      </c>
      <c r="I28" s="40"/>
      <c r="W28" s="133">
        <v>42640</v>
      </c>
      <c r="X28" s="10">
        <v>22.44</v>
      </c>
      <c r="Y28" s="10">
        <v>22.92</v>
      </c>
      <c r="Z28" s="10">
        <v>22.2</v>
      </c>
      <c r="AA28" s="10">
        <v>22.89</v>
      </c>
      <c r="AB28" s="95">
        <v>5472400</v>
      </c>
      <c r="AC28" s="10">
        <v>22.89</v>
      </c>
      <c r="AD28" s="2">
        <f t="shared" si="2"/>
        <v>0.72000000000000242</v>
      </c>
      <c r="AE28" s="138">
        <f t="shared" si="3"/>
        <v>1.1042402826855202E-2</v>
      </c>
    </row>
    <row r="29" spans="1:31" x14ac:dyDescent="0.25">
      <c r="B29" s="157">
        <v>42557</v>
      </c>
      <c r="C29" s="10">
        <v>100</v>
      </c>
      <c r="D29" s="40">
        <v>25.25</v>
      </c>
      <c r="E29" s="40">
        <v>23.75</v>
      </c>
      <c r="F29" s="40">
        <f t="shared" ref="F29" si="17">C29*(E29-D29)</f>
        <v>-150</v>
      </c>
      <c r="G29" s="40">
        <f t="shared" ref="G29" si="18">D29*C29</f>
        <v>2525</v>
      </c>
      <c r="H29" s="231">
        <f t="shared" ref="H29" si="19">(E29-D29)/D29</f>
        <v>-5.9405940594059403E-2</v>
      </c>
      <c r="I29" s="40"/>
      <c r="W29" s="133">
        <v>42639</v>
      </c>
      <c r="X29" s="10">
        <v>22.54</v>
      </c>
      <c r="Y29" s="10">
        <v>22.91</v>
      </c>
      <c r="Z29" s="10">
        <v>22.26</v>
      </c>
      <c r="AA29" s="10">
        <v>22.64</v>
      </c>
      <c r="AB29" s="95">
        <v>4950600</v>
      </c>
      <c r="AC29" s="10">
        <v>22.64</v>
      </c>
      <c r="AD29" s="2">
        <f t="shared" si="2"/>
        <v>0.64999999999999858</v>
      </c>
      <c r="AE29" s="138">
        <f t="shared" si="3"/>
        <v>4.4189129474148103E-4</v>
      </c>
    </row>
    <row r="30" spans="1:31" x14ac:dyDescent="0.25">
      <c r="B30" s="157">
        <v>42559</v>
      </c>
      <c r="C30" s="10">
        <v>100</v>
      </c>
      <c r="D30" s="40">
        <v>25.25</v>
      </c>
      <c r="E30" s="40">
        <v>24.86</v>
      </c>
      <c r="F30" s="40">
        <f t="shared" ref="F30" si="20">C30*(E30-D30)</f>
        <v>-39.000000000000057</v>
      </c>
      <c r="G30" s="40">
        <f t="shared" ref="G30" si="21">D30*C30</f>
        <v>2525</v>
      </c>
      <c r="H30" s="231">
        <f t="shared" ref="H30" si="22">(E30-D30)/D30</f>
        <v>-1.5445544554455468E-2</v>
      </c>
      <c r="I30" s="40"/>
      <c r="W30" s="133">
        <v>42636</v>
      </c>
      <c r="X30" s="10">
        <v>23.13</v>
      </c>
      <c r="Y30" s="10">
        <v>23.32</v>
      </c>
      <c r="Z30" s="10">
        <v>22.29</v>
      </c>
      <c r="AA30" s="10">
        <v>22.63</v>
      </c>
      <c r="AB30" s="95">
        <v>6960800</v>
      </c>
      <c r="AC30" s="10">
        <v>22.63</v>
      </c>
      <c r="AD30" s="2">
        <f t="shared" si="2"/>
        <v>1.0300000000000011</v>
      </c>
      <c r="AE30" s="138">
        <f t="shared" si="3"/>
        <v>-2.582866982350418E-2</v>
      </c>
    </row>
    <row r="31" spans="1:31" x14ac:dyDescent="0.25">
      <c r="B31" s="157">
        <v>42562</v>
      </c>
      <c r="C31" s="10">
        <v>100</v>
      </c>
      <c r="D31" s="40">
        <v>25.25</v>
      </c>
      <c r="E31" s="40">
        <v>24.67</v>
      </c>
      <c r="F31" s="40">
        <f t="shared" ref="F31" si="23">C31*(E31-D31)</f>
        <v>-57.999999999999829</v>
      </c>
      <c r="G31" s="40">
        <f t="shared" ref="G31" si="24">D31*C31</f>
        <v>2525</v>
      </c>
      <c r="H31" s="231">
        <f t="shared" ref="H31" si="25">(E31-D31)/D31</f>
        <v>-2.2970297029702904E-2</v>
      </c>
      <c r="I31" s="40"/>
      <c r="W31" s="133">
        <v>42635</v>
      </c>
      <c r="X31" s="10">
        <v>23.17</v>
      </c>
      <c r="Y31" s="10">
        <v>23.71</v>
      </c>
      <c r="Z31" s="10">
        <v>23.13</v>
      </c>
      <c r="AA31" s="10">
        <v>23.23</v>
      </c>
      <c r="AB31" s="95">
        <v>4750500</v>
      </c>
      <c r="AC31" s="10">
        <v>23.23</v>
      </c>
      <c r="AD31" s="2">
        <f t="shared" si="2"/>
        <v>0.58000000000000185</v>
      </c>
      <c r="AE31" s="138">
        <f t="shared" si="3"/>
        <v>8.6843247937471446E-3</v>
      </c>
    </row>
    <row r="32" spans="1:31" x14ac:dyDescent="0.25">
      <c r="B32" s="157">
        <v>42563</v>
      </c>
      <c r="C32" s="10">
        <v>100</v>
      </c>
      <c r="D32" s="40">
        <v>25.25</v>
      </c>
      <c r="E32" s="40">
        <v>26.03</v>
      </c>
      <c r="F32" s="40">
        <f t="shared" ref="F32:F33" si="26">C32*(E32-D32)</f>
        <v>78.000000000000114</v>
      </c>
      <c r="G32" s="40">
        <f t="shared" ref="G32:G33" si="27">D32*C32</f>
        <v>2525</v>
      </c>
      <c r="H32" s="231">
        <f t="shared" ref="H32:H33" si="28">(E32-D32)/D32</f>
        <v>3.0891089108910936E-2</v>
      </c>
      <c r="I32" s="40"/>
      <c r="W32" s="133">
        <v>42634</v>
      </c>
      <c r="X32" s="10">
        <v>23.62</v>
      </c>
      <c r="Y32" s="10">
        <v>23.85</v>
      </c>
      <c r="Z32" s="10">
        <v>22.88</v>
      </c>
      <c r="AA32" s="10">
        <v>23.03</v>
      </c>
      <c r="AB32" s="95">
        <v>8173500</v>
      </c>
      <c r="AC32" s="10">
        <v>23.03</v>
      </c>
      <c r="AD32" s="2">
        <f t="shared" si="2"/>
        <v>0.97000000000000242</v>
      </c>
      <c r="AE32" s="138">
        <f t="shared" si="3"/>
        <v>-1.1587982832617971E-2</v>
      </c>
    </row>
    <row r="33" spans="2:31" x14ac:dyDescent="0.25">
      <c r="B33" s="157">
        <v>42569</v>
      </c>
      <c r="C33" s="10">
        <v>100</v>
      </c>
      <c r="D33" s="40">
        <v>25.25</v>
      </c>
      <c r="E33" s="40">
        <v>27.69</v>
      </c>
      <c r="F33" s="40">
        <f t="shared" si="26"/>
        <v>244.00000000000011</v>
      </c>
      <c r="G33" s="40">
        <f t="shared" si="27"/>
        <v>2525</v>
      </c>
      <c r="H33" s="231">
        <f t="shared" si="28"/>
        <v>9.6633663366336678E-2</v>
      </c>
      <c r="I33" s="236">
        <v>23</v>
      </c>
      <c r="W33" s="133">
        <v>42633</v>
      </c>
      <c r="X33" s="10">
        <v>23.85</v>
      </c>
      <c r="Y33" s="10">
        <v>23.85</v>
      </c>
      <c r="Z33" s="10">
        <v>23.14</v>
      </c>
      <c r="AA33" s="10">
        <v>23.3</v>
      </c>
      <c r="AB33" s="95">
        <v>5300100</v>
      </c>
      <c r="AC33" s="10">
        <v>23.3</v>
      </c>
      <c r="AD33" s="2">
        <f t="shared" si="2"/>
        <v>0.71000000000000085</v>
      </c>
      <c r="AE33" s="138">
        <f t="shared" si="3"/>
        <v>-1.6047297297297258E-2</v>
      </c>
    </row>
    <row r="34" spans="2:31" x14ac:dyDescent="0.25">
      <c r="B34" s="157">
        <v>42570</v>
      </c>
      <c r="C34" s="10">
        <v>100</v>
      </c>
      <c r="D34" s="40">
        <v>25.25</v>
      </c>
      <c r="E34" s="40">
        <v>26.55</v>
      </c>
      <c r="F34" s="40">
        <f t="shared" ref="F34" si="29">C34*(E34-D34)</f>
        <v>130.00000000000006</v>
      </c>
      <c r="G34" s="40">
        <f t="shared" ref="G34" si="30">D34*C34</f>
        <v>2525</v>
      </c>
      <c r="H34" s="231">
        <f t="shared" ref="H34" si="31">(E34-D34)/D34</f>
        <v>5.148514851485151E-2</v>
      </c>
      <c r="I34" s="40"/>
      <c r="W34" s="133">
        <v>42632</v>
      </c>
      <c r="X34" s="10">
        <v>24.16</v>
      </c>
      <c r="Y34" s="10">
        <v>24.29</v>
      </c>
      <c r="Z34" s="10">
        <v>23.65</v>
      </c>
      <c r="AA34" s="10">
        <v>23.68</v>
      </c>
      <c r="AB34" s="95">
        <v>3471200</v>
      </c>
      <c r="AC34" s="10">
        <v>23.68</v>
      </c>
      <c r="AD34" s="2">
        <f t="shared" si="2"/>
        <v>0.64000000000000057</v>
      </c>
      <c r="AE34" s="138">
        <f t="shared" si="3"/>
        <v>-1.4154870940882636E-2</v>
      </c>
    </row>
    <row r="35" spans="2:31" x14ac:dyDescent="0.25">
      <c r="B35" s="157">
        <v>42571</v>
      </c>
      <c r="C35" s="10">
        <v>100</v>
      </c>
      <c r="D35" s="40">
        <v>25.25</v>
      </c>
      <c r="E35" s="40">
        <v>26.61</v>
      </c>
      <c r="F35" s="40">
        <f t="shared" ref="F35" si="32">C35*(E35-D35)</f>
        <v>135.99999999999994</v>
      </c>
      <c r="G35" s="40">
        <f t="shared" ref="G35" si="33">D35*C35</f>
        <v>2525</v>
      </c>
      <c r="H35" s="231">
        <f t="shared" ref="H35" si="34">(E35-D35)/D35</f>
        <v>5.386138613861384E-2</v>
      </c>
      <c r="I35" s="40"/>
      <c r="W35" s="133">
        <v>42629</v>
      </c>
      <c r="X35" s="10">
        <v>23.74</v>
      </c>
      <c r="Y35" s="10">
        <v>24.2</v>
      </c>
      <c r="Z35" s="10">
        <v>23.72</v>
      </c>
      <c r="AA35" s="10">
        <v>24.02</v>
      </c>
      <c r="AB35" s="95">
        <v>3944100</v>
      </c>
      <c r="AC35" s="10">
        <v>24.02</v>
      </c>
      <c r="AD35" s="2">
        <f t="shared" si="2"/>
        <v>0.48000000000000043</v>
      </c>
      <c r="AE35" s="138">
        <f t="shared" si="3"/>
        <v>-2.9057700290576749E-3</v>
      </c>
    </row>
    <row r="36" spans="2:31" x14ac:dyDescent="0.25">
      <c r="B36" s="157">
        <v>42572</v>
      </c>
      <c r="C36" s="10">
        <v>100</v>
      </c>
      <c r="D36" s="40">
        <v>25.25</v>
      </c>
      <c r="E36" s="40">
        <v>26.29</v>
      </c>
      <c r="F36" s="40">
        <f t="shared" ref="F36" si="35">C36*(E36-D36)</f>
        <v>103.99999999999991</v>
      </c>
      <c r="G36" s="40">
        <f t="shared" ref="G36" si="36">D36*C36</f>
        <v>2525</v>
      </c>
      <c r="H36" s="231">
        <f t="shared" ref="H36" si="37">(E36-D36)/D36</f>
        <v>4.1188118811881155E-2</v>
      </c>
      <c r="I36" s="40"/>
      <c r="W36" s="133">
        <v>42628</v>
      </c>
      <c r="X36" s="10">
        <v>23.94</v>
      </c>
      <c r="Y36" s="10">
        <v>24.4</v>
      </c>
      <c r="Z36" s="10">
        <v>23.57</v>
      </c>
      <c r="AA36" s="10">
        <v>24.09</v>
      </c>
      <c r="AB36" s="95">
        <v>5359100</v>
      </c>
      <c r="AC36" s="10">
        <v>24.09</v>
      </c>
      <c r="AD36" s="2">
        <f t="shared" si="2"/>
        <v>0.82999999999999829</v>
      </c>
      <c r="AE36" s="138">
        <f t="shared" si="3"/>
        <v>2.4968789013732895E-3</v>
      </c>
    </row>
    <row r="37" spans="2:31" x14ac:dyDescent="0.25">
      <c r="B37" s="157">
        <v>42575</v>
      </c>
      <c r="C37" s="10">
        <v>100</v>
      </c>
      <c r="D37" s="40">
        <v>25.25</v>
      </c>
      <c r="E37" s="40">
        <v>25.18</v>
      </c>
      <c r="F37" s="40">
        <f t="shared" ref="F37" si="38">C37*(E37-D37)</f>
        <v>-7.0000000000000284</v>
      </c>
      <c r="G37" s="40">
        <f t="shared" ref="G37" si="39">D37*C37</f>
        <v>2525</v>
      </c>
      <c r="H37" s="231">
        <f t="shared" ref="H37" si="40">(E37-D37)/D37</f>
        <v>-2.7722772277227834E-3</v>
      </c>
      <c r="I37" s="40"/>
      <c r="W37" s="133">
        <v>42627</v>
      </c>
      <c r="X37" s="10">
        <v>24.07</v>
      </c>
      <c r="Y37" s="10">
        <v>24.15</v>
      </c>
      <c r="Z37" s="10">
        <v>23.35</v>
      </c>
      <c r="AA37" s="10">
        <v>24.03</v>
      </c>
      <c r="AB37" s="95">
        <v>6467400</v>
      </c>
      <c r="AC37" s="10">
        <v>24.03</v>
      </c>
      <c r="AD37" s="2">
        <f t="shared" si="2"/>
        <v>0.79999999999999716</v>
      </c>
      <c r="AE37" s="138">
        <f t="shared" si="3"/>
        <v>8.3298625572680862E-4</v>
      </c>
    </row>
    <row r="38" spans="2:31" x14ac:dyDescent="0.25">
      <c r="B38" s="157">
        <v>42576</v>
      </c>
      <c r="C38" s="10">
        <v>100</v>
      </c>
      <c r="D38" s="40">
        <v>25.25</v>
      </c>
      <c r="E38" s="40">
        <v>25.33</v>
      </c>
      <c r="F38" s="40">
        <f t="shared" ref="F38:F44" si="41">C38*(E38-D38)</f>
        <v>7.9999999999998295</v>
      </c>
      <c r="G38" s="40">
        <f t="shared" ref="G38:G44" si="42">D38*C38</f>
        <v>2525</v>
      </c>
      <c r="H38" s="231">
        <f t="shared" ref="H38:H44" si="43">(E38-D38)/D38</f>
        <v>3.1683168316831009E-3</v>
      </c>
      <c r="I38" s="40"/>
      <c r="W38" s="133">
        <v>42626</v>
      </c>
      <c r="X38" s="10">
        <v>25</v>
      </c>
      <c r="Y38" s="10">
        <v>25</v>
      </c>
      <c r="Z38" s="10">
        <v>23.66</v>
      </c>
      <c r="AA38" s="10">
        <v>24.01</v>
      </c>
      <c r="AB38" s="95">
        <v>6289300</v>
      </c>
      <c r="AC38" s="10">
        <v>24.01</v>
      </c>
      <c r="AD38" s="2">
        <f t="shared" si="2"/>
        <v>1.3399999999999999</v>
      </c>
      <c r="AE38" s="138">
        <f t="shared" si="3"/>
        <v>-5.8800470403763239E-2</v>
      </c>
    </row>
    <row r="39" spans="2:31" x14ac:dyDescent="0.25">
      <c r="B39" s="157">
        <v>42577</v>
      </c>
      <c r="C39" s="10">
        <v>70</v>
      </c>
      <c r="D39" s="40">
        <v>25.010300000000001</v>
      </c>
      <c r="E39" s="40">
        <v>25.8</v>
      </c>
      <c r="F39" s="40">
        <f t="shared" si="41"/>
        <v>55.278999999999989</v>
      </c>
      <c r="G39" s="40">
        <f t="shared" si="42"/>
        <v>1750.721</v>
      </c>
      <c r="H39" s="231">
        <f t="shared" si="43"/>
        <v>3.1574991103665281E-2</v>
      </c>
      <c r="I39" s="40"/>
      <c r="W39" s="133">
        <v>42625</v>
      </c>
      <c r="X39" s="10">
        <v>24.92</v>
      </c>
      <c r="Y39" s="10">
        <v>25.66</v>
      </c>
      <c r="Z39" s="10">
        <v>24.7</v>
      </c>
      <c r="AA39" s="10">
        <v>25.51</v>
      </c>
      <c r="AB39" s="95">
        <v>4649100</v>
      </c>
      <c r="AC39" s="10">
        <v>25.51</v>
      </c>
      <c r="AD39" s="2">
        <f t="shared" si="2"/>
        <v>0.96000000000000085</v>
      </c>
      <c r="AE39" s="138">
        <f t="shared" si="3"/>
        <v>2.0399999999999974E-2</v>
      </c>
    </row>
    <row r="40" spans="2:31" ht="20.25" thickBot="1" x14ac:dyDescent="0.35">
      <c r="B40" s="157">
        <v>42580</v>
      </c>
      <c r="C40" s="237">
        <v>100</v>
      </c>
      <c r="D40" s="238">
        <v>24.641200000000001</v>
      </c>
      <c r="E40" s="40">
        <v>24.68</v>
      </c>
      <c r="F40" s="40">
        <f t="shared" si="41"/>
        <v>3.8799999999998391</v>
      </c>
      <c r="G40" s="40">
        <f t="shared" si="42"/>
        <v>2464.1200000000003</v>
      </c>
      <c r="H40" s="231">
        <f t="shared" si="43"/>
        <v>1.5745986396765738E-3</v>
      </c>
      <c r="I40" s="40"/>
      <c r="O40" s="588" t="s">
        <v>78</v>
      </c>
      <c r="P40" s="588"/>
      <c r="W40" s="133">
        <v>42622</v>
      </c>
      <c r="X40" s="10">
        <v>25.72</v>
      </c>
      <c r="Y40" s="10">
        <v>25.93</v>
      </c>
      <c r="Z40" s="10">
        <v>25</v>
      </c>
      <c r="AA40" s="10">
        <v>25</v>
      </c>
      <c r="AB40" s="95">
        <v>4990700</v>
      </c>
      <c r="AC40" s="10">
        <v>25</v>
      </c>
      <c r="AD40" s="2">
        <f t="shared" si="2"/>
        <v>0.92999999999999972</v>
      </c>
      <c r="AE40" s="138">
        <f t="shared" si="3"/>
        <v>-3.6979969183358996E-2</v>
      </c>
    </row>
    <row r="41" spans="2:31" ht="15.75" thickTop="1" x14ac:dyDescent="0.25">
      <c r="B41" s="157">
        <v>42585</v>
      </c>
      <c r="C41" s="10">
        <v>100</v>
      </c>
      <c r="D41" s="40">
        <v>24.641200000000001</v>
      </c>
      <c r="E41" s="40">
        <v>24.49</v>
      </c>
      <c r="F41" s="40">
        <f t="shared" si="41"/>
        <v>-15.120000000000289</v>
      </c>
      <c r="G41" s="40">
        <f t="shared" si="42"/>
        <v>2464.1200000000003</v>
      </c>
      <c r="H41" s="231">
        <f t="shared" si="43"/>
        <v>-6.1360648020389787E-3</v>
      </c>
      <c r="I41" s="40"/>
      <c r="O41" s="83">
        <v>1.1000000000000001</v>
      </c>
      <c r="P41" s="83">
        <f>O41*$Q$4</f>
        <v>27.17</v>
      </c>
      <c r="Q41" s="2"/>
      <c r="W41" s="133">
        <v>42621</v>
      </c>
      <c r="X41" s="10">
        <v>25.4</v>
      </c>
      <c r="Y41" s="10">
        <v>26.47</v>
      </c>
      <c r="Z41" s="10">
        <v>25.39</v>
      </c>
      <c r="AA41" s="10">
        <v>25.96</v>
      </c>
      <c r="AB41" s="95">
        <v>5459500</v>
      </c>
      <c r="AC41" s="10">
        <v>25.96</v>
      </c>
      <c r="AD41" s="2">
        <f t="shared" si="2"/>
        <v>1.0799999999999983</v>
      </c>
      <c r="AE41" s="138">
        <f t="shared" si="3"/>
        <v>1.684292988640812E-2</v>
      </c>
    </row>
    <row r="42" spans="2:31" ht="20.25" thickBot="1" x14ac:dyDescent="0.35">
      <c r="B42" s="157">
        <v>42586</v>
      </c>
      <c r="C42" s="7">
        <v>200</v>
      </c>
      <c r="D42" s="44">
        <v>23.6431</v>
      </c>
      <c r="E42" s="40">
        <v>21.43</v>
      </c>
      <c r="F42" s="40">
        <f t="shared" si="41"/>
        <v>-442.62000000000012</v>
      </c>
      <c r="G42" s="40">
        <f t="shared" si="42"/>
        <v>4728.62</v>
      </c>
      <c r="H42" s="231">
        <f t="shared" si="43"/>
        <v>-9.360447657033133E-2</v>
      </c>
      <c r="I42" s="40"/>
      <c r="O42" s="83">
        <v>1.0900000000000001</v>
      </c>
      <c r="P42" s="83">
        <f t="shared" ref="P42:P61" si="44">O42*$Q$4</f>
        <v>26.923000000000002</v>
      </c>
      <c r="Q42" s="2"/>
      <c r="T42" s="91" t="s">
        <v>113</v>
      </c>
      <c r="W42" s="133">
        <v>42620</v>
      </c>
      <c r="X42" s="10">
        <v>25.73</v>
      </c>
      <c r="Y42" s="10">
        <v>26.13</v>
      </c>
      <c r="Z42" s="10">
        <v>25.28</v>
      </c>
      <c r="AA42" s="10">
        <v>25.53</v>
      </c>
      <c r="AB42" s="95">
        <v>3876500</v>
      </c>
      <c r="AC42" s="10">
        <v>25.53</v>
      </c>
      <c r="AD42" s="2">
        <f t="shared" si="2"/>
        <v>0.84999999999999787</v>
      </c>
      <c r="AE42" s="138">
        <f t="shared" si="3"/>
        <v>-4.6783625730992817E-3</v>
      </c>
    </row>
    <row r="43" spans="2:31" ht="15.75" thickTop="1" x14ac:dyDescent="0.25">
      <c r="B43" s="157">
        <v>42586</v>
      </c>
      <c r="C43" s="10">
        <v>300</v>
      </c>
      <c r="D43" s="40">
        <v>22.735399999999998</v>
      </c>
      <c r="E43" s="40">
        <v>21.43</v>
      </c>
      <c r="F43" s="40">
        <f t="shared" si="41"/>
        <v>-391.61999999999966</v>
      </c>
      <c r="G43" s="40">
        <f t="shared" si="42"/>
        <v>6820.62</v>
      </c>
      <c r="H43" s="231">
        <f t="shared" si="43"/>
        <v>-5.7417067656605945E-2</v>
      </c>
      <c r="I43" s="40"/>
      <c r="O43" s="83">
        <v>1.08</v>
      </c>
      <c r="P43" s="83">
        <f t="shared" si="44"/>
        <v>26.676000000000002</v>
      </c>
      <c r="Q43" s="2"/>
      <c r="T43" s="128" t="s">
        <v>98</v>
      </c>
      <c r="U43" s="129">
        <v>24.89</v>
      </c>
      <c r="W43" s="133">
        <v>42619</v>
      </c>
      <c r="X43" s="10">
        <v>25.96</v>
      </c>
      <c r="Y43" s="10">
        <v>26.16</v>
      </c>
      <c r="Z43" s="10">
        <v>25.51</v>
      </c>
      <c r="AA43" s="10">
        <v>25.65</v>
      </c>
      <c r="AB43" s="95">
        <v>3120100</v>
      </c>
      <c r="AC43" s="10">
        <v>25.65</v>
      </c>
      <c r="AD43" s="2">
        <f t="shared" si="2"/>
        <v>0.64999999999999858</v>
      </c>
      <c r="AE43" s="138">
        <f t="shared" si="3"/>
        <v>-1.117964533538951E-2</v>
      </c>
    </row>
    <row r="44" spans="2:31" x14ac:dyDescent="0.25">
      <c r="B44" s="157">
        <v>42591</v>
      </c>
      <c r="C44" s="10">
        <v>300</v>
      </c>
      <c r="D44" s="40">
        <v>22.735399999999998</v>
      </c>
      <c r="E44" s="40">
        <v>22.12</v>
      </c>
      <c r="F44" s="40">
        <f t="shared" si="41"/>
        <v>-184.61999999999927</v>
      </c>
      <c r="G44" s="40">
        <f t="shared" si="42"/>
        <v>6820.62</v>
      </c>
      <c r="H44" s="231">
        <f t="shared" si="43"/>
        <v>-2.7067920511624936E-2</v>
      </c>
      <c r="I44" s="40"/>
      <c r="O44" s="83">
        <v>1.07</v>
      </c>
      <c r="P44" s="83">
        <f t="shared" si="44"/>
        <v>26.429000000000002</v>
      </c>
      <c r="Q44" s="2"/>
      <c r="T44" s="93" t="s">
        <v>99</v>
      </c>
      <c r="U44" s="130">
        <v>24.79</v>
      </c>
      <c r="W44" s="133">
        <v>42615</v>
      </c>
      <c r="X44" s="10">
        <v>25.83</v>
      </c>
      <c r="Y44" s="10">
        <v>26.16</v>
      </c>
      <c r="Z44" s="10">
        <v>25.47</v>
      </c>
      <c r="AA44" s="10">
        <v>25.94</v>
      </c>
      <c r="AB44" s="95">
        <v>3713600</v>
      </c>
      <c r="AC44" s="10">
        <v>25.94</v>
      </c>
      <c r="AD44" s="2">
        <f t="shared" si="2"/>
        <v>0.69000000000000128</v>
      </c>
      <c r="AE44" s="138">
        <f t="shared" si="3"/>
        <v>1.3281249999999911E-2</v>
      </c>
    </row>
    <row r="45" spans="2:31" x14ac:dyDescent="0.25">
      <c r="B45" s="157">
        <v>42593</v>
      </c>
      <c r="C45" s="512">
        <v>300</v>
      </c>
      <c r="D45" s="516">
        <v>22.735399999999998</v>
      </c>
      <c r="E45" s="40">
        <v>21.57</v>
      </c>
      <c r="F45" s="40">
        <f t="shared" ref="F45:F47" si="45">C45*(E45-D45)</f>
        <v>-349.61999999999944</v>
      </c>
      <c r="G45" s="40">
        <f t="shared" ref="G45:G47" si="46">D45*C45</f>
        <v>6820.62</v>
      </c>
      <c r="H45" s="231">
        <f t="shared" ref="H45:H47" si="47">(E45-D45)/D45</f>
        <v>-5.1259269685160515E-2</v>
      </c>
      <c r="I45" s="40"/>
      <c r="O45" s="83">
        <v>1.06</v>
      </c>
      <c r="P45" s="83">
        <f t="shared" si="44"/>
        <v>26.182000000000002</v>
      </c>
      <c r="Q45" s="2"/>
      <c r="T45" s="93" t="s">
        <v>100</v>
      </c>
      <c r="U45" s="130" t="s">
        <v>606</v>
      </c>
      <c r="W45" s="133">
        <v>42614</v>
      </c>
      <c r="X45" s="10">
        <v>26.11</v>
      </c>
      <c r="Y45" s="10">
        <v>26.18</v>
      </c>
      <c r="Z45" s="10">
        <v>25.47</v>
      </c>
      <c r="AA45" s="10">
        <v>25.6</v>
      </c>
      <c r="AB45" s="95">
        <v>4141100</v>
      </c>
      <c r="AC45" s="10">
        <v>25.6</v>
      </c>
      <c r="AD45" s="2">
        <f t="shared" si="2"/>
        <v>0.71000000000000085</v>
      </c>
      <c r="AE45" s="138">
        <f t="shared" si="3"/>
        <v>-1.538461538461533E-2</v>
      </c>
    </row>
    <row r="46" spans="2:31" x14ac:dyDescent="0.25">
      <c r="B46" s="157">
        <v>42597</v>
      </c>
      <c r="C46" s="10">
        <v>230</v>
      </c>
      <c r="D46" s="40">
        <v>22.674800000000001</v>
      </c>
      <c r="E46" s="40">
        <v>23.2</v>
      </c>
      <c r="F46" s="40">
        <f t="shared" si="45"/>
        <v>120.79599999999957</v>
      </c>
      <c r="G46" s="40">
        <f t="shared" si="46"/>
        <v>5215.2040000000006</v>
      </c>
      <c r="H46" s="231">
        <f t="shared" si="47"/>
        <v>2.3162277065288252E-2</v>
      </c>
      <c r="I46" s="40"/>
      <c r="O46" s="83">
        <v>1.05</v>
      </c>
      <c r="P46" s="83">
        <f t="shared" si="44"/>
        <v>25.934999999999999</v>
      </c>
      <c r="Q46" s="2"/>
      <c r="T46" s="93" t="s">
        <v>101</v>
      </c>
      <c r="U46" s="130" t="s">
        <v>607</v>
      </c>
      <c r="W46" s="133">
        <v>42613</v>
      </c>
      <c r="X46" s="10">
        <v>25.97</v>
      </c>
      <c r="Y46" s="10">
        <v>26.75</v>
      </c>
      <c r="Z46" s="10">
        <v>25.68</v>
      </c>
      <c r="AA46" s="10">
        <v>26</v>
      </c>
      <c r="AB46" s="95">
        <v>8891500</v>
      </c>
      <c r="AC46" s="10">
        <v>26</v>
      </c>
      <c r="AD46" s="2">
        <f t="shared" si="2"/>
        <v>1.0700000000000003</v>
      </c>
      <c r="AE46" s="138">
        <f t="shared" si="3"/>
        <v>-6.4959877722583492E-3</v>
      </c>
    </row>
    <row r="47" spans="2:31" x14ac:dyDescent="0.25">
      <c r="B47" s="157">
        <v>42599</v>
      </c>
      <c r="C47" s="7">
        <v>200</v>
      </c>
      <c r="D47" s="44">
        <v>22.554099999999998</v>
      </c>
      <c r="E47" s="40">
        <v>23.31</v>
      </c>
      <c r="F47" s="40">
        <f t="shared" si="45"/>
        <v>151.18000000000009</v>
      </c>
      <c r="G47" s="40">
        <f t="shared" si="46"/>
        <v>4510.82</v>
      </c>
      <c r="H47" s="231">
        <f t="shared" si="47"/>
        <v>3.3514970670521123E-2</v>
      </c>
      <c r="I47" s="44">
        <v>22</v>
      </c>
      <c r="O47" s="83">
        <v>1.04</v>
      </c>
      <c r="P47" s="83">
        <f t="shared" si="44"/>
        <v>25.687999999999999</v>
      </c>
      <c r="Q47" s="2"/>
      <c r="T47" s="93" t="s">
        <v>102</v>
      </c>
      <c r="U47" s="130">
        <v>25.8</v>
      </c>
      <c r="W47" s="133">
        <v>42612</v>
      </c>
      <c r="X47" s="10">
        <v>24.98</v>
      </c>
      <c r="Y47" s="10">
        <v>26.73</v>
      </c>
      <c r="Z47" s="10">
        <v>24.88</v>
      </c>
      <c r="AA47" s="10">
        <v>26.17</v>
      </c>
      <c r="AB47" s="95">
        <v>13912700</v>
      </c>
      <c r="AC47" s="10">
        <v>26.17</v>
      </c>
      <c r="AD47" s="2">
        <f t="shared" si="2"/>
        <v>1.8500000000000014</v>
      </c>
      <c r="AE47" s="138">
        <f t="shared" si="3"/>
        <v>4.7638110488390728E-2</v>
      </c>
    </row>
    <row r="48" spans="2:31" x14ac:dyDescent="0.25">
      <c r="B48" s="157">
        <v>42600</v>
      </c>
      <c r="C48" s="10">
        <v>200</v>
      </c>
      <c r="D48" s="40">
        <v>22.554099999999998</v>
      </c>
      <c r="E48" s="40">
        <v>22.74</v>
      </c>
      <c r="F48" s="40">
        <f t="shared" ref="F48" si="48">C48*(E48-D48)</f>
        <v>37.180000000000035</v>
      </c>
      <c r="G48" s="40">
        <f t="shared" ref="G48" si="49">D48*C48</f>
        <v>4510.82</v>
      </c>
      <c r="H48" s="231">
        <f t="shared" ref="H48" si="50">(E48-D48)/D48</f>
        <v>8.2424038201480074E-3</v>
      </c>
      <c r="I48" s="40"/>
      <c r="O48" s="83">
        <v>1.03</v>
      </c>
      <c r="P48" s="83">
        <f t="shared" si="44"/>
        <v>25.440999999999999</v>
      </c>
      <c r="Q48" s="2"/>
      <c r="T48" s="93" t="s">
        <v>103</v>
      </c>
      <c r="U48" s="130">
        <v>0.79518</v>
      </c>
      <c r="W48" s="133">
        <v>42611</v>
      </c>
      <c r="X48" s="10">
        <v>24.45</v>
      </c>
      <c r="Y48" s="10">
        <v>25.11</v>
      </c>
      <c r="Z48" s="10">
        <v>24.35</v>
      </c>
      <c r="AA48" s="10">
        <v>24.98</v>
      </c>
      <c r="AB48" s="95">
        <v>4905700</v>
      </c>
      <c r="AC48" s="10">
        <v>24.98</v>
      </c>
      <c r="AD48" s="2">
        <f t="shared" si="2"/>
        <v>0.75999999999999801</v>
      </c>
      <c r="AE48" s="138">
        <f t="shared" si="3"/>
        <v>4.1701417848206912E-2</v>
      </c>
    </row>
    <row r="49" spans="2:31" x14ac:dyDescent="0.25">
      <c r="B49" s="157">
        <v>42601</v>
      </c>
      <c r="C49" s="10">
        <v>200</v>
      </c>
      <c r="D49" s="40">
        <v>22.554099999999998</v>
      </c>
      <c r="E49" s="40">
        <v>23.02</v>
      </c>
      <c r="F49" s="40">
        <f t="shared" ref="F49" si="51">C49*(E49-D49)</f>
        <v>93.180000000000263</v>
      </c>
      <c r="G49" s="40">
        <f t="shared" ref="G49" si="52">D49*C49</f>
        <v>4510.82</v>
      </c>
      <c r="H49" s="231">
        <f t="shared" ref="H49" si="53">(E49-D49)/D49</f>
        <v>2.06569980624366E-2</v>
      </c>
      <c r="I49" s="40"/>
      <c r="O49" s="83">
        <v>1.02</v>
      </c>
      <c r="P49" s="83">
        <f t="shared" si="44"/>
        <v>25.193999999999999</v>
      </c>
      <c r="Q49" s="2"/>
      <c r="T49" s="93" t="s">
        <v>104</v>
      </c>
      <c r="U49" s="130" t="s">
        <v>388</v>
      </c>
      <c r="W49" s="133">
        <v>42608</v>
      </c>
      <c r="X49" s="10">
        <v>24.56</v>
      </c>
      <c r="Y49" s="10">
        <v>24.8</v>
      </c>
      <c r="Z49" s="10">
        <v>23.88</v>
      </c>
      <c r="AA49" s="10">
        <v>23.98</v>
      </c>
      <c r="AB49" s="95">
        <v>5168800</v>
      </c>
      <c r="AC49" s="10">
        <v>23.98</v>
      </c>
      <c r="AD49" s="2">
        <f t="shared" si="2"/>
        <v>0.92000000000000171</v>
      </c>
      <c r="AE49" s="138">
        <f t="shared" si="3"/>
        <v>-1.0317787866281458E-2</v>
      </c>
    </row>
    <row r="50" spans="2:31" x14ac:dyDescent="0.25">
      <c r="B50" s="157">
        <v>42604</v>
      </c>
      <c r="C50" s="10">
        <v>200</v>
      </c>
      <c r="D50" s="40">
        <v>22.554099999999998</v>
      </c>
      <c r="E50" s="40">
        <v>23.69</v>
      </c>
      <c r="F50" s="40">
        <f t="shared" ref="F50" si="54">C50*(E50-D50)</f>
        <v>227.1800000000006</v>
      </c>
      <c r="G50" s="40">
        <f t="shared" ref="G50" si="55">D50*C50</f>
        <v>4510.82</v>
      </c>
      <c r="H50" s="231">
        <f t="shared" ref="H50" si="56">(E50-D50)/D50</f>
        <v>5.0363348570769975E-2</v>
      </c>
      <c r="I50" s="40"/>
      <c r="O50" s="83">
        <v>1.01</v>
      </c>
      <c r="P50" s="83">
        <f t="shared" si="44"/>
        <v>24.946999999999999</v>
      </c>
      <c r="Q50" s="2"/>
      <c r="T50" s="93"/>
      <c r="U50" s="130"/>
      <c r="W50" s="133">
        <v>42607</v>
      </c>
      <c r="X50" s="10">
        <v>23.94</v>
      </c>
      <c r="Y50" s="10">
        <v>24.59</v>
      </c>
      <c r="Z50" s="10">
        <v>23.94</v>
      </c>
      <c r="AA50" s="10">
        <v>24.23</v>
      </c>
      <c r="AB50" s="95">
        <v>4955300</v>
      </c>
      <c r="AC50" s="10">
        <v>24.23</v>
      </c>
      <c r="AD50" s="2">
        <f t="shared" si="2"/>
        <v>0.64999999999999858</v>
      </c>
      <c r="AE50" s="138">
        <f t="shared" si="3"/>
        <v>7.9034941763727051E-3</v>
      </c>
    </row>
    <row r="51" spans="2:31" x14ac:dyDescent="0.25">
      <c r="B51" s="157">
        <v>42605</v>
      </c>
      <c r="C51" s="10">
        <v>200</v>
      </c>
      <c r="D51" s="40">
        <v>22.554099999999998</v>
      </c>
      <c r="E51" s="40">
        <v>24.83</v>
      </c>
      <c r="F51" s="40">
        <f t="shared" ref="F51" si="57">C51*(E51-D51)</f>
        <v>455.18</v>
      </c>
      <c r="G51" s="40">
        <f t="shared" ref="G51" si="58">D51*C51</f>
        <v>4510.82</v>
      </c>
      <c r="H51" s="231">
        <f t="shared" ref="H51" si="59">(E51-D51)/D51</f>
        <v>0.10090848227151605</v>
      </c>
      <c r="I51" s="40"/>
      <c r="O51" s="83">
        <v>1</v>
      </c>
      <c r="P51" s="83">
        <f t="shared" si="44"/>
        <v>24.7</v>
      </c>
      <c r="Q51" s="2"/>
      <c r="T51" s="93" t="s">
        <v>105</v>
      </c>
      <c r="U51" s="130" t="s">
        <v>608</v>
      </c>
      <c r="W51" s="133">
        <v>42606</v>
      </c>
      <c r="X51" s="10">
        <v>24.93</v>
      </c>
      <c r="Y51" s="10">
        <v>24.95</v>
      </c>
      <c r="Z51" s="10">
        <v>23.97</v>
      </c>
      <c r="AA51" s="10">
        <v>24.04</v>
      </c>
      <c r="AB51" s="95">
        <v>6321200</v>
      </c>
      <c r="AC51" s="10">
        <v>24.04</v>
      </c>
      <c r="AD51" s="2">
        <f t="shared" si="2"/>
        <v>0.98000000000000043</v>
      </c>
      <c r="AE51" s="138">
        <f t="shared" si="3"/>
        <v>-3.1816351188078906E-2</v>
      </c>
    </row>
    <row r="52" spans="2:31" x14ac:dyDescent="0.25">
      <c r="B52" s="157">
        <v>42606</v>
      </c>
      <c r="C52" s="10">
        <v>200</v>
      </c>
      <c r="D52" s="40">
        <v>22.554099999999998</v>
      </c>
      <c r="E52" s="40">
        <v>24.04</v>
      </c>
      <c r="F52" s="40">
        <f t="shared" ref="F52" si="60">C52*(E52-D52)</f>
        <v>297.18000000000018</v>
      </c>
      <c r="G52" s="40">
        <f t="shared" ref="G52" si="61">D52*C52</f>
        <v>4510.82</v>
      </c>
      <c r="H52" s="231">
        <f t="shared" ref="H52" si="62">(E52-D52)/D52</f>
        <v>6.588159137363056E-2</v>
      </c>
      <c r="I52" s="40"/>
      <c r="O52" s="83">
        <v>0.99</v>
      </c>
      <c r="P52" s="83">
        <f t="shared" si="44"/>
        <v>24.452999999999999</v>
      </c>
      <c r="Q52" s="2"/>
      <c r="T52" s="93" t="s">
        <v>106</v>
      </c>
      <c r="U52" s="130" t="s">
        <v>609</v>
      </c>
      <c r="W52" s="133">
        <v>42605</v>
      </c>
      <c r="X52" s="10">
        <v>24.39</v>
      </c>
      <c r="Y52" s="10">
        <v>25.55</v>
      </c>
      <c r="Z52" s="10">
        <v>24.36</v>
      </c>
      <c r="AA52" s="10">
        <v>24.83</v>
      </c>
      <c r="AB52" s="95">
        <v>7825300</v>
      </c>
      <c r="AC52" s="10">
        <v>24.83</v>
      </c>
      <c r="AD52" s="2">
        <f t="shared" si="2"/>
        <v>1.1900000000000013</v>
      </c>
      <c r="AE52" s="138">
        <f t="shared" si="3"/>
        <v>4.8121570282819714E-2</v>
      </c>
    </row>
    <row r="53" spans="2:31" x14ac:dyDescent="0.25">
      <c r="B53" s="157">
        <v>42607</v>
      </c>
      <c r="C53" s="10">
        <v>200</v>
      </c>
      <c r="D53" s="40">
        <v>22.554099999999998</v>
      </c>
      <c r="E53" s="40">
        <v>24.23</v>
      </c>
      <c r="F53" s="40">
        <f t="shared" ref="F53" si="63">C53*(E53-D53)</f>
        <v>335.1800000000004</v>
      </c>
      <c r="G53" s="40">
        <f t="shared" ref="G53" si="64">D53*C53</f>
        <v>4510.82</v>
      </c>
      <c r="H53" s="231">
        <f t="shared" ref="H53" si="65">(E53-D53)/D53</f>
        <v>7.4305780323754983E-2</v>
      </c>
      <c r="I53" s="40"/>
      <c r="O53" s="83">
        <v>0.98</v>
      </c>
      <c r="P53" s="83">
        <f t="shared" si="44"/>
        <v>24.206</v>
      </c>
      <c r="Q53" s="2"/>
      <c r="T53" s="93" t="s">
        <v>107</v>
      </c>
      <c r="U53" s="131">
        <v>5569344</v>
      </c>
      <c r="W53" s="133">
        <v>42604</v>
      </c>
      <c r="X53" s="10">
        <v>23.03</v>
      </c>
      <c r="Y53" s="10">
        <v>23.72</v>
      </c>
      <c r="Z53" s="10">
        <v>22.8</v>
      </c>
      <c r="AA53" s="10">
        <v>23.69</v>
      </c>
      <c r="AB53" s="95">
        <v>3705700</v>
      </c>
      <c r="AC53" s="10">
        <v>23.69</v>
      </c>
      <c r="AD53" s="2">
        <f t="shared" si="2"/>
        <v>0.91999999999999815</v>
      </c>
      <c r="AE53" s="138">
        <f t="shared" si="3"/>
        <v>2.9105125977411106E-2</v>
      </c>
    </row>
    <row r="54" spans="2:31" x14ac:dyDescent="0.25">
      <c r="B54" s="157">
        <v>42608</v>
      </c>
      <c r="C54" s="10">
        <v>200</v>
      </c>
      <c r="D54" s="40">
        <v>22.554099999999998</v>
      </c>
      <c r="E54" s="40">
        <v>23.98</v>
      </c>
      <c r="F54" s="40">
        <f t="shared" ref="F54" si="66">C54*(E54-D54)</f>
        <v>285.1800000000004</v>
      </c>
      <c r="G54" s="40">
        <f t="shared" ref="G54" si="67">D54*C54</f>
        <v>4510.82</v>
      </c>
      <c r="H54" s="231">
        <f t="shared" ref="H54" si="68">(E54-D54)/D54</f>
        <v>6.3221321178854498E-2</v>
      </c>
      <c r="I54" s="40"/>
      <c r="O54" s="83">
        <v>0.97</v>
      </c>
      <c r="P54" s="83">
        <f t="shared" si="44"/>
        <v>23.959</v>
      </c>
      <c r="T54" s="93" t="s">
        <v>110</v>
      </c>
      <c r="U54" s="131">
        <v>5880650</v>
      </c>
      <c r="W54" s="133">
        <v>42601</v>
      </c>
      <c r="X54" s="10">
        <v>22.54</v>
      </c>
      <c r="Y54" s="10">
        <v>23.17</v>
      </c>
      <c r="Z54" s="10">
        <v>22.33</v>
      </c>
      <c r="AA54" s="10">
        <v>23.02</v>
      </c>
      <c r="AB54" s="95">
        <v>5068300</v>
      </c>
      <c r="AC54" s="10">
        <v>23.02</v>
      </c>
      <c r="AD54" s="2">
        <f t="shared" si="2"/>
        <v>0.84000000000000341</v>
      </c>
      <c r="AE54" s="138">
        <f t="shared" si="3"/>
        <v>1.2313104661389573E-2</v>
      </c>
    </row>
    <row r="55" spans="2:31" x14ac:dyDescent="0.25">
      <c r="B55" s="157">
        <v>42611</v>
      </c>
      <c r="C55" s="10">
        <v>200</v>
      </c>
      <c r="D55" s="40">
        <v>22.554099999999998</v>
      </c>
      <c r="E55" s="40">
        <v>24.98</v>
      </c>
      <c r="F55" s="40">
        <f t="shared" ref="F55" si="69">C55*(E55-D55)</f>
        <v>485.1800000000004</v>
      </c>
      <c r="G55" s="40">
        <f t="shared" ref="G55" si="70">D55*C55</f>
        <v>4510.82</v>
      </c>
      <c r="H55" s="231">
        <f t="shared" ref="H55" si="71">(E55-D55)/D55</f>
        <v>0.10755915775845644</v>
      </c>
      <c r="I55" s="40"/>
      <c r="O55" s="83">
        <v>0.96</v>
      </c>
      <c r="P55" s="83">
        <f t="shared" si="44"/>
        <v>23.712</v>
      </c>
      <c r="T55" s="93" t="s">
        <v>108</v>
      </c>
      <c r="U55" s="130" t="s">
        <v>610</v>
      </c>
      <c r="W55" s="133">
        <v>42600</v>
      </c>
      <c r="X55" s="10">
        <v>23.27</v>
      </c>
      <c r="Y55" s="10">
        <v>23.33</v>
      </c>
      <c r="Z55" s="10">
        <v>22.58</v>
      </c>
      <c r="AA55" s="10">
        <v>22.74</v>
      </c>
      <c r="AB55" s="95">
        <v>5635100</v>
      </c>
      <c r="AC55" s="10">
        <v>22.74</v>
      </c>
      <c r="AD55" s="2">
        <f t="shared" si="2"/>
        <v>0.75</v>
      </c>
      <c r="AE55" s="138">
        <f t="shared" si="3"/>
        <v>-2.4453024453024441E-2</v>
      </c>
    </row>
    <row r="56" spans="2:31" x14ac:dyDescent="0.25">
      <c r="B56" s="157">
        <v>42612</v>
      </c>
      <c r="C56" s="10">
        <v>200</v>
      </c>
      <c r="D56" s="40">
        <v>22.554099999999998</v>
      </c>
      <c r="E56" s="40">
        <v>26.17</v>
      </c>
      <c r="F56" s="40">
        <f t="shared" ref="F56:F57" si="72">C56*(E56-D56)</f>
        <v>723.18000000000075</v>
      </c>
      <c r="G56" s="40">
        <f t="shared" ref="G56:G57" si="73">D56*C56</f>
        <v>4510.82</v>
      </c>
      <c r="H56" s="231">
        <f t="shared" ref="H56:H57" si="74">(E56-D56)/D56</f>
        <v>0.16032118328818279</v>
      </c>
      <c r="I56" s="40"/>
      <c r="O56" s="83">
        <v>0.95</v>
      </c>
      <c r="P56" s="83">
        <f t="shared" si="44"/>
        <v>23.465</v>
      </c>
      <c r="T56" s="93" t="s">
        <v>111</v>
      </c>
      <c r="U56" s="130">
        <v>30.42</v>
      </c>
      <c r="W56" s="133">
        <v>42599</v>
      </c>
      <c r="X56" s="10">
        <v>23.49</v>
      </c>
      <c r="Y56" s="10">
        <v>23.97</v>
      </c>
      <c r="Z56" s="10">
        <v>22.94</v>
      </c>
      <c r="AA56" s="10">
        <v>23.31</v>
      </c>
      <c r="AB56" s="95">
        <v>5654300</v>
      </c>
      <c r="AC56" s="10">
        <v>23.31</v>
      </c>
      <c r="AD56" s="2">
        <f t="shared" si="2"/>
        <v>1.0299999999999976</v>
      </c>
      <c r="AE56" s="138">
        <f t="shared" si="3"/>
        <v>4.7413793103447954E-3</v>
      </c>
    </row>
    <row r="57" spans="2:31" x14ac:dyDescent="0.25">
      <c r="B57" s="157">
        <v>42614</v>
      </c>
      <c r="C57" s="7">
        <v>200</v>
      </c>
      <c r="D57" s="44">
        <v>22.104099999999999</v>
      </c>
      <c r="E57" s="40">
        <v>25.6</v>
      </c>
      <c r="F57" s="40">
        <f t="shared" si="72"/>
        <v>699.18000000000052</v>
      </c>
      <c r="G57" s="40">
        <f t="shared" si="73"/>
        <v>4420.82</v>
      </c>
      <c r="H57" s="231">
        <f t="shared" si="74"/>
        <v>0.15815617917038027</v>
      </c>
      <c r="I57" s="40" t="s">
        <v>192</v>
      </c>
      <c r="O57" s="83">
        <v>0.94</v>
      </c>
      <c r="P57" s="83">
        <f t="shared" si="44"/>
        <v>23.217999999999996</v>
      </c>
      <c r="T57" s="93" t="s">
        <v>112</v>
      </c>
      <c r="U57" s="130">
        <v>0.81</v>
      </c>
      <c r="W57" s="133">
        <v>42598</v>
      </c>
      <c r="X57" s="10">
        <v>23.29</v>
      </c>
      <c r="Y57" s="10">
        <v>23.44</v>
      </c>
      <c r="Z57" s="10">
        <v>23.05</v>
      </c>
      <c r="AA57" s="10">
        <v>23.2</v>
      </c>
      <c r="AB57" s="95">
        <v>6010200</v>
      </c>
      <c r="AC57" s="10">
        <v>23.2</v>
      </c>
      <c r="AD57" s="2">
        <f t="shared" si="2"/>
        <v>0.39000000000000057</v>
      </c>
      <c r="AE57" s="138">
        <f t="shared" si="3"/>
        <v>0</v>
      </c>
    </row>
    <row r="58" spans="2:31" x14ac:dyDescent="0.25">
      <c r="B58" s="157">
        <v>42615</v>
      </c>
      <c r="C58" s="10">
        <v>200</v>
      </c>
      <c r="D58" s="40">
        <v>22.104099999999999</v>
      </c>
      <c r="E58" s="40">
        <v>25.94</v>
      </c>
      <c r="F58" s="40">
        <f t="shared" ref="F58" si="75">C58*(E58-D58)</f>
        <v>767.18000000000052</v>
      </c>
      <c r="G58" s="40">
        <f t="shared" ref="G58" si="76">D58*C58</f>
        <v>4420.82</v>
      </c>
      <c r="H58" s="231">
        <f t="shared" ref="H58" si="77">(E58-D58)/D58</f>
        <v>0.17353794092498687</v>
      </c>
      <c r="I58" s="40"/>
      <c r="O58" s="83">
        <v>0.93</v>
      </c>
      <c r="P58" s="83">
        <f t="shared" si="44"/>
        <v>22.971</v>
      </c>
      <c r="T58" s="93" t="s">
        <v>109</v>
      </c>
      <c r="U58" s="130" t="s">
        <v>447</v>
      </c>
      <c r="W58" s="133">
        <v>42597</v>
      </c>
      <c r="X58" s="10">
        <v>22.57</v>
      </c>
      <c r="Y58" s="10">
        <v>23.22</v>
      </c>
      <c r="Z58" s="10">
        <v>22.54</v>
      </c>
      <c r="AA58" s="10">
        <v>23.2</v>
      </c>
      <c r="AB58" s="95">
        <v>4954400</v>
      </c>
      <c r="AC58" s="10">
        <v>23.2</v>
      </c>
      <c r="AD58" s="2">
        <f t="shared" si="2"/>
        <v>0.67999999999999972</v>
      </c>
      <c r="AE58" s="138">
        <f t="shared" si="3"/>
        <v>3.8031319910514449E-2</v>
      </c>
    </row>
    <row r="59" spans="2:31" x14ac:dyDescent="0.25">
      <c r="B59" s="157">
        <v>42619</v>
      </c>
      <c r="C59" s="10">
        <v>200</v>
      </c>
      <c r="D59" s="40">
        <v>22.104099999999999</v>
      </c>
      <c r="E59" s="40">
        <v>25.65</v>
      </c>
      <c r="F59" s="40">
        <f t="shared" ref="F59:F60" si="78">C59*(E59-D59)</f>
        <v>709.18</v>
      </c>
      <c r="G59" s="40">
        <f t="shared" ref="G59:G60" si="79">D59*C59</f>
        <v>4420.82</v>
      </c>
      <c r="H59" s="231">
        <f t="shared" ref="H59:H60" si="80">(E59-D59)/D59</f>
        <v>0.1604182029578223</v>
      </c>
      <c r="I59" s="40"/>
      <c r="O59" s="83">
        <v>0.92</v>
      </c>
      <c r="P59" s="83">
        <f t="shared" si="44"/>
        <v>22.724</v>
      </c>
      <c r="W59" s="133">
        <v>42594</v>
      </c>
      <c r="X59" s="10">
        <v>22.22</v>
      </c>
      <c r="Y59" s="10">
        <v>22.76</v>
      </c>
      <c r="Z59" s="10">
        <v>21.99</v>
      </c>
      <c r="AA59" s="10">
        <v>22.35</v>
      </c>
      <c r="AB59" s="95">
        <v>9086300</v>
      </c>
      <c r="AC59" s="10">
        <v>22.35</v>
      </c>
      <c r="AD59" s="2">
        <f t="shared" si="2"/>
        <v>0.77000000000000313</v>
      </c>
      <c r="AE59" s="138">
        <f t="shared" si="3"/>
        <v>4.0431266846361336E-3</v>
      </c>
    </row>
    <row r="60" spans="2:31" x14ac:dyDescent="0.25">
      <c r="B60" s="157">
        <v>42620</v>
      </c>
      <c r="C60" s="10">
        <v>200</v>
      </c>
      <c r="D60" s="40">
        <v>22.1</v>
      </c>
      <c r="E60" s="40">
        <v>25.53</v>
      </c>
      <c r="F60" s="40">
        <f t="shared" si="78"/>
        <v>686</v>
      </c>
      <c r="G60" s="40">
        <f t="shared" si="79"/>
        <v>4420</v>
      </c>
      <c r="H60" s="231">
        <f t="shared" si="80"/>
        <v>0.15520361990950224</v>
      </c>
      <c r="I60" s="40"/>
      <c r="O60" s="83">
        <v>0.91</v>
      </c>
      <c r="P60" s="83">
        <f t="shared" si="44"/>
        <v>22.477</v>
      </c>
      <c r="W60" s="133">
        <v>42593</v>
      </c>
      <c r="X60" s="10">
        <v>21.37</v>
      </c>
      <c r="Y60" s="10">
        <v>22.27</v>
      </c>
      <c r="Z60" s="10">
        <v>21.23</v>
      </c>
      <c r="AA60" s="10">
        <v>22.26</v>
      </c>
      <c r="AB60" s="95">
        <v>6181100</v>
      </c>
      <c r="AC60" s="10">
        <v>22.26</v>
      </c>
      <c r="AD60" s="2">
        <f t="shared" si="2"/>
        <v>1.0399999999999991</v>
      </c>
      <c r="AE60" s="138" t="e">
        <f t="shared" si="3"/>
        <v>#DIV/0!</v>
      </c>
    </row>
    <row r="61" spans="2:31" x14ac:dyDescent="0.25">
      <c r="B61" s="157">
        <v>42621</v>
      </c>
      <c r="C61" s="10">
        <v>160</v>
      </c>
      <c r="D61" s="40">
        <v>21.060300000000002</v>
      </c>
      <c r="E61" s="40">
        <v>25.96</v>
      </c>
      <c r="F61" s="40">
        <f t="shared" ref="F61" si="81">C61*(E61-D61)</f>
        <v>783.95199999999988</v>
      </c>
      <c r="G61" s="40">
        <f t="shared" ref="G61" si="82">D61*C61</f>
        <v>3369.6480000000001</v>
      </c>
      <c r="H61" s="231">
        <f t="shared" ref="H61" si="83">(E61-D61)/D61</f>
        <v>0.23265100687074727</v>
      </c>
      <c r="I61" s="40"/>
      <c r="O61" s="83">
        <v>0.9</v>
      </c>
      <c r="P61" s="83">
        <f t="shared" si="44"/>
        <v>22.23</v>
      </c>
      <c r="W61" s="133">
        <v>42593</v>
      </c>
      <c r="X61" s="10" t="s">
        <v>246</v>
      </c>
      <c r="Y61" s="10"/>
      <c r="Z61" s="10"/>
      <c r="AA61" s="10"/>
      <c r="AB61" s="95"/>
      <c r="AC61" s="10"/>
      <c r="AD61" s="2">
        <f t="shared" si="2"/>
        <v>0</v>
      </c>
      <c r="AE61" s="138">
        <f t="shared" si="3"/>
        <v>-1</v>
      </c>
    </row>
    <row r="62" spans="2:31" x14ac:dyDescent="0.25">
      <c r="B62" s="157">
        <v>42622</v>
      </c>
      <c r="C62" s="10">
        <v>160</v>
      </c>
      <c r="D62" s="40">
        <v>21.060300000000002</v>
      </c>
      <c r="E62" s="40">
        <v>25</v>
      </c>
      <c r="F62" s="40">
        <f t="shared" ref="F62" si="84">C62*(E62-D62)</f>
        <v>630.35199999999975</v>
      </c>
      <c r="G62" s="40">
        <f t="shared" ref="G62" si="85">D62*C62</f>
        <v>3369.6480000000001</v>
      </c>
      <c r="H62" s="231">
        <f t="shared" ref="H62" si="86">(E62-D62)/D62</f>
        <v>0.18706761062283053</v>
      </c>
      <c r="I62" s="40"/>
      <c r="W62" s="133">
        <v>42592</v>
      </c>
      <c r="X62" s="10">
        <v>22.11</v>
      </c>
      <c r="Y62" s="10">
        <v>22.32</v>
      </c>
      <c r="Z62" s="10">
        <v>21.48</v>
      </c>
      <c r="AA62" s="10">
        <v>21.57</v>
      </c>
      <c r="AB62" s="95">
        <v>8197500</v>
      </c>
      <c r="AC62" s="10">
        <v>21.27</v>
      </c>
      <c r="AD62" s="2">
        <f t="shared" si="2"/>
        <v>0.83999999999999986</v>
      </c>
      <c r="AE62" s="138">
        <f t="shared" si="3"/>
        <v>-2.4759284731774356E-2</v>
      </c>
    </row>
    <row r="63" spans="2:31" x14ac:dyDescent="0.25">
      <c r="B63" s="157">
        <v>42625</v>
      </c>
      <c r="C63" s="10">
        <v>160</v>
      </c>
      <c r="D63" s="40">
        <v>21.060300000000002</v>
      </c>
      <c r="E63" s="40">
        <v>25.51</v>
      </c>
      <c r="F63" s="40">
        <f t="shared" ref="F63:F64" si="87">C63*(E63-D63)</f>
        <v>711.952</v>
      </c>
      <c r="G63" s="40">
        <f t="shared" ref="G63:G64" si="88">D63*C63</f>
        <v>3369.6480000000001</v>
      </c>
      <c r="H63" s="231">
        <f t="shared" ref="H63:H64" si="89">(E63-D63)/D63</f>
        <v>0.21128378987953636</v>
      </c>
      <c r="I63" s="40"/>
      <c r="W63" s="133">
        <v>42591</v>
      </c>
      <c r="X63" s="10">
        <v>23.15</v>
      </c>
      <c r="Y63" s="10">
        <v>23.37</v>
      </c>
      <c r="Z63" s="10">
        <v>22</v>
      </c>
      <c r="AA63" s="10">
        <v>22.12</v>
      </c>
      <c r="AB63" s="95">
        <v>7150500</v>
      </c>
      <c r="AC63" s="10">
        <v>21.81</v>
      </c>
      <c r="AD63" s="2">
        <f t="shared" si="2"/>
        <v>1.370000000000001</v>
      </c>
      <c r="AE63" s="138">
        <f t="shared" si="3"/>
        <v>-4.6348928727590777E-2</v>
      </c>
    </row>
    <row r="64" spans="2:31" x14ac:dyDescent="0.25">
      <c r="B64" s="157">
        <v>42626</v>
      </c>
      <c r="C64" s="7">
        <v>200</v>
      </c>
      <c r="D64" s="44">
        <v>21.764199999999999</v>
      </c>
      <c r="E64" s="40">
        <v>24.01</v>
      </c>
      <c r="F64" s="40">
        <f t="shared" si="87"/>
        <v>449.16000000000054</v>
      </c>
      <c r="G64" s="40">
        <f t="shared" si="88"/>
        <v>4352.84</v>
      </c>
      <c r="H64" s="231">
        <f t="shared" si="89"/>
        <v>0.10318780382462957</v>
      </c>
      <c r="I64" s="44" t="s">
        <v>356</v>
      </c>
      <c r="W64" s="133">
        <v>42590</v>
      </c>
      <c r="X64" s="10">
        <v>22.24</v>
      </c>
      <c r="Y64" s="10">
        <v>23.28</v>
      </c>
      <c r="Z64" s="10">
        <v>22.16</v>
      </c>
      <c r="AA64" s="10">
        <v>23.19</v>
      </c>
      <c r="AB64" s="95">
        <v>6405100</v>
      </c>
      <c r="AC64" s="10">
        <v>22.87</v>
      </c>
      <c r="AD64" s="2">
        <f t="shared" si="2"/>
        <v>1.120000000000001</v>
      </c>
      <c r="AE64" s="138">
        <f t="shared" si="3"/>
        <v>5.0045913682277288E-2</v>
      </c>
    </row>
    <row r="65" spans="2:31" x14ac:dyDescent="0.25">
      <c r="B65" s="157">
        <v>42632</v>
      </c>
      <c r="C65" s="10">
        <v>200</v>
      </c>
      <c r="D65" s="40">
        <v>21.764199999999999</v>
      </c>
      <c r="E65" s="40">
        <v>23.68</v>
      </c>
      <c r="F65" s="40">
        <f t="shared" ref="F65" si="90">C65*(E65-D65)</f>
        <v>383.1600000000002</v>
      </c>
      <c r="G65" s="40">
        <f t="shared" ref="G65" si="91">D65*C65</f>
        <v>4352.84</v>
      </c>
      <c r="H65" s="231">
        <f t="shared" ref="H65" si="92">(E65-D65)/D65</f>
        <v>8.8025289236452572E-2</v>
      </c>
      <c r="I65" s="40"/>
      <c r="W65" s="133">
        <v>42587</v>
      </c>
      <c r="X65" s="10">
        <v>21.28</v>
      </c>
      <c r="Y65" s="10">
        <v>22.16</v>
      </c>
      <c r="Z65" s="10">
        <v>21.05</v>
      </c>
      <c r="AA65" s="10">
        <v>22.09</v>
      </c>
      <c r="AB65" s="95">
        <v>8896600</v>
      </c>
      <c r="AC65" s="10">
        <v>21.78</v>
      </c>
      <c r="AD65" s="2">
        <f t="shared" si="2"/>
        <v>1.1099999999999994</v>
      </c>
      <c r="AE65" s="138">
        <f t="shared" si="3"/>
        <v>3.0761949834358759E-2</v>
      </c>
    </row>
    <row r="66" spans="2:31" x14ac:dyDescent="0.25">
      <c r="B66" s="157">
        <v>42633</v>
      </c>
      <c r="C66" s="10">
        <v>200</v>
      </c>
      <c r="D66" s="40">
        <v>21.764199999999999</v>
      </c>
      <c r="E66" s="40">
        <v>23.3</v>
      </c>
      <c r="F66" s="40">
        <f t="shared" ref="F66" si="93">C66*(E66-D66)</f>
        <v>307.16000000000037</v>
      </c>
      <c r="G66" s="40">
        <f t="shared" ref="G66" si="94">D66*C66</f>
        <v>4352.84</v>
      </c>
      <c r="H66" s="231">
        <f t="shared" ref="H66" si="95">(E66-D66)/D66</f>
        <v>7.0565423953097381E-2</v>
      </c>
      <c r="I66" s="40"/>
      <c r="W66" s="133">
        <v>42586</v>
      </c>
      <c r="X66" s="10">
        <v>22.72</v>
      </c>
      <c r="Y66" s="10">
        <v>22.95</v>
      </c>
      <c r="Z66" s="10">
        <v>20.77</v>
      </c>
      <c r="AA66" s="10">
        <v>21.43</v>
      </c>
      <c r="AB66" s="95">
        <v>25849300</v>
      </c>
      <c r="AC66" s="10">
        <v>21.13</v>
      </c>
      <c r="AD66" s="2">
        <f t="shared" si="2"/>
        <v>2.1799999999999997</v>
      </c>
      <c r="AE66" s="138">
        <f t="shared" si="3"/>
        <v>-0.12613730355665842</v>
      </c>
    </row>
    <row r="67" spans="2:31" x14ac:dyDescent="0.25">
      <c r="B67" s="157">
        <v>42634</v>
      </c>
      <c r="C67" s="10">
        <v>200</v>
      </c>
      <c r="D67" s="40">
        <v>21.764199999999999</v>
      </c>
      <c r="E67" s="40">
        <v>23.03</v>
      </c>
      <c r="F67" s="40">
        <f t="shared" ref="F67" si="96">C67*(E67-D67)</f>
        <v>253.16000000000045</v>
      </c>
      <c r="G67" s="40">
        <f t="shared" ref="G67" si="97">D67*C67</f>
        <v>4352.84</v>
      </c>
      <c r="H67" s="231">
        <f t="shared" ref="H67" si="98">(E67-D67)/D67</f>
        <v>5.8159730199134466E-2</v>
      </c>
      <c r="I67" s="40"/>
      <c r="W67" s="133">
        <v>42585</v>
      </c>
      <c r="X67" s="10">
        <v>24.49</v>
      </c>
      <c r="Y67" s="10">
        <v>25.15</v>
      </c>
      <c r="Z67" s="10">
        <v>24.29</v>
      </c>
      <c r="AA67" s="10">
        <v>24.52</v>
      </c>
      <c r="AB67" s="95">
        <v>3937200</v>
      </c>
      <c r="AC67" s="10">
        <v>24.18</v>
      </c>
      <c r="AD67" s="2">
        <f>Y67-Z67</f>
        <v>0.85999999999999943</v>
      </c>
      <c r="AE67" s="138" t="e">
        <f>AC67/#REF!-1</f>
        <v>#REF!</v>
      </c>
    </row>
    <row r="68" spans="2:31" x14ac:dyDescent="0.25">
      <c r="B68" s="157">
        <v>42636</v>
      </c>
      <c r="C68" s="10">
        <v>200</v>
      </c>
      <c r="D68" s="40">
        <v>21.764199999999999</v>
      </c>
      <c r="E68" s="40">
        <v>22.63</v>
      </c>
      <c r="F68" s="40">
        <f t="shared" ref="F68" si="99">C68*(E68-D68)</f>
        <v>173.16000000000003</v>
      </c>
      <c r="G68" s="40">
        <f t="shared" ref="G68" si="100">D68*C68</f>
        <v>4352.84</v>
      </c>
      <c r="H68" s="231">
        <f t="shared" ref="H68" si="101">(E68-D68)/D68</f>
        <v>3.9780924637707805E-2</v>
      </c>
      <c r="I68" s="40"/>
      <c r="W68" s="133">
        <v>42584</v>
      </c>
      <c r="X68" s="10">
        <v>24.35</v>
      </c>
      <c r="Y68" s="10">
        <v>25.12</v>
      </c>
      <c r="Z68" s="10">
        <v>24.05</v>
      </c>
      <c r="AA68" s="10">
        <v>24.49</v>
      </c>
      <c r="AB68" s="95">
        <v>3772600</v>
      </c>
      <c r="AC68" s="10">
        <v>24.15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>
        <v>42639</v>
      </c>
      <c r="C69" s="512">
        <v>300</v>
      </c>
      <c r="D69" s="516">
        <v>21.936299999999999</v>
      </c>
      <c r="E69" s="40">
        <v>22.64</v>
      </c>
      <c r="F69" s="40">
        <f t="shared" ref="F69:F74" si="102">C69*(E69-D69)</f>
        <v>211.11000000000041</v>
      </c>
      <c r="G69" s="40">
        <f t="shared" ref="G69:G74" si="103">D69*C69</f>
        <v>6580.8899999999994</v>
      </c>
      <c r="H69" s="231">
        <f t="shared" ref="H69:H74" si="104">(E69-D69)/D69</f>
        <v>3.2079247639756996E-2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57">
        <v>42639</v>
      </c>
      <c r="C70" s="7">
        <v>200</v>
      </c>
      <c r="D70" s="44">
        <v>21.494499999999999</v>
      </c>
      <c r="E70" s="40">
        <v>22.64</v>
      </c>
      <c r="F70" s="40">
        <f t="shared" si="102"/>
        <v>229.10000000000039</v>
      </c>
      <c r="G70" s="40">
        <f t="shared" si="103"/>
        <v>4298.8999999999996</v>
      </c>
      <c r="H70" s="231">
        <f t="shared" si="104"/>
        <v>5.3292702784433321E-2</v>
      </c>
      <c r="I70" s="44" t="s">
        <v>357</v>
      </c>
    </row>
    <row r="71" spans="2:31" x14ac:dyDescent="0.25">
      <c r="B71" s="157">
        <v>42640</v>
      </c>
      <c r="C71" s="10">
        <v>200</v>
      </c>
      <c r="D71" s="40">
        <v>21.494499999999999</v>
      </c>
      <c r="E71" s="40">
        <v>23.95</v>
      </c>
      <c r="F71" s="40">
        <f t="shared" si="102"/>
        <v>491.10000000000014</v>
      </c>
      <c r="G71" s="40">
        <f t="shared" si="103"/>
        <v>4298.8999999999996</v>
      </c>
      <c r="H71" s="231">
        <f t="shared" si="104"/>
        <v>0.11423852613459261</v>
      </c>
      <c r="I71" s="40"/>
    </row>
    <row r="72" spans="2:31" x14ac:dyDescent="0.25">
      <c r="B72" s="157">
        <v>42643</v>
      </c>
      <c r="C72" s="10">
        <v>140</v>
      </c>
      <c r="D72" s="40">
        <v>20.112300000000001</v>
      </c>
      <c r="E72" s="40">
        <v>24.2</v>
      </c>
      <c r="F72" s="40">
        <f t="shared" si="102"/>
        <v>572.27799999999979</v>
      </c>
      <c r="G72" s="40">
        <f t="shared" si="103"/>
        <v>2815.7220000000002</v>
      </c>
      <c r="H72" s="231">
        <f t="shared" si="104"/>
        <v>0.2032437861408192</v>
      </c>
      <c r="I72" s="40"/>
    </row>
    <row r="73" spans="2:31" x14ac:dyDescent="0.25">
      <c r="B73" s="157">
        <v>42643</v>
      </c>
      <c r="C73" s="7">
        <v>200</v>
      </c>
      <c r="D73" s="44">
        <v>21.368600000000001</v>
      </c>
      <c r="E73" s="40">
        <v>24.2</v>
      </c>
      <c r="F73" s="40">
        <f t="shared" si="102"/>
        <v>566.27999999999975</v>
      </c>
      <c r="G73" s="40">
        <f t="shared" si="103"/>
        <v>4273.72</v>
      </c>
      <c r="H73" s="231">
        <f t="shared" si="104"/>
        <v>0.13250283125707807</v>
      </c>
      <c r="I73" s="44" t="s">
        <v>357</v>
      </c>
    </row>
    <row r="74" spans="2:31" x14ac:dyDescent="0.25">
      <c r="B74" s="157">
        <v>42648</v>
      </c>
      <c r="C74" s="10">
        <v>200</v>
      </c>
      <c r="D74" s="40">
        <v>21.368600000000001</v>
      </c>
      <c r="E74" s="40">
        <v>24.86</v>
      </c>
      <c r="F74" s="40">
        <f t="shared" si="102"/>
        <v>698.27999999999975</v>
      </c>
      <c r="G74" s="40">
        <f t="shared" si="103"/>
        <v>4273.72</v>
      </c>
      <c r="H74" s="231">
        <f t="shared" si="104"/>
        <v>0.16338927210954385</v>
      </c>
      <c r="I74" s="40"/>
    </row>
    <row r="75" spans="2:31" x14ac:dyDescent="0.25">
      <c r="B75" s="157">
        <v>42649</v>
      </c>
      <c r="C75" s="10">
        <v>200</v>
      </c>
      <c r="D75" s="40">
        <v>21.368600000000001</v>
      </c>
      <c r="E75" s="40">
        <v>24.66</v>
      </c>
      <c r="F75" s="40">
        <f t="shared" ref="F75" si="105">C75*(E75-D75)</f>
        <v>658.27999999999986</v>
      </c>
      <c r="G75" s="40">
        <f t="shared" ref="G75" si="106">D75*C75</f>
        <v>4273.72</v>
      </c>
      <c r="H75" s="231">
        <f t="shared" ref="H75" si="107">(E75-D75)/D75</f>
        <v>0.15402974457849364</v>
      </c>
      <c r="I75" s="40"/>
    </row>
    <row r="76" spans="2:31" x14ac:dyDescent="0.25">
      <c r="B76" s="157">
        <v>42650</v>
      </c>
      <c r="C76" s="10">
        <v>200</v>
      </c>
      <c r="D76" s="40">
        <v>21.368600000000001</v>
      </c>
      <c r="E76" s="40">
        <v>23.95</v>
      </c>
      <c r="F76" s="40">
        <f t="shared" ref="F76:F77" si="108">C76*(E76-D76)</f>
        <v>516.27999999999975</v>
      </c>
      <c r="G76" s="40">
        <f t="shared" ref="G76:G77" si="109">D76*C76</f>
        <v>4273.72</v>
      </c>
      <c r="H76" s="231">
        <f t="shared" ref="H76:H77" si="110">(E76-D76)/D76</f>
        <v>0.12080342184326529</v>
      </c>
      <c r="I76" s="40"/>
    </row>
    <row r="77" spans="2:31" x14ac:dyDescent="0.25">
      <c r="B77" s="157">
        <v>42661</v>
      </c>
      <c r="C77" s="512">
        <v>300</v>
      </c>
      <c r="D77" s="516">
        <v>21.765699999999999</v>
      </c>
      <c r="E77" s="40">
        <v>23.46</v>
      </c>
      <c r="F77" s="40">
        <f t="shared" si="108"/>
        <v>508.29000000000059</v>
      </c>
      <c r="G77" s="40">
        <f t="shared" si="109"/>
        <v>6529.71</v>
      </c>
      <c r="H77" s="231">
        <f t="shared" si="110"/>
        <v>7.7842660700092436E-2</v>
      </c>
      <c r="I77" s="516">
        <v>21.5</v>
      </c>
    </row>
    <row r="78" spans="2:31" x14ac:dyDescent="0.25">
      <c r="B78" s="157">
        <v>42662</v>
      </c>
      <c r="C78" s="10">
        <v>300</v>
      </c>
      <c r="D78" s="40">
        <v>21.77</v>
      </c>
      <c r="E78" s="40">
        <v>24.15</v>
      </c>
      <c r="F78" s="40">
        <f t="shared" ref="F78:F79" si="111">C78*(E78-D78)</f>
        <v>713.99999999999966</v>
      </c>
      <c r="G78" s="40">
        <f t="shared" ref="G78:G79" si="112">D78*C78</f>
        <v>6531</v>
      </c>
      <c r="H78" s="231">
        <f t="shared" ref="H78:H79" si="113">(E78-D78)/D78</f>
        <v>0.10932475884244369</v>
      </c>
      <c r="I78" s="40"/>
    </row>
    <row r="79" spans="2:31" x14ac:dyDescent="0.25">
      <c r="B79" s="157">
        <v>42663</v>
      </c>
      <c r="C79" s="10">
        <v>260</v>
      </c>
      <c r="D79" s="40">
        <v>21.302099999999999</v>
      </c>
      <c r="E79" s="40">
        <v>24.98</v>
      </c>
      <c r="F79" s="40">
        <f t="shared" si="111"/>
        <v>956.25400000000025</v>
      </c>
      <c r="G79" s="40">
        <f t="shared" si="112"/>
        <v>5538.5460000000003</v>
      </c>
      <c r="H79" s="231">
        <f t="shared" si="113"/>
        <v>0.17265433924354881</v>
      </c>
      <c r="I79" s="40"/>
    </row>
    <row r="80" spans="2:31" x14ac:dyDescent="0.25">
      <c r="B80" s="157">
        <v>42664</v>
      </c>
      <c r="C80" s="10">
        <v>260</v>
      </c>
      <c r="D80" s="40">
        <v>21.302099999999999</v>
      </c>
      <c r="E80" s="40">
        <v>25.92</v>
      </c>
      <c r="F80" s="40">
        <f t="shared" ref="F80" si="114">C80*(E80-D80)</f>
        <v>1200.6540000000007</v>
      </c>
      <c r="G80" s="40">
        <f t="shared" ref="G80" si="115">D80*C80</f>
        <v>5538.5460000000003</v>
      </c>
      <c r="H80" s="231">
        <f t="shared" ref="H80" si="116">(E80-D80)/D80</f>
        <v>0.21678144408297786</v>
      </c>
      <c r="I80" s="40"/>
    </row>
    <row r="81" spans="2:9" x14ac:dyDescent="0.25">
      <c r="B81" s="157">
        <v>42667</v>
      </c>
      <c r="C81" s="10">
        <v>260</v>
      </c>
      <c r="D81" s="40">
        <v>21.302099999999999</v>
      </c>
      <c r="E81" s="40">
        <v>25.35</v>
      </c>
      <c r="F81" s="40">
        <f t="shared" ref="F81:F83" si="117">C81*(E81-D81)</f>
        <v>1052.4540000000006</v>
      </c>
      <c r="G81" s="40">
        <f t="shared" ref="G81:G83" si="118">D81*C81</f>
        <v>5538.5460000000003</v>
      </c>
      <c r="H81" s="231">
        <f t="shared" ref="H81:H83" si="119">(E81-D81)/D81</f>
        <v>0.19002351880800494</v>
      </c>
      <c r="I81" s="40"/>
    </row>
    <row r="82" spans="2:9" x14ac:dyDescent="0.25">
      <c r="B82" s="157">
        <v>42674</v>
      </c>
      <c r="C82" s="512">
        <v>300</v>
      </c>
      <c r="D82" s="516">
        <v>21.6828</v>
      </c>
      <c r="E82" s="40">
        <v>24.01</v>
      </c>
      <c r="F82" s="40">
        <f t="shared" si="117"/>
        <v>698.16000000000042</v>
      </c>
      <c r="G82" s="40">
        <f t="shared" si="118"/>
        <v>6504.84</v>
      </c>
      <c r="H82" s="231">
        <f t="shared" si="119"/>
        <v>0.10732931171250951</v>
      </c>
      <c r="I82" s="516">
        <v>21.5</v>
      </c>
    </row>
    <row r="83" spans="2:9" x14ac:dyDescent="0.25">
      <c r="B83" s="157">
        <v>42675</v>
      </c>
      <c r="C83" s="512">
        <v>300</v>
      </c>
      <c r="D83" s="516">
        <v>21.6096</v>
      </c>
      <c r="E83" s="40">
        <v>24.89</v>
      </c>
      <c r="F83" s="40">
        <f t="shared" si="117"/>
        <v>984.12000000000012</v>
      </c>
      <c r="G83" s="40">
        <f t="shared" si="118"/>
        <v>6482.88</v>
      </c>
      <c r="H83" s="231">
        <f t="shared" si="119"/>
        <v>0.15180290241374206</v>
      </c>
      <c r="I83" s="516">
        <v>21.5</v>
      </c>
    </row>
    <row r="84" spans="2:9" x14ac:dyDescent="0.25">
      <c r="B84" s="157"/>
      <c r="C84" s="10"/>
      <c r="D84" s="40"/>
      <c r="E84" s="40"/>
      <c r="F84" s="40"/>
      <c r="G84" s="40"/>
      <c r="H84" s="231"/>
      <c r="I84" s="40"/>
    </row>
    <row r="85" spans="2:9" x14ac:dyDescent="0.25">
      <c r="B85" s="157"/>
      <c r="C85" s="10"/>
      <c r="D85" s="40"/>
      <c r="E85" s="40"/>
      <c r="F85" s="40"/>
      <c r="G85" s="40"/>
      <c r="H85" s="231"/>
      <c r="I85" s="40"/>
    </row>
    <row r="86" spans="2:9" x14ac:dyDescent="0.25">
      <c r="B86" s="157"/>
      <c r="C86" s="10"/>
      <c r="D86" s="40"/>
      <c r="E86" s="40"/>
      <c r="F86" s="40"/>
      <c r="G86" s="40"/>
      <c r="H86" s="231"/>
      <c r="I86" s="40"/>
    </row>
    <row r="87" spans="2:9" x14ac:dyDescent="0.25">
      <c r="B87" s="157"/>
      <c r="C87" s="10"/>
      <c r="D87" s="40"/>
      <c r="E87" s="40"/>
      <c r="F87" s="40"/>
      <c r="G87" s="40"/>
      <c r="H87" s="231"/>
      <c r="I87" s="40"/>
    </row>
    <row r="88" spans="2:9" x14ac:dyDescent="0.25">
      <c r="B88" s="157"/>
      <c r="C88" s="10"/>
      <c r="D88" s="40"/>
      <c r="E88" s="40"/>
      <c r="F88" s="40"/>
      <c r="G88" s="40"/>
      <c r="H88" s="231"/>
      <c r="I88" s="40"/>
    </row>
    <row r="89" spans="2:9" x14ac:dyDescent="0.25">
      <c r="B89" s="157"/>
      <c r="C89" s="10"/>
      <c r="D89" s="40"/>
      <c r="E89" s="40"/>
      <c r="F89" s="40"/>
      <c r="G89" s="40"/>
      <c r="H89" s="231"/>
      <c r="I89" s="40"/>
    </row>
    <row r="90" spans="2:9" x14ac:dyDescent="0.25">
      <c r="B90" s="157"/>
      <c r="C90" s="10"/>
      <c r="D90" s="40"/>
      <c r="E90" s="40"/>
      <c r="F90" s="40"/>
      <c r="G90" s="40"/>
      <c r="H90" s="231"/>
      <c r="I90" s="40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3:F69 H33:H69 H72:H77 F72:F77 F79:F90 H79:H90">
    <cfRule type="expression" dxfId="701" priority="17">
      <formula>F33&gt;0</formula>
    </cfRule>
    <cfRule type="expression" dxfId="700" priority="18">
      <formula>F33&lt;0</formula>
    </cfRule>
  </conditionalFormatting>
  <conditionalFormatting sqref="Q7">
    <cfRule type="expression" dxfId="699" priority="11">
      <formula>Q7&gt;0</formula>
    </cfRule>
    <cfRule type="expression" dxfId="698" priority="12">
      <formula>Q7&lt;0</formula>
    </cfRule>
  </conditionalFormatting>
  <conditionalFormatting sqref="Q8">
    <cfRule type="expression" dxfId="697" priority="9">
      <formula>Q8&gt;0</formula>
    </cfRule>
    <cfRule type="expression" dxfId="696" priority="10">
      <formula>Q8&lt;0</formula>
    </cfRule>
  </conditionalFormatting>
  <conditionalFormatting sqref="F25:F32">
    <cfRule type="expression" dxfId="695" priority="7">
      <formula>F25&gt;0</formula>
    </cfRule>
    <cfRule type="expression" dxfId="694" priority="8">
      <formula>F25&lt;0</formula>
    </cfRule>
  </conditionalFormatting>
  <conditionalFormatting sqref="H25:H32">
    <cfRule type="expression" dxfId="693" priority="5">
      <formula>H25&gt;0</formula>
    </cfRule>
    <cfRule type="expression" dxfId="692" priority="6">
      <formula>H25&lt;0</formula>
    </cfRule>
  </conditionalFormatting>
  <conditionalFormatting sqref="F70:F71 H70:H71">
    <cfRule type="expression" dxfId="691" priority="3">
      <formula>F70&gt;0</formula>
    </cfRule>
    <cfRule type="expression" dxfId="690" priority="4">
      <formula>F70&lt;0</formula>
    </cfRule>
  </conditionalFormatting>
  <conditionalFormatting sqref="H78 F78">
    <cfRule type="expression" dxfId="689" priority="1">
      <formula>F78&gt;0</formula>
    </cfRule>
    <cfRule type="expression" dxfId="688" priority="2">
      <formula>F78&lt;0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285156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42676</v>
      </c>
      <c r="X2" s="10">
        <v>39.57</v>
      </c>
      <c r="Y2" s="10">
        <v>40.1</v>
      </c>
      <c r="Z2" s="10">
        <v>39.43</v>
      </c>
      <c r="AA2" s="10">
        <v>39.61</v>
      </c>
      <c r="AB2" s="95">
        <v>6078300</v>
      </c>
      <c r="AC2" s="10">
        <v>39.61</v>
      </c>
      <c r="AD2">
        <f>Y2-Z2</f>
        <v>0.67000000000000171</v>
      </c>
      <c r="AE2" s="138">
        <f>AC2/AC3-1</f>
        <v>-1.7641129032258673E-3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39.61</v>
      </c>
      <c r="T3" s="1"/>
      <c r="W3" s="133">
        <v>42675</v>
      </c>
      <c r="X3" s="10">
        <v>39.979999999999997</v>
      </c>
      <c r="Y3" s="10">
        <v>40.42</v>
      </c>
      <c r="Z3" s="10">
        <v>39.33</v>
      </c>
      <c r="AA3" s="10">
        <v>39.68</v>
      </c>
      <c r="AB3" s="95">
        <v>8002800</v>
      </c>
      <c r="AC3" s="10">
        <v>39.68</v>
      </c>
      <c r="AD3">
        <f t="shared" ref="AD3:AD4" si="0">Y3-Z3</f>
        <v>1.0900000000000034</v>
      </c>
      <c r="AE3" s="138">
        <f t="shared" ref="AE3:AE4" si="1">AC3/AC4-1</f>
        <v>-9.2384519350811045E-3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M4" s="4"/>
      <c r="O4" s="11" t="s">
        <v>66</v>
      </c>
      <c r="Q4" s="55">
        <v>39.61</v>
      </c>
      <c r="R4" s="527">
        <v>-1.8E-3</v>
      </c>
      <c r="T4" s="163"/>
      <c r="U4" s="1"/>
      <c r="W4" s="133">
        <v>42674</v>
      </c>
      <c r="X4" s="10">
        <v>39.49</v>
      </c>
      <c r="Y4" s="10">
        <v>40.47</v>
      </c>
      <c r="Z4" s="10">
        <v>39.15</v>
      </c>
      <c r="AA4" s="10">
        <v>40.049999999999997</v>
      </c>
      <c r="AB4" s="95">
        <v>8148800</v>
      </c>
      <c r="AC4" s="10">
        <v>40.049999999999997</v>
      </c>
      <c r="AD4">
        <f t="shared" si="0"/>
        <v>1.3200000000000003</v>
      </c>
      <c r="AE4" s="138">
        <f t="shared" si="1"/>
        <v>2.2205206738131533E-2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42671</v>
      </c>
      <c r="X5" s="10">
        <v>39.29</v>
      </c>
      <c r="Y5" s="10">
        <v>39.840000000000003</v>
      </c>
      <c r="Z5" s="10">
        <v>38.950000000000003</v>
      </c>
      <c r="AA5" s="10">
        <v>39.18</v>
      </c>
      <c r="AB5" s="95">
        <v>10321200</v>
      </c>
      <c r="AC5" s="10">
        <v>39.18</v>
      </c>
      <c r="AD5">
        <f t="shared" ref="AD5:AD68" si="2">Y5-Z5</f>
        <v>0.89000000000000057</v>
      </c>
      <c r="AE5" s="138">
        <f t="shared" ref="AE5:AE67" si="3">AC5/AC6-1</f>
        <v>-1.5290519877676489E-3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42670</v>
      </c>
      <c r="X6" s="10">
        <v>38.5</v>
      </c>
      <c r="Y6" s="10">
        <v>39.58</v>
      </c>
      <c r="Z6" s="10">
        <v>37.65</v>
      </c>
      <c r="AA6" s="10">
        <v>39.24</v>
      </c>
      <c r="AB6" s="95">
        <v>22002700</v>
      </c>
      <c r="AC6" s="10">
        <v>39.24</v>
      </c>
      <c r="AD6">
        <f t="shared" si="2"/>
        <v>1.9299999999999997</v>
      </c>
      <c r="AE6" s="138">
        <f t="shared" si="3"/>
        <v>2.1875000000000089E-2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117.73999999999978</v>
      </c>
      <c r="R7">
        <v>0</v>
      </c>
      <c r="W7" s="133">
        <v>42669</v>
      </c>
      <c r="X7" s="10">
        <v>41.95</v>
      </c>
      <c r="Y7" s="10">
        <v>41.95</v>
      </c>
      <c r="Z7" s="10">
        <v>36.909999999999997</v>
      </c>
      <c r="AA7" s="10">
        <v>38.4</v>
      </c>
      <c r="AB7" s="95">
        <v>43824900</v>
      </c>
      <c r="AC7" s="10">
        <v>38.4</v>
      </c>
      <c r="AD7">
        <f t="shared" si="2"/>
        <v>5.0400000000000063</v>
      </c>
      <c r="AE7" s="138">
        <f t="shared" si="3"/>
        <v>-8.4624553039332584E-2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42668</v>
      </c>
      <c r="X8" s="10">
        <v>42.15</v>
      </c>
      <c r="Y8" s="10">
        <v>42.73</v>
      </c>
      <c r="Z8" s="10">
        <v>41.71</v>
      </c>
      <c r="AA8" s="10">
        <v>41.95</v>
      </c>
      <c r="AB8" s="95">
        <v>11101800</v>
      </c>
      <c r="AC8" s="10">
        <v>41.95</v>
      </c>
      <c r="AD8">
        <f t="shared" si="2"/>
        <v>1.019999999999996</v>
      </c>
      <c r="AE8" s="138">
        <f t="shared" si="3"/>
        <v>-8.9770848098273959E-3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W9" s="133">
        <v>42667</v>
      </c>
      <c r="X9" s="10">
        <v>42.52</v>
      </c>
      <c r="Y9" s="10">
        <v>42.93</v>
      </c>
      <c r="Z9" s="10">
        <v>42.2</v>
      </c>
      <c r="AA9" s="10">
        <v>42.33</v>
      </c>
      <c r="AB9" s="95">
        <v>5311400</v>
      </c>
      <c r="AC9" s="10">
        <v>42.33</v>
      </c>
      <c r="AD9">
        <f t="shared" si="2"/>
        <v>0.72999999999999687</v>
      </c>
      <c r="AE9" s="138">
        <f t="shared" si="3"/>
        <v>-2.3568230025925452E-3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218</v>
      </c>
      <c r="P10" s="34"/>
      <c r="Q10" s="2">
        <f>M55</f>
        <v>117.73999999999978</v>
      </c>
      <c r="W10" s="133">
        <v>42664</v>
      </c>
      <c r="X10" s="10">
        <v>41.91</v>
      </c>
      <c r="Y10" s="10">
        <v>42.46</v>
      </c>
      <c r="Z10" s="10">
        <v>41.75</v>
      </c>
      <c r="AA10" s="10">
        <v>42.43</v>
      </c>
      <c r="AB10" s="95">
        <v>5448000</v>
      </c>
      <c r="AC10" s="10">
        <v>42.43</v>
      </c>
      <c r="AD10">
        <f t="shared" si="2"/>
        <v>0.71000000000000085</v>
      </c>
      <c r="AE10" s="138">
        <f t="shared" si="3"/>
        <v>3.3104752896666589E-3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181</v>
      </c>
      <c r="P11" s="34"/>
      <c r="Q11" s="138">
        <f>IF(U58="N/A (N/A)", 0, VALUE(TRIM(CLEAN(MID(U58, FIND("(", U58)+1, 5)))))</f>
        <v>1.0200000000000001E-2</v>
      </c>
      <c r="W11" s="133">
        <v>42663</v>
      </c>
      <c r="X11" s="10">
        <v>42.15</v>
      </c>
      <c r="Y11" s="10">
        <v>42.47</v>
      </c>
      <c r="Z11" s="10">
        <v>41.76</v>
      </c>
      <c r="AA11" s="10">
        <v>42.29</v>
      </c>
      <c r="AB11" s="95">
        <v>7813300</v>
      </c>
      <c r="AC11" s="10">
        <v>42.29</v>
      </c>
      <c r="AD11">
        <f t="shared" si="2"/>
        <v>0.71000000000000085</v>
      </c>
      <c r="AE11" s="138">
        <f t="shared" si="3"/>
        <v>9.4674556213014682E-4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42662</v>
      </c>
      <c r="X12" s="10">
        <v>41.74</v>
      </c>
      <c r="Y12" s="10">
        <v>42.4</v>
      </c>
      <c r="Z12" s="10">
        <v>41.57</v>
      </c>
      <c r="AA12" s="10">
        <v>42.25</v>
      </c>
      <c r="AB12" s="95">
        <v>6335000</v>
      </c>
      <c r="AC12" s="10">
        <v>42.25</v>
      </c>
      <c r="AD12">
        <f t="shared" si="2"/>
        <v>0.82999999999999829</v>
      </c>
      <c r="AE12" s="138">
        <f t="shared" si="3"/>
        <v>1.3675623800383896E-2</v>
      </c>
    </row>
    <row r="13" spans="1:31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133">
        <v>42661</v>
      </c>
      <c r="X13" s="10">
        <v>41.56</v>
      </c>
      <c r="Y13" s="10">
        <v>41.99</v>
      </c>
      <c r="Z13" s="10">
        <v>41.19</v>
      </c>
      <c r="AA13" s="10">
        <v>41.68</v>
      </c>
      <c r="AB13" s="95">
        <v>8755600</v>
      </c>
      <c r="AC13" s="10">
        <v>41.68</v>
      </c>
      <c r="AD13">
        <f t="shared" si="2"/>
        <v>0.80000000000000426</v>
      </c>
      <c r="AE13" s="138">
        <f t="shared" si="3"/>
        <v>1.0669253152279179E-2</v>
      </c>
    </row>
    <row r="14" spans="1:31" x14ac:dyDescent="0.25">
      <c r="H14" s="72"/>
      <c r="W14" s="133">
        <v>42660</v>
      </c>
      <c r="X14" s="10">
        <v>41.4</v>
      </c>
      <c r="Y14" s="10">
        <v>42.2</v>
      </c>
      <c r="Z14" s="10">
        <v>41.16</v>
      </c>
      <c r="AA14" s="10">
        <v>41.24</v>
      </c>
      <c r="AB14" s="95">
        <v>5509900</v>
      </c>
      <c r="AC14" s="10">
        <v>41.24</v>
      </c>
      <c r="AD14">
        <f t="shared" si="2"/>
        <v>1.0400000000000063</v>
      </c>
      <c r="AE14" s="138">
        <f t="shared" si="3"/>
        <v>-1.9361084220715918E-3</v>
      </c>
    </row>
    <row r="15" spans="1:31" x14ac:dyDescent="0.25">
      <c r="H15" s="72"/>
      <c r="W15" s="133">
        <v>42657</v>
      </c>
      <c r="X15" s="10">
        <v>41.6</v>
      </c>
      <c r="Y15" s="10">
        <v>42.41</v>
      </c>
      <c r="Z15" s="10">
        <v>41.11</v>
      </c>
      <c r="AA15" s="10">
        <v>41.32</v>
      </c>
      <c r="AB15" s="95">
        <v>7296800</v>
      </c>
      <c r="AC15" s="10">
        <v>41.32</v>
      </c>
      <c r="AD15">
        <f t="shared" si="2"/>
        <v>1.2999999999999972</v>
      </c>
      <c r="AE15" s="138">
        <f t="shared" si="3"/>
        <v>-1.4499758337361834E-3</v>
      </c>
    </row>
    <row r="16" spans="1:31" x14ac:dyDescent="0.25">
      <c r="H16" s="72"/>
      <c r="W16" s="133">
        <v>42656</v>
      </c>
      <c r="X16" s="10">
        <v>39.68</v>
      </c>
      <c r="Y16" s="10">
        <v>41.62</v>
      </c>
      <c r="Z16" s="10">
        <v>39.130000000000003</v>
      </c>
      <c r="AA16" s="10">
        <v>41.38</v>
      </c>
      <c r="AB16" s="95">
        <v>11107200</v>
      </c>
      <c r="AC16" s="10">
        <v>41.38</v>
      </c>
      <c r="AD16">
        <f t="shared" si="2"/>
        <v>2.4899999999999949</v>
      </c>
      <c r="AE16" s="138">
        <f t="shared" si="3"/>
        <v>3.4241439640090077E-2</v>
      </c>
    </row>
    <row r="17" spans="1:31" x14ac:dyDescent="0.25">
      <c r="W17" s="133">
        <v>42655</v>
      </c>
      <c r="X17" s="10">
        <v>40.15</v>
      </c>
      <c r="Y17" s="10">
        <v>40.380000000000003</v>
      </c>
      <c r="Z17" s="10">
        <v>39.729999999999997</v>
      </c>
      <c r="AA17" s="10">
        <v>40.01</v>
      </c>
      <c r="AB17" s="95">
        <v>6634800</v>
      </c>
      <c r="AC17" s="10">
        <v>40.01</v>
      </c>
      <c r="AD17">
        <f t="shared" si="2"/>
        <v>0.65000000000000568</v>
      </c>
      <c r="AE17" s="138">
        <f t="shared" si="3"/>
        <v>5.5290273938175538E-3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42654</v>
      </c>
      <c r="X18" s="10">
        <v>40.03</v>
      </c>
      <c r="Y18" s="10">
        <v>40.33</v>
      </c>
      <c r="Z18" s="10">
        <v>39.51</v>
      </c>
      <c r="AA18" s="10">
        <v>39.79</v>
      </c>
      <c r="AB18" s="95">
        <v>9126600</v>
      </c>
      <c r="AC18" s="10">
        <v>39.79</v>
      </c>
      <c r="AD18">
        <f t="shared" si="2"/>
        <v>0.82000000000000028</v>
      </c>
      <c r="AE18" s="138">
        <f t="shared" si="3"/>
        <v>5.0289162685435151E-4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4">SumByColor($A$19,M2:M17)</f>
        <v>0</v>
      </c>
      <c r="W19" s="133">
        <v>42653</v>
      </c>
      <c r="X19" s="10">
        <v>38.5</v>
      </c>
      <c r="Y19" s="10">
        <v>39.950000000000003</v>
      </c>
      <c r="Z19" s="10">
        <v>38.46</v>
      </c>
      <c r="AA19" s="10">
        <v>39.770000000000003</v>
      </c>
      <c r="AB19" s="95">
        <v>7815100</v>
      </c>
      <c r="AC19" s="10">
        <v>39.770000000000003</v>
      </c>
      <c r="AD19">
        <f t="shared" si="2"/>
        <v>1.490000000000002</v>
      </c>
      <c r="AE19" s="138">
        <f t="shared" si="3"/>
        <v>3.3792565635560212E-2</v>
      </c>
    </row>
    <row r="20" spans="1:31" x14ac:dyDescent="0.25">
      <c r="W20" s="133">
        <v>42650</v>
      </c>
      <c r="X20" s="10">
        <v>39.14</v>
      </c>
      <c r="Y20" s="10">
        <v>39.200000000000003</v>
      </c>
      <c r="Z20" s="10">
        <v>38.18</v>
      </c>
      <c r="AA20" s="10">
        <v>38.47</v>
      </c>
      <c r="AB20" s="95">
        <v>6932900</v>
      </c>
      <c r="AC20" s="10">
        <v>38.47</v>
      </c>
      <c r="AD20">
        <f t="shared" si="2"/>
        <v>1.0200000000000031</v>
      </c>
      <c r="AE20" s="138">
        <f t="shared" si="3"/>
        <v>-1.7870819504723023E-2</v>
      </c>
    </row>
    <row r="21" spans="1:31" x14ac:dyDescent="0.25">
      <c r="W21" s="133">
        <v>42649</v>
      </c>
      <c r="X21" s="10">
        <v>39.049999999999997</v>
      </c>
      <c r="Y21" s="10">
        <v>39.32</v>
      </c>
      <c r="Z21" s="10">
        <v>38.69</v>
      </c>
      <c r="AA21" s="10">
        <v>39.17</v>
      </c>
      <c r="AB21" s="95">
        <v>4816400</v>
      </c>
      <c r="AC21" s="10">
        <v>39.17</v>
      </c>
      <c r="AD21">
        <f t="shared" si="2"/>
        <v>0.63000000000000256</v>
      </c>
      <c r="AE21" s="138">
        <f t="shared" si="3"/>
        <v>1.7902813299233156E-3</v>
      </c>
    </row>
    <row r="22" spans="1:31" x14ac:dyDescent="0.25">
      <c r="W22" s="133">
        <v>42648</v>
      </c>
      <c r="X22" s="10">
        <v>39.020000000000003</v>
      </c>
      <c r="Y22" s="10">
        <v>39.42</v>
      </c>
      <c r="Z22" s="10">
        <v>38.83</v>
      </c>
      <c r="AA22" s="10">
        <v>39.1</v>
      </c>
      <c r="AB22" s="95">
        <v>4221600</v>
      </c>
      <c r="AC22" s="10">
        <v>39.1</v>
      </c>
      <c r="AD22">
        <f t="shared" si="2"/>
        <v>0.59000000000000341</v>
      </c>
      <c r="AE22" s="138">
        <f t="shared" si="3"/>
        <v>-1.5321756894789429E-3</v>
      </c>
    </row>
    <row r="23" spans="1:31" x14ac:dyDescent="0.25">
      <c r="W23" s="133">
        <v>42647</v>
      </c>
      <c r="X23" s="10">
        <v>40.32</v>
      </c>
      <c r="Y23" s="10">
        <v>40.49</v>
      </c>
      <c r="Z23" s="10">
        <v>39.090000000000003</v>
      </c>
      <c r="AA23" s="10">
        <v>39.159999999999997</v>
      </c>
      <c r="AB23" s="95">
        <v>10682200</v>
      </c>
      <c r="AC23" s="10">
        <v>39.159999999999997</v>
      </c>
      <c r="AD23">
        <f t="shared" si="2"/>
        <v>1.3999999999999986</v>
      </c>
      <c r="AE23" s="138">
        <f t="shared" si="3"/>
        <v>-1.4594866633115378E-2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42646</v>
      </c>
      <c r="X24" s="10">
        <v>38.85</v>
      </c>
      <c r="Y24" s="10">
        <v>39.74</v>
      </c>
      <c r="Z24" s="10">
        <v>38.700000000000003</v>
      </c>
      <c r="AA24" s="10">
        <v>39.74</v>
      </c>
      <c r="AB24" s="95">
        <v>8643600</v>
      </c>
      <c r="AC24" s="10">
        <v>39.74</v>
      </c>
      <c r="AD24">
        <f t="shared" si="2"/>
        <v>1.0399999999999991</v>
      </c>
      <c r="AE24" s="138">
        <f t="shared" si="3"/>
        <v>2.1856518385189094E-2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5">C25*(E25-D25)</f>
        <v>-168.40599999999995</v>
      </c>
      <c r="G25" s="40">
        <f t="shared" ref="G25" si="6">D25*C25</f>
        <v>5393.2060000000001</v>
      </c>
      <c r="H25" s="231">
        <f t="shared" ref="H25" si="7">(E25-D25)/D25</f>
        <v>-3.1225582705351872E-2</v>
      </c>
      <c r="I25" s="40"/>
      <c r="W25" s="133">
        <v>42643</v>
      </c>
      <c r="X25" s="10">
        <v>38.270000000000003</v>
      </c>
      <c r="Y25" s="10">
        <v>39.18</v>
      </c>
      <c r="Z25" s="10">
        <v>38.03</v>
      </c>
      <c r="AA25" s="10">
        <v>38.89</v>
      </c>
      <c r="AB25" s="95">
        <v>9364400</v>
      </c>
      <c r="AC25" s="10">
        <v>38.89</v>
      </c>
      <c r="AD25">
        <f t="shared" si="2"/>
        <v>1.1499999999999986</v>
      </c>
      <c r="AE25" s="138">
        <f t="shared" si="3"/>
        <v>1.939711664482302E-2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8">C26*(E26-D26)</f>
        <v>-97.006000000000228</v>
      </c>
      <c r="G26" s="40">
        <f t="shared" ref="G26" si="9">D26*C26</f>
        <v>5393.2060000000001</v>
      </c>
      <c r="H26" s="231">
        <f t="shared" ref="H26" si="10">(E26-D26)/D26</f>
        <v>-1.7986704012418631E-2</v>
      </c>
      <c r="I26" s="40"/>
      <c r="W26" s="133">
        <v>42642</v>
      </c>
      <c r="X26" s="10">
        <v>38.020000000000003</v>
      </c>
      <c r="Y26" s="10">
        <v>38.54</v>
      </c>
      <c r="Z26" s="10">
        <v>37.950000000000003</v>
      </c>
      <c r="AA26" s="10">
        <v>38.15</v>
      </c>
      <c r="AB26" s="95">
        <v>5535000</v>
      </c>
      <c r="AC26" s="10">
        <v>38.15</v>
      </c>
      <c r="AD26">
        <f t="shared" si="2"/>
        <v>0.58999999999999631</v>
      </c>
      <c r="AE26" s="138">
        <f t="shared" si="3"/>
        <v>2.1013921723140871E-3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1">C27*(E27-D27)</f>
        <v>-156.50200000000007</v>
      </c>
      <c r="G27" s="40">
        <f t="shared" ref="G27" si="12">D27*C27</f>
        <v>6507.7020000000002</v>
      </c>
      <c r="H27" s="231">
        <f t="shared" ref="H27" si="13">(E27-D27)/D27</f>
        <v>-2.4048734868314506E-2</v>
      </c>
      <c r="I27" s="40"/>
      <c r="W27" s="133">
        <v>42641</v>
      </c>
      <c r="X27" s="10">
        <v>38.53</v>
      </c>
      <c r="Y27" s="10">
        <v>38.950000000000003</v>
      </c>
      <c r="Z27" s="10">
        <v>37.950000000000003</v>
      </c>
      <c r="AA27" s="10">
        <v>38.07</v>
      </c>
      <c r="AB27" s="95">
        <v>7121100</v>
      </c>
      <c r="AC27" s="10">
        <v>38.07</v>
      </c>
      <c r="AD27">
        <f t="shared" si="2"/>
        <v>1</v>
      </c>
      <c r="AE27" s="138">
        <f t="shared" si="3"/>
        <v>-1.2195121951219523E-2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1"/>
        <v>-0.10199999999976228</v>
      </c>
      <c r="G28" s="40">
        <f t="shared" ref="G28" si="14">D28*C28</f>
        <v>6507.7020000000002</v>
      </c>
      <c r="H28" s="231">
        <f t="shared" ref="H28" si="15">(E28-D28)/D28</f>
        <v>-1.5673735521350285E-5</v>
      </c>
      <c r="I28" s="40"/>
      <c r="W28" s="133">
        <v>42640</v>
      </c>
      <c r="X28" s="10">
        <v>36.78</v>
      </c>
      <c r="Y28" s="10">
        <v>38.57</v>
      </c>
      <c r="Z28" s="10">
        <v>36.78</v>
      </c>
      <c r="AA28" s="10">
        <v>38.54</v>
      </c>
      <c r="AB28" s="95">
        <v>10038200</v>
      </c>
      <c r="AC28" s="10">
        <v>38.54</v>
      </c>
      <c r="AD28">
        <f t="shared" si="2"/>
        <v>1.7899999999999991</v>
      </c>
      <c r="AE28" s="138">
        <f t="shared" si="3"/>
        <v>4.5294277190127463E-2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1"/>
        <v>-216.00200000000029</v>
      </c>
      <c r="G29" s="40">
        <f t="shared" ref="G29" si="16">D29*C29</f>
        <v>6507.7020000000002</v>
      </c>
      <c r="H29" s="231">
        <f t="shared" ref="H29" si="17">(E29-D29)/D29</f>
        <v>-3.3191747255790181E-2</v>
      </c>
      <c r="I29" s="40"/>
      <c r="W29" s="133">
        <v>42639</v>
      </c>
      <c r="X29" s="10">
        <v>36.97</v>
      </c>
      <c r="Y29" s="10">
        <v>37.159999999999997</v>
      </c>
      <c r="Z29" s="10">
        <v>36.61</v>
      </c>
      <c r="AA29" s="10">
        <v>36.869999999999997</v>
      </c>
      <c r="AB29" s="95">
        <v>5718700</v>
      </c>
      <c r="AC29" s="10">
        <v>36.869999999999997</v>
      </c>
      <c r="AD29">
        <f t="shared" si="2"/>
        <v>0.54999999999999716</v>
      </c>
      <c r="AE29" s="138">
        <f t="shared" si="3"/>
        <v>-9.9355531686360354E-3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1"/>
        <v>-465.9020000000001</v>
      </c>
      <c r="G30" s="40">
        <f t="shared" ref="G30" si="18">D30*C30</f>
        <v>6507.7020000000002</v>
      </c>
      <c r="H30" s="231">
        <f t="shared" ref="H30" si="19">(E30-D30)/D30</f>
        <v>-7.1592399283187849E-2</v>
      </c>
      <c r="I30" s="40"/>
      <c r="W30" s="133">
        <v>42636</v>
      </c>
      <c r="X30" s="10">
        <v>37.25</v>
      </c>
      <c r="Y30" s="10">
        <v>37.39</v>
      </c>
      <c r="Z30" s="10">
        <v>36.770000000000003</v>
      </c>
      <c r="AA30" s="10">
        <v>37.24</v>
      </c>
      <c r="AB30" s="95">
        <v>4628200</v>
      </c>
      <c r="AC30" s="10">
        <v>37.24</v>
      </c>
      <c r="AD30">
        <f t="shared" si="2"/>
        <v>0.61999999999999744</v>
      </c>
      <c r="AE30" s="138">
        <f t="shared" si="3"/>
        <v>-2.4109295472809489E-3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1"/>
        <v>-219.40199999999962</v>
      </c>
      <c r="G31" s="40">
        <f t="shared" ref="G31:G32" si="20">D31*C31</f>
        <v>6507.7020000000002</v>
      </c>
      <c r="H31" s="231">
        <f t="shared" ref="H31:H32" si="21">(E31-D31)/D31</f>
        <v>-3.3714205106502977E-2</v>
      </c>
      <c r="I31" s="40"/>
      <c r="W31" s="133">
        <v>42635</v>
      </c>
      <c r="X31" s="10">
        <v>37.090000000000003</v>
      </c>
      <c r="Y31" s="10">
        <v>37.67</v>
      </c>
      <c r="Z31" s="10">
        <v>36.92</v>
      </c>
      <c r="AA31" s="10">
        <v>37.33</v>
      </c>
      <c r="AB31" s="95">
        <v>6559600</v>
      </c>
      <c r="AC31" s="10">
        <v>37.33</v>
      </c>
      <c r="AD31">
        <f t="shared" si="2"/>
        <v>0.75</v>
      </c>
      <c r="AE31" s="138">
        <f t="shared" si="3"/>
        <v>1.1379030073150886E-2</v>
      </c>
    </row>
    <row r="32" spans="1:31" x14ac:dyDescent="0.25">
      <c r="B32" s="193">
        <v>42598</v>
      </c>
      <c r="C32" s="512">
        <v>200</v>
      </c>
      <c r="D32" s="516">
        <v>38.025500000000001</v>
      </c>
      <c r="E32" s="40">
        <v>36.520000000000003</v>
      </c>
      <c r="F32" s="40">
        <f t="shared" si="11"/>
        <v>-301.09999999999957</v>
      </c>
      <c r="G32" s="40">
        <f t="shared" si="20"/>
        <v>7605.1</v>
      </c>
      <c r="H32" s="231">
        <f t="shared" si="21"/>
        <v>-3.9591852835597109E-2</v>
      </c>
      <c r="I32" s="40"/>
      <c r="W32" s="133">
        <v>42634</v>
      </c>
      <c r="X32" s="10">
        <v>36.799999999999997</v>
      </c>
      <c r="Y32" s="10">
        <v>37.06</v>
      </c>
      <c r="Z32" s="10">
        <v>36.31</v>
      </c>
      <c r="AA32" s="10">
        <v>36.909999999999997</v>
      </c>
      <c r="AB32" s="95">
        <v>4971100</v>
      </c>
      <c r="AC32" s="10">
        <v>36.909999999999997</v>
      </c>
      <c r="AD32">
        <f t="shared" si="2"/>
        <v>0.75</v>
      </c>
      <c r="AE32" s="138">
        <f t="shared" si="3"/>
        <v>2.444323737099241E-3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2">C33*(E33-D33)</f>
        <v>-235.09999999999991</v>
      </c>
      <c r="G33" s="40">
        <f t="shared" ref="G33" si="23">D33*C33</f>
        <v>7605.1</v>
      </c>
      <c r="H33" s="231">
        <f t="shared" ref="H33" si="24">(E33-D33)/D33</f>
        <v>-3.0913465963629656E-2</v>
      </c>
      <c r="I33" s="236"/>
      <c r="W33" s="133">
        <v>42633</v>
      </c>
      <c r="X33" s="10">
        <v>36.79</v>
      </c>
      <c r="Y33" s="10">
        <v>37.200000000000003</v>
      </c>
      <c r="Z33" s="10">
        <v>36.630000000000003</v>
      </c>
      <c r="AA33" s="10">
        <v>36.82</v>
      </c>
      <c r="AB33" s="95">
        <v>3312000</v>
      </c>
      <c r="AC33" s="10">
        <v>36.82</v>
      </c>
      <c r="AD33">
        <f t="shared" si="2"/>
        <v>0.57000000000000028</v>
      </c>
      <c r="AE33" s="138">
        <f t="shared" si="3"/>
        <v>3.2697547683921968E-3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5">C34*(E34-D34)</f>
        <v>-335.09999999999991</v>
      </c>
      <c r="G34" s="40">
        <f t="shared" ref="G34" si="26">D34*C34</f>
        <v>7605.1</v>
      </c>
      <c r="H34" s="231">
        <f t="shared" ref="H34" si="27">(E34-D34)/D34</f>
        <v>-4.4062536981762226E-2</v>
      </c>
      <c r="I34" s="40"/>
      <c r="W34" s="133">
        <v>42632</v>
      </c>
      <c r="X34" s="10">
        <v>36.71</v>
      </c>
      <c r="Y34" s="10">
        <v>37.18</v>
      </c>
      <c r="Z34" s="10">
        <v>36.590000000000003</v>
      </c>
      <c r="AA34" s="10">
        <v>36.700000000000003</v>
      </c>
      <c r="AB34" s="95">
        <v>5395200</v>
      </c>
      <c r="AC34" s="10">
        <v>36.700000000000003</v>
      </c>
      <c r="AD34">
        <f t="shared" si="2"/>
        <v>0.58999999999999631</v>
      </c>
      <c r="AE34" s="138">
        <f t="shared" si="3"/>
        <v>3.0062858704564821E-3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8">C35*(E35-D35)</f>
        <v>-267.10000000000065</v>
      </c>
      <c r="G35" s="40">
        <f t="shared" ref="G35" si="29">D35*C35</f>
        <v>7605.1</v>
      </c>
      <c r="H35" s="231">
        <f t="shared" ref="H35" si="30">(E35-D35)/D35</f>
        <v>-3.5121168689432179E-2</v>
      </c>
      <c r="I35" s="40"/>
      <c r="W35" s="133">
        <v>42629</v>
      </c>
      <c r="X35" s="10">
        <v>36.9</v>
      </c>
      <c r="Y35" s="10">
        <v>36.9</v>
      </c>
      <c r="Z35" s="10">
        <v>36.51</v>
      </c>
      <c r="AA35" s="10">
        <v>36.590000000000003</v>
      </c>
      <c r="AB35" s="95">
        <v>6268400</v>
      </c>
      <c r="AC35" s="10">
        <v>36.590000000000003</v>
      </c>
      <c r="AD35">
        <f t="shared" si="2"/>
        <v>0.39000000000000057</v>
      </c>
      <c r="AE35" s="138">
        <f t="shared" si="3"/>
        <v>-1.081373344147063E-2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1">C36*(E36-D36)</f>
        <v>-315.09999999999962</v>
      </c>
      <c r="G36" s="40">
        <f t="shared" ref="G36" si="32">D36*C36</f>
        <v>7605.1</v>
      </c>
      <c r="H36" s="231">
        <f t="shared" ref="H36" si="33">(E36-D36)/D36</f>
        <v>-4.1432722778135672E-2</v>
      </c>
      <c r="I36" s="40"/>
      <c r="W36" s="133">
        <v>42628</v>
      </c>
      <c r="X36" s="10">
        <v>36.81</v>
      </c>
      <c r="Y36" s="10">
        <v>37.119999999999997</v>
      </c>
      <c r="Z36" s="10">
        <v>36.450000000000003</v>
      </c>
      <c r="AA36" s="10">
        <v>36.99</v>
      </c>
      <c r="AB36" s="95">
        <v>4405400</v>
      </c>
      <c r="AC36" s="10">
        <v>36.99</v>
      </c>
      <c r="AD36">
        <f t="shared" si="2"/>
        <v>0.6699999999999946</v>
      </c>
      <c r="AE36" s="138">
        <f t="shared" si="3"/>
        <v>4.0716612377849071E-3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4">C37*(E37-D37)</f>
        <v>-169.10000000000025</v>
      </c>
      <c r="G37" s="40">
        <f t="shared" ref="G37" si="35">D37*C37</f>
        <v>7605.1</v>
      </c>
      <c r="H37" s="231">
        <f t="shared" ref="H37" si="36">(E37-D37)/D37</f>
        <v>-2.2235079091662207E-2</v>
      </c>
      <c r="I37" s="40"/>
      <c r="W37" s="133">
        <v>42627</v>
      </c>
      <c r="X37" s="10">
        <v>37.14</v>
      </c>
      <c r="Y37" s="10">
        <v>37.409999999999997</v>
      </c>
      <c r="Z37" s="10">
        <v>36.65</v>
      </c>
      <c r="AA37" s="10">
        <v>36.840000000000003</v>
      </c>
      <c r="AB37" s="95">
        <v>5071700</v>
      </c>
      <c r="AC37" s="10">
        <v>36.840000000000003</v>
      </c>
      <c r="AD37">
        <f t="shared" si="2"/>
        <v>0.75999999999999801</v>
      </c>
      <c r="AE37" s="138">
        <f t="shared" si="3"/>
        <v>-8.0775444264942209E-3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:F39" si="37">C38*(E38-D38)</f>
        <v>-227.10000000000008</v>
      </c>
      <c r="G38" s="40">
        <f t="shared" ref="G38:G39" si="38">D38*C38</f>
        <v>7605.1</v>
      </c>
      <c r="H38" s="231">
        <f t="shared" ref="H38:H39" si="39">(E38-D38)/D38</f>
        <v>-2.9861540282179074E-2</v>
      </c>
      <c r="I38" s="40"/>
      <c r="W38" s="133">
        <v>42626</v>
      </c>
      <c r="X38" s="10">
        <v>37.729999999999997</v>
      </c>
      <c r="Y38" s="10">
        <v>38.090000000000003</v>
      </c>
      <c r="Z38" s="10">
        <v>37.01</v>
      </c>
      <c r="AA38" s="10">
        <v>37.14</v>
      </c>
      <c r="AB38" s="95">
        <v>6749000</v>
      </c>
      <c r="AC38" s="10">
        <v>37.14</v>
      </c>
      <c r="AD38">
        <f t="shared" si="2"/>
        <v>1.0800000000000054</v>
      </c>
      <c r="AE38" s="138">
        <f t="shared" si="3"/>
        <v>-1.7979904812268632E-2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37"/>
        <v>110.81999999999965</v>
      </c>
      <c r="G39" s="40">
        <f t="shared" si="38"/>
        <v>3757.1800000000003</v>
      </c>
      <c r="H39" s="231">
        <f t="shared" si="39"/>
        <v>2.9495525899743861E-2</v>
      </c>
      <c r="I39" s="40"/>
      <c r="W39" s="133">
        <v>42625</v>
      </c>
      <c r="X39" s="10">
        <v>36.94</v>
      </c>
      <c r="Y39" s="10">
        <v>37.93</v>
      </c>
      <c r="Z39" s="10">
        <v>36.64</v>
      </c>
      <c r="AA39" s="10">
        <v>37.82</v>
      </c>
      <c r="AB39" s="95">
        <v>5192900</v>
      </c>
      <c r="AC39" s="10">
        <v>37.82</v>
      </c>
      <c r="AD39">
        <f t="shared" si="2"/>
        <v>1.2899999999999991</v>
      </c>
      <c r="AE39" s="138">
        <f t="shared" si="3"/>
        <v>1.2854847348687581E-2</v>
      </c>
    </row>
    <row r="40" spans="2:31" ht="20.25" thickBot="1" x14ac:dyDescent="0.35">
      <c r="B40" s="193">
        <v>42621</v>
      </c>
      <c r="C40" s="10">
        <v>100</v>
      </c>
      <c r="D40" s="40">
        <v>37.3718</v>
      </c>
      <c r="E40" s="40">
        <v>38.76</v>
      </c>
      <c r="F40" s="40">
        <f t="shared" ref="F40" si="40">C40*(E40-D40)</f>
        <v>138.81999999999977</v>
      </c>
      <c r="G40" s="40">
        <f t="shared" ref="G40" si="41">D40*C40</f>
        <v>3737.18</v>
      </c>
      <c r="H40" s="231">
        <f t="shared" ref="H40" si="42">(E40-D40)/D40</f>
        <v>3.7145655280184459E-2</v>
      </c>
      <c r="I40" s="40"/>
      <c r="O40" s="588" t="s">
        <v>78</v>
      </c>
      <c r="P40" s="588"/>
      <c r="W40" s="133">
        <v>42622</v>
      </c>
      <c r="X40" s="10">
        <v>38.68</v>
      </c>
      <c r="Y40" s="10">
        <v>38.69</v>
      </c>
      <c r="Z40" s="10">
        <v>37.18</v>
      </c>
      <c r="AA40" s="10">
        <v>37.340000000000003</v>
      </c>
      <c r="AB40" s="95">
        <v>9013300</v>
      </c>
      <c r="AC40" s="10">
        <v>37.340000000000003</v>
      </c>
      <c r="AD40">
        <f t="shared" si="2"/>
        <v>1.509999999999998</v>
      </c>
      <c r="AE40" s="138">
        <f t="shared" si="3"/>
        <v>-3.663570691434459E-2</v>
      </c>
    </row>
    <row r="41" spans="2:31" ht="15.75" thickTop="1" x14ac:dyDescent="0.25">
      <c r="B41" s="193">
        <v>42622</v>
      </c>
      <c r="C41" s="10">
        <v>100</v>
      </c>
      <c r="D41" s="40">
        <v>37.3718</v>
      </c>
      <c r="E41" s="40">
        <v>37.340000000000003</v>
      </c>
      <c r="F41" s="40">
        <f t="shared" ref="F41" si="43">C41*(E41-D41)</f>
        <v>-3.1799999999996942</v>
      </c>
      <c r="G41" s="40">
        <f t="shared" ref="G41" si="44">D41*C41</f>
        <v>3737.18</v>
      </c>
      <c r="H41" s="231">
        <f t="shared" ref="H41" si="45">(E41-D41)/D41</f>
        <v>-8.5090897414619962E-4</v>
      </c>
      <c r="I41" s="40"/>
      <c r="O41" s="83">
        <v>1.1000000000000001</v>
      </c>
      <c r="P41" s="83">
        <f>O41*$Q$4</f>
        <v>43.571000000000005</v>
      </c>
      <c r="Q41" s="2"/>
      <c r="W41" s="133">
        <v>42621</v>
      </c>
      <c r="X41" s="10">
        <v>38.54</v>
      </c>
      <c r="Y41" s="10">
        <v>39.06</v>
      </c>
      <c r="Z41" s="10">
        <v>38.43</v>
      </c>
      <c r="AA41" s="10">
        <v>38.76</v>
      </c>
      <c r="AB41" s="95">
        <v>7353400</v>
      </c>
      <c r="AC41" s="10">
        <v>38.76</v>
      </c>
      <c r="AD41">
        <f t="shared" si="2"/>
        <v>0.63000000000000256</v>
      </c>
      <c r="AE41" s="138">
        <f t="shared" si="3"/>
        <v>2.0682523267838704E-3</v>
      </c>
    </row>
    <row r="42" spans="2:31" ht="20.25" thickBot="1" x14ac:dyDescent="0.35">
      <c r="B42" s="193">
        <v>42625</v>
      </c>
      <c r="C42" s="10">
        <v>100</v>
      </c>
      <c r="D42" s="40">
        <v>37.3718</v>
      </c>
      <c r="E42" s="40">
        <v>37.82</v>
      </c>
      <c r="F42" s="40">
        <f t="shared" ref="F42" si="46">C42*(E42-D42)</f>
        <v>44.819999999999993</v>
      </c>
      <c r="G42" s="40">
        <f t="shared" ref="G42" si="47">D42*C42</f>
        <v>3737.18</v>
      </c>
      <c r="H42" s="231">
        <f t="shared" ref="H42" si="48">(E42-D42)/D42</f>
        <v>1.1993000069571172E-2</v>
      </c>
      <c r="I42" s="40"/>
      <c r="O42" s="83">
        <v>1.0900000000000001</v>
      </c>
      <c r="P42" s="83">
        <f t="shared" ref="P42:P61" si="49">O42*$Q$4</f>
        <v>43.174900000000001</v>
      </c>
      <c r="Q42" s="2"/>
      <c r="T42" s="91" t="s">
        <v>113</v>
      </c>
      <c r="W42" s="133">
        <v>42620</v>
      </c>
      <c r="X42" s="10">
        <v>37.32</v>
      </c>
      <c r="Y42" s="10">
        <v>38.840000000000003</v>
      </c>
      <c r="Z42" s="10">
        <v>37.28</v>
      </c>
      <c r="AA42" s="10">
        <v>38.68</v>
      </c>
      <c r="AB42" s="95">
        <v>11627700</v>
      </c>
      <c r="AC42" s="10">
        <v>38.68</v>
      </c>
      <c r="AD42">
        <f t="shared" si="2"/>
        <v>1.5600000000000023</v>
      </c>
      <c r="AE42" s="138">
        <f t="shared" si="3"/>
        <v>4.6820027063599445E-2</v>
      </c>
    </row>
    <row r="43" spans="2:31" ht="15.75" thickTop="1" x14ac:dyDescent="0.25">
      <c r="B43" s="193">
        <v>42635</v>
      </c>
      <c r="C43" s="10">
        <v>100</v>
      </c>
      <c r="D43" s="40">
        <v>37.3718</v>
      </c>
      <c r="E43" s="40">
        <v>37.33</v>
      </c>
      <c r="F43" s="40">
        <f t="shared" ref="F43" si="50">C43*(E43-D43)</f>
        <v>-4.1800000000002058</v>
      </c>
      <c r="G43" s="40">
        <f t="shared" ref="G43" si="51">D43*C43</f>
        <v>3737.18</v>
      </c>
      <c r="H43" s="231">
        <f t="shared" ref="H43" si="52">(E43-D43)/D43</f>
        <v>-1.1184904125571167E-3</v>
      </c>
      <c r="I43" s="40"/>
      <c r="O43" s="83">
        <v>1.08</v>
      </c>
      <c r="P43" s="83">
        <f t="shared" si="49"/>
        <v>42.778800000000004</v>
      </c>
      <c r="Q43" s="2"/>
      <c r="T43" s="128" t="s">
        <v>98</v>
      </c>
      <c r="U43" s="129">
        <v>39.68</v>
      </c>
      <c r="W43" s="133">
        <v>42619</v>
      </c>
      <c r="X43" s="10">
        <v>36.89</v>
      </c>
      <c r="Y43" s="10">
        <v>37.07</v>
      </c>
      <c r="Z43" s="10">
        <v>36.56</v>
      </c>
      <c r="AA43" s="10">
        <v>36.950000000000003</v>
      </c>
      <c r="AB43" s="95">
        <v>6383300</v>
      </c>
      <c r="AC43" s="10">
        <v>36.950000000000003</v>
      </c>
      <c r="AD43">
        <f t="shared" si="2"/>
        <v>0.50999999999999801</v>
      </c>
      <c r="AE43" s="138">
        <f t="shared" si="3"/>
        <v>1.6264570344266538E-3</v>
      </c>
    </row>
    <row r="44" spans="2:31" x14ac:dyDescent="0.25">
      <c r="B44" s="193">
        <v>42640</v>
      </c>
      <c r="C44" s="10">
        <v>0</v>
      </c>
      <c r="D44" s="40"/>
      <c r="E44" s="40"/>
      <c r="F44" s="40">
        <v>117.74</v>
      </c>
      <c r="G44" s="40"/>
      <c r="H44" s="231"/>
      <c r="I44" s="40"/>
      <c r="O44" s="83">
        <v>1.07</v>
      </c>
      <c r="P44" s="83">
        <f t="shared" si="49"/>
        <v>42.3827</v>
      </c>
      <c r="Q44" s="2"/>
      <c r="T44" s="93" t="s">
        <v>99</v>
      </c>
      <c r="U44" s="130">
        <v>39.57</v>
      </c>
      <c r="W44" s="133">
        <v>42615</v>
      </c>
      <c r="X44" s="10">
        <v>36.57</v>
      </c>
      <c r="Y44" s="10">
        <v>37.01</v>
      </c>
      <c r="Z44" s="10">
        <v>36.520000000000003</v>
      </c>
      <c r="AA44" s="10">
        <v>36.89</v>
      </c>
      <c r="AB44" s="95">
        <v>4456000</v>
      </c>
      <c r="AC44" s="10">
        <v>36.89</v>
      </c>
      <c r="AD44">
        <f t="shared" si="2"/>
        <v>0.48999999999999488</v>
      </c>
      <c r="AE44" s="138">
        <f t="shared" si="3"/>
        <v>8.1989614648809717E-3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9"/>
        <v>41.986600000000003</v>
      </c>
      <c r="Q45" s="2"/>
      <c r="T45" s="93" t="s">
        <v>100</v>
      </c>
      <c r="U45" s="130" t="s">
        <v>611</v>
      </c>
      <c r="W45" s="133">
        <v>42614</v>
      </c>
      <c r="X45" s="10">
        <v>36.880000000000003</v>
      </c>
      <c r="Y45" s="10">
        <v>37.25</v>
      </c>
      <c r="Z45" s="10">
        <v>36.409999999999997</v>
      </c>
      <c r="AA45" s="10">
        <v>36.590000000000003</v>
      </c>
      <c r="AB45" s="95">
        <v>4781400</v>
      </c>
      <c r="AC45" s="10">
        <v>36.590000000000003</v>
      </c>
      <c r="AD45">
        <f t="shared" si="2"/>
        <v>0.84000000000000341</v>
      </c>
      <c r="AE45" s="138">
        <f t="shared" si="3"/>
        <v>-7.8633405639912946E-3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9"/>
        <v>41.590499999999999</v>
      </c>
      <c r="Q46" s="2"/>
      <c r="T46" s="93" t="s">
        <v>101</v>
      </c>
      <c r="U46" s="130" t="s">
        <v>612</v>
      </c>
      <c r="W46" s="133">
        <v>42613</v>
      </c>
      <c r="X46" s="10">
        <v>37.200000000000003</v>
      </c>
      <c r="Y46" s="10">
        <v>37.619999999999997</v>
      </c>
      <c r="Z46" s="10">
        <v>36.4</v>
      </c>
      <c r="AA46" s="10">
        <v>36.880000000000003</v>
      </c>
      <c r="AB46" s="95">
        <v>8148200</v>
      </c>
      <c r="AC46" s="10">
        <v>36.880000000000003</v>
      </c>
      <c r="AD46">
        <f t="shared" si="2"/>
        <v>1.2199999999999989</v>
      </c>
      <c r="AE46" s="138">
        <f t="shared" si="3"/>
        <v>-8.0688542227003168E-3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9"/>
        <v>41.194400000000002</v>
      </c>
      <c r="Q47" s="2"/>
      <c r="T47" s="93" t="s">
        <v>102</v>
      </c>
      <c r="U47" s="130">
        <v>48.75</v>
      </c>
      <c r="W47" s="133">
        <v>42612</v>
      </c>
      <c r="X47" s="10">
        <v>36.450000000000003</v>
      </c>
      <c r="Y47" s="10">
        <v>37.340000000000003</v>
      </c>
      <c r="Z47" s="10">
        <v>36.369999999999997</v>
      </c>
      <c r="AA47" s="10">
        <v>37.18</v>
      </c>
      <c r="AB47" s="95">
        <v>6007300</v>
      </c>
      <c r="AC47" s="10">
        <v>37.18</v>
      </c>
      <c r="AD47">
        <f t="shared" si="2"/>
        <v>0.97000000000000597</v>
      </c>
      <c r="AE47" s="138">
        <f t="shared" si="3"/>
        <v>2.0027434842249558E-2</v>
      </c>
    </row>
    <row r="48" spans="2:31" x14ac:dyDescent="0.25">
      <c r="O48" s="83">
        <v>1.03</v>
      </c>
      <c r="P48" s="83">
        <f t="shared" si="49"/>
        <v>40.798299999999998</v>
      </c>
      <c r="Q48" s="2"/>
      <c r="T48" s="93" t="s">
        <v>103</v>
      </c>
      <c r="U48" s="130">
        <v>1.0437799999999999</v>
      </c>
      <c r="W48" s="133">
        <v>42611</v>
      </c>
      <c r="X48" s="10">
        <v>36.409999999999997</v>
      </c>
      <c r="Y48" s="10">
        <v>36.54</v>
      </c>
      <c r="Z48" s="10">
        <v>36.32</v>
      </c>
      <c r="AA48" s="10">
        <v>36.450000000000003</v>
      </c>
      <c r="AB48" s="95">
        <v>4108700</v>
      </c>
      <c r="AC48" s="10">
        <v>36.450000000000003</v>
      </c>
      <c r="AD48">
        <f t="shared" si="2"/>
        <v>0.21999999999999886</v>
      </c>
      <c r="AE48" s="138">
        <f t="shared" si="3"/>
        <v>4.9627791563275903E-3</v>
      </c>
    </row>
    <row r="49" spans="1:31" x14ac:dyDescent="0.25">
      <c r="O49" s="83">
        <v>1.02</v>
      </c>
      <c r="P49" s="83">
        <f t="shared" si="49"/>
        <v>40.402200000000001</v>
      </c>
      <c r="Q49" s="2"/>
      <c r="T49" s="93" t="s">
        <v>104</v>
      </c>
      <c r="U49" s="130" t="s">
        <v>409</v>
      </c>
      <c r="W49" s="133">
        <v>42608</v>
      </c>
      <c r="X49" s="10">
        <v>36.729999999999997</v>
      </c>
      <c r="Y49" s="10">
        <v>36.770000000000003</v>
      </c>
      <c r="Z49" s="10">
        <v>36.049999999999997</v>
      </c>
      <c r="AA49" s="10">
        <v>36.270000000000003</v>
      </c>
      <c r="AB49" s="95">
        <v>5245500</v>
      </c>
      <c r="AC49" s="10">
        <v>36.270000000000003</v>
      </c>
      <c r="AD49">
        <f t="shared" si="2"/>
        <v>0.72000000000000597</v>
      </c>
      <c r="AE49" s="138">
        <f t="shared" si="3"/>
        <v>-1.1447260834014594E-2</v>
      </c>
    </row>
    <row r="50" spans="1:31" x14ac:dyDescent="0.25">
      <c r="O50" s="83">
        <v>1.01</v>
      </c>
      <c r="P50" s="83">
        <f t="shared" si="49"/>
        <v>40.006099999999996</v>
      </c>
      <c r="Q50" s="2"/>
      <c r="T50" s="93"/>
      <c r="U50" s="130"/>
      <c r="W50" s="133">
        <v>42607</v>
      </c>
      <c r="X50" s="10">
        <v>36.549999999999997</v>
      </c>
      <c r="Y50" s="10">
        <v>36.85</v>
      </c>
      <c r="Z50" s="10">
        <v>36.43</v>
      </c>
      <c r="AA50" s="10">
        <v>36.69</v>
      </c>
      <c r="AB50" s="95">
        <v>3334900</v>
      </c>
      <c r="AC50" s="10">
        <v>36.69</v>
      </c>
      <c r="AD50">
        <f t="shared" si="2"/>
        <v>0.42000000000000171</v>
      </c>
      <c r="AE50" s="138">
        <f t="shared" si="3"/>
        <v>8.1833060556468773E-4</v>
      </c>
    </row>
    <row r="51" spans="1:31" x14ac:dyDescent="0.25">
      <c r="O51" s="83">
        <v>1</v>
      </c>
      <c r="P51" s="83">
        <f t="shared" si="49"/>
        <v>39.61</v>
      </c>
      <c r="Q51" s="2"/>
      <c r="T51" s="93" t="s">
        <v>105</v>
      </c>
      <c r="U51" s="130" t="s">
        <v>613</v>
      </c>
      <c r="W51" s="133">
        <v>42606</v>
      </c>
      <c r="X51" s="10">
        <v>36.6</v>
      </c>
      <c r="Y51" s="10">
        <v>36.840000000000003</v>
      </c>
      <c r="Z51" s="10">
        <v>36.42</v>
      </c>
      <c r="AA51" s="10">
        <v>36.659999999999997</v>
      </c>
      <c r="AB51" s="95">
        <v>4473300</v>
      </c>
      <c r="AC51" s="10">
        <v>36.659999999999997</v>
      </c>
      <c r="AD51">
        <f t="shared" si="2"/>
        <v>0.42000000000000171</v>
      </c>
      <c r="AE51" s="138">
        <f t="shared" si="3"/>
        <v>-8.1766148814399475E-4</v>
      </c>
    </row>
    <row r="52" spans="1:31" x14ac:dyDescent="0.25">
      <c r="O52" s="83">
        <v>0.99</v>
      </c>
      <c r="P52" s="83">
        <f t="shared" si="49"/>
        <v>39.213900000000002</v>
      </c>
      <c r="Q52" s="2"/>
      <c r="T52" s="93" t="s">
        <v>106</v>
      </c>
      <c r="U52" s="130" t="s">
        <v>307</v>
      </c>
      <c r="W52" s="133">
        <v>42605</v>
      </c>
      <c r="X52" s="10">
        <v>36.46</v>
      </c>
      <c r="Y52" s="10">
        <v>36.799999999999997</v>
      </c>
      <c r="Z52" s="10">
        <v>36.450000000000003</v>
      </c>
      <c r="AA52" s="10">
        <v>36.69</v>
      </c>
      <c r="AB52" s="95">
        <v>4566400</v>
      </c>
      <c r="AC52" s="10">
        <v>36.69</v>
      </c>
      <c r="AD52">
        <f t="shared" si="2"/>
        <v>0.34999999999999432</v>
      </c>
      <c r="AE52" s="138">
        <f t="shared" si="3"/>
        <v>1.1300992282249123E-2</v>
      </c>
    </row>
    <row r="53" spans="1:31" x14ac:dyDescent="0.25">
      <c r="O53" s="83">
        <v>0.98</v>
      </c>
      <c r="P53" s="83">
        <f t="shared" si="49"/>
        <v>38.817799999999998</v>
      </c>
      <c r="Q53" s="2"/>
      <c r="T53" s="93" t="s">
        <v>107</v>
      </c>
      <c r="U53" s="131">
        <v>6691512</v>
      </c>
      <c r="W53" s="133">
        <v>42604</v>
      </c>
      <c r="X53" s="10">
        <v>36.340000000000003</v>
      </c>
      <c r="Y53" s="10">
        <v>36.54</v>
      </c>
      <c r="Z53" s="10">
        <v>36.130000000000003</v>
      </c>
      <c r="AA53" s="10">
        <v>36.28</v>
      </c>
      <c r="AB53" s="95">
        <v>4829500</v>
      </c>
      <c r="AC53" s="10">
        <v>36.28</v>
      </c>
      <c r="AD53">
        <f t="shared" si="2"/>
        <v>0.40999999999999659</v>
      </c>
      <c r="AE53" s="138">
        <f t="shared" si="3"/>
        <v>-1.9257221458046647E-3</v>
      </c>
    </row>
    <row r="54" spans="1:31" x14ac:dyDescent="0.25">
      <c r="O54" s="83">
        <v>0.97</v>
      </c>
      <c r="P54" s="83">
        <f t="shared" si="49"/>
        <v>38.421700000000001</v>
      </c>
      <c r="T54" s="93" t="s">
        <v>110</v>
      </c>
      <c r="U54" s="131">
        <v>7449640</v>
      </c>
      <c r="W54" s="133">
        <v>42601</v>
      </c>
      <c r="X54" s="10">
        <v>36.71</v>
      </c>
      <c r="Y54" s="10">
        <v>36.799999999999997</v>
      </c>
      <c r="Z54" s="10">
        <v>36.299999999999997</v>
      </c>
      <c r="AA54" s="10">
        <v>36.35</v>
      </c>
      <c r="AB54" s="95">
        <v>7517200</v>
      </c>
      <c r="AC54" s="10">
        <v>36.35</v>
      </c>
      <c r="AD54">
        <f t="shared" si="2"/>
        <v>0.5</v>
      </c>
      <c r="AE54" s="138">
        <f t="shared" si="3"/>
        <v>-1.3300760043431059E-2</v>
      </c>
    </row>
    <row r="55" spans="1:31" x14ac:dyDescent="0.25">
      <c r="L55" t="s">
        <v>65</v>
      </c>
      <c r="M55" s="2">
        <f>M73+K73-F73</f>
        <v>117.73999999999978</v>
      </c>
      <c r="O55" s="83">
        <v>0.96</v>
      </c>
      <c r="P55" s="83">
        <f t="shared" si="49"/>
        <v>38.025599999999997</v>
      </c>
      <c r="T55" s="93" t="s">
        <v>108</v>
      </c>
      <c r="U55" s="130" t="s">
        <v>614</v>
      </c>
      <c r="W55" s="133">
        <v>42600</v>
      </c>
      <c r="X55" s="10">
        <v>36.85</v>
      </c>
      <c r="Y55" s="10">
        <v>36.9</v>
      </c>
      <c r="Z55" s="10">
        <v>36.520000000000003</v>
      </c>
      <c r="AA55" s="10">
        <v>36.840000000000003</v>
      </c>
      <c r="AB55" s="95">
        <v>4370500</v>
      </c>
      <c r="AC55" s="10">
        <v>36.840000000000003</v>
      </c>
      <c r="AD55">
        <f t="shared" si="2"/>
        <v>0.37999999999999545</v>
      </c>
      <c r="AE55" s="138">
        <f t="shared" si="3"/>
        <v>-2.7137042062408412E-4</v>
      </c>
    </row>
    <row r="56" spans="1:31" x14ac:dyDescent="0.25">
      <c r="A56" s="390" t="s">
        <v>1</v>
      </c>
      <c r="B56" s="390" t="s">
        <v>2</v>
      </c>
      <c r="C56" s="390" t="s">
        <v>4</v>
      </c>
      <c r="D56" s="392" t="s">
        <v>5</v>
      </c>
      <c r="E56" s="392" t="s">
        <v>94</v>
      </c>
      <c r="F56" s="392" t="s">
        <v>60</v>
      </c>
      <c r="G56" s="390" t="s">
        <v>3</v>
      </c>
      <c r="H56" s="390" t="s">
        <v>6</v>
      </c>
      <c r="I56" s="392" t="s">
        <v>7</v>
      </c>
      <c r="J56" s="392" t="s">
        <v>95</v>
      </c>
      <c r="K56" s="392" t="s">
        <v>61</v>
      </c>
      <c r="L56" s="390" t="s">
        <v>37</v>
      </c>
      <c r="M56" s="390" t="s">
        <v>38</v>
      </c>
      <c r="O56" s="83">
        <v>0.95</v>
      </c>
      <c r="P56" s="83">
        <f t="shared" si="49"/>
        <v>37.6295</v>
      </c>
      <c r="T56" s="93" t="s">
        <v>111</v>
      </c>
      <c r="U56" s="130">
        <v>11.27</v>
      </c>
      <c r="W56" s="133">
        <v>42599</v>
      </c>
      <c r="X56" s="10">
        <v>36.549999999999997</v>
      </c>
      <c r="Y56" s="10">
        <v>36.950000000000003</v>
      </c>
      <c r="Z56" s="10">
        <v>36.479999999999997</v>
      </c>
      <c r="AA56" s="10">
        <v>36.85</v>
      </c>
      <c r="AB56" s="95">
        <v>5891900</v>
      </c>
      <c r="AC56" s="10">
        <v>36.85</v>
      </c>
      <c r="AD56">
        <f t="shared" si="2"/>
        <v>0.47000000000000597</v>
      </c>
      <c r="AE56" s="138">
        <f t="shared" si="3"/>
        <v>9.0361445783131433E-3</v>
      </c>
    </row>
    <row r="57" spans="1:31" x14ac:dyDescent="0.25">
      <c r="A57" s="393" t="s">
        <v>36</v>
      </c>
      <c r="B57" s="383">
        <v>42572</v>
      </c>
      <c r="C57" s="384">
        <v>60</v>
      </c>
      <c r="D57" s="385">
        <v>39.58</v>
      </c>
      <c r="E57" s="385">
        <v>0</v>
      </c>
      <c r="F57" s="385">
        <f>C57*D57+E57</f>
        <v>2374.7999999999997</v>
      </c>
      <c r="G57" s="383">
        <v>42620</v>
      </c>
      <c r="H57" s="388">
        <v>100</v>
      </c>
      <c r="I57" s="385">
        <v>38.479999999999997</v>
      </c>
      <c r="J57" s="385">
        <v>0.08</v>
      </c>
      <c r="K57" s="385">
        <f>I57*H57-J57</f>
        <v>3847.9199999999996</v>
      </c>
      <c r="L57" s="383">
        <v>42621</v>
      </c>
      <c r="M57" s="385">
        <v>20</v>
      </c>
      <c r="O57" s="83">
        <v>0.94</v>
      </c>
      <c r="P57" s="83">
        <f t="shared" si="49"/>
        <v>37.233399999999996</v>
      </c>
      <c r="T57" s="93" t="s">
        <v>112</v>
      </c>
      <c r="U57" s="130">
        <v>3.51</v>
      </c>
      <c r="W57" s="133">
        <v>42598</v>
      </c>
      <c r="X57" s="10">
        <v>36.700000000000003</v>
      </c>
      <c r="Y57" s="10">
        <v>36.79</v>
      </c>
      <c r="Z57" s="10">
        <v>36.409999999999997</v>
      </c>
      <c r="AA57" s="10">
        <v>36.520000000000003</v>
      </c>
      <c r="AB57" s="95">
        <v>5773000</v>
      </c>
      <c r="AC57" s="10">
        <v>36.520000000000003</v>
      </c>
      <c r="AD57">
        <f t="shared" si="2"/>
        <v>0.38000000000000256</v>
      </c>
      <c r="AE57" s="138" t="e">
        <f t="shared" si="3"/>
        <v>#DIV/0!</v>
      </c>
    </row>
    <row r="58" spans="1:31" x14ac:dyDescent="0.25">
      <c r="A58" s="394" t="s">
        <v>71</v>
      </c>
      <c r="B58" s="383">
        <v>42572</v>
      </c>
      <c r="C58" s="384">
        <v>40</v>
      </c>
      <c r="D58" s="385">
        <v>37.880000000000003</v>
      </c>
      <c r="E58" s="385">
        <v>0</v>
      </c>
      <c r="F58" s="385">
        <f t="shared" ref="F58:F61" si="53">C58*D58+E58</f>
        <v>1515.2</v>
      </c>
      <c r="G58" s="383">
        <v>42640</v>
      </c>
      <c r="H58" s="388">
        <v>100</v>
      </c>
      <c r="I58" s="385">
        <v>38.549999999999997</v>
      </c>
      <c r="J58" s="385">
        <v>0.08</v>
      </c>
      <c r="K58" s="385">
        <f>I58*H58-J58</f>
        <v>3854.9199999999996</v>
      </c>
      <c r="L58" s="384"/>
      <c r="M58" s="384"/>
      <c r="O58" s="83">
        <v>0.93</v>
      </c>
      <c r="P58" s="83">
        <f t="shared" si="49"/>
        <v>36.837299999999999</v>
      </c>
      <c r="T58" s="93" t="s">
        <v>109</v>
      </c>
      <c r="U58" s="130" t="s">
        <v>448</v>
      </c>
      <c r="W58" s="133">
        <v>42598</v>
      </c>
      <c r="X58" s="10" t="s">
        <v>281</v>
      </c>
      <c r="Y58" s="10"/>
      <c r="Z58" s="10"/>
      <c r="AA58" s="10"/>
      <c r="AB58" s="95"/>
      <c r="AC58" s="10"/>
      <c r="AD58">
        <f t="shared" si="2"/>
        <v>0</v>
      </c>
      <c r="AE58" s="138">
        <f t="shared" si="3"/>
        <v>-1</v>
      </c>
    </row>
    <row r="59" spans="1:31" x14ac:dyDescent="0.25">
      <c r="A59" s="384"/>
      <c r="B59" s="383">
        <v>42572</v>
      </c>
      <c r="C59" s="384">
        <v>40</v>
      </c>
      <c r="D59" s="385">
        <v>37.58</v>
      </c>
      <c r="E59" s="385">
        <v>0</v>
      </c>
      <c r="F59" s="385">
        <f t="shared" si="53"/>
        <v>1503.1999999999998</v>
      </c>
      <c r="G59" s="384"/>
      <c r="H59" s="388"/>
      <c r="I59" s="385"/>
      <c r="J59" s="385"/>
      <c r="K59" s="385"/>
      <c r="L59" s="384"/>
      <c r="M59" s="384"/>
      <c r="O59" s="83">
        <v>0.92</v>
      </c>
      <c r="P59" s="83">
        <f t="shared" si="49"/>
        <v>36.441200000000002</v>
      </c>
      <c r="W59" s="133">
        <v>42597</v>
      </c>
      <c r="X59" s="10">
        <v>36.5</v>
      </c>
      <c r="Y59" s="10">
        <v>36.950000000000003</v>
      </c>
      <c r="Z59" s="10">
        <v>36.33</v>
      </c>
      <c r="AA59" s="10">
        <v>36.880000000000003</v>
      </c>
      <c r="AB59" s="95">
        <v>5617800</v>
      </c>
      <c r="AC59" s="10">
        <v>36.78</v>
      </c>
      <c r="AD59">
        <f t="shared" si="2"/>
        <v>0.62000000000000455</v>
      </c>
      <c r="AE59" s="138">
        <f t="shared" si="3"/>
        <v>9.884678747940745E-3</v>
      </c>
    </row>
    <row r="60" spans="1:31" x14ac:dyDescent="0.25">
      <c r="A60" s="384"/>
      <c r="B60" s="383">
        <v>42576</v>
      </c>
      <c r="C60" s="384">
        <v>30</v>
      </c>
      <c r="D60" s="385">
        <v>37.15</v>
      </c>
      <c r="E60" s="385">
        <v>0</v>
      </c>
      <c r="F60" s="385">
        <f t="shared" si="53"/>
        <v>1114.5</v>
      </c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49"/>
        <v>36.045099999999998</v>
      </c>
      <c r="W60" s="133">
        <v>42594</v>
      </c>
      <c r="X60" s="10">
        <v>37.07</v>
      </c>
      <c r="Y60" s="10">
        <v>37.21</v>
      </c>
      <c r="Z60" s="10">
        <v>36.42</v>
      </c>
      <c r="AA60" s="10">
        <v>36.520000000000003</v>
      </c>
      <c r="AB60" s="95">
        <v>7717800</v>
      </c>
      <c r="AC60" s="10">
        <v>36.42</v>
      </c>
      <c r="AD60">
        <f t="shared" si="2"/>
        <v>0.78999999999999915</v>
      </c>
      <c r="AE60" s="138">
        <f t="shared" si="3"/>
        <v>-1.9386106623586419E-2</v>
      </c>
    </row>
    <row r="61" spans="1:31" x14ac:dyDescent="0.25">
      <c r="A61" s="384"/>
      <c r="B61" s="383">
        <v>42594</v>
      </c>
      <c r="C61" s="384">
        <v>30</v>
      </c>
      <c r="D61" s="385">
        <v>36.58</v>
      </c>
      <c r="E61" s="385">
        <v>0</v>
      </c>
      <c r="F61" s="385">
        <f t="shared" si="53"/>
        <v>1097.3999999999999</v>
      </c>
      <c r="G61" s="384"/>
      <c r="H61" s="388"/>
      <c r="I61" s="385"/>
      <c r="J61" s="385"/>
      <c r="K61" s="385"/>
      <c r="L61" s="384"/>
      <c r="M61" s="384"/>
      <c r="O61" s="83">
        <v>0.9</v>
      </c>
      <c r="P61" s="83">
        <f t="shared" si="49"/>
        <v>35.649000000000001</v>
      </c>
      <c r="W61" s="133">
        <v>42593</v>
      </c>
      <c r="X61" s="10">
        <v>36.96</v>
      </c>
      <c r="Y61" s="10">
        <v>37.53</v>
      </c>
      <c r="Z61" s="10">
        <v>36.799999999999997</v>
      </c>
      <c r="AA61" s="10">
        <v>37.24</v>
      </c>
      <c r="AB61" s="95">
        <v>5974600</v>
      </c>
      <c r="AC61" s="10">
        <v>37.14</v>
      </c>
      <c r="AD61">
        <f t="shared" si="2"/>
        <v>0.73000000000000398</v>
      </c>
      <c r="AE61" s="138">
        <f t="shared" si="3"/>
        <v>6.7769043101111315E-3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33">
        <v>42592</v>
      </c>
      <c r="X62" s="10">
        <v>37.18</v>
      </c>
      <c r="Y62" s="10">
        <v>37.35</v>
      </c>
      <c r="Z62" s="10">
        <v>36.6</v>
      </c>
      <c r="AA62" s="10">
        <v>36.99</v>
      </c>
      <c r="AB62" s="95">
        <v>6507100</v>
      </c>
      <c r="AC62" s="10">
        <v>36.89</v>
      </c>
      <c r="AD62">
        <f t="shared" si="2"/>
        <v>0.75</v>
      </c>
      <c r="AE62" s="138">
        <f t="shared" si="3"/>
        <v>-1.2580299785867166E-2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33">
        <v>42591</v>
      </c>
      <c r="X63" s="10">
        <v>37.75</v>
      </c>
      <c r="Y63" s="10">
        <v>37.950000000000003</v>
      </c>
      <c r="Z63" s="10">
        <v>37.299999999999997</v>
      </c>
      <c r="AA63" s="10">
        <v>37.46</v>
      </c>
      <c r="AB63" s="95">
        <v>4827300</v>
      </c>
      <c r="AC63" s="10">
        <v>37.36</v>
      </c>
      <c r="AD63">
        <f t="shared" si="2"/>
        <v>0.65000000000000568</v>
      </c>
      <c r="AE63" s="138">
        <f t="shared" si="3"/>
        <v>2.6773761713516642E-4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33">
        <v>42590</v>
      </c>
      <c r="X64" s="10">
        <v>37.770000000000003</v>
      </c>
      <c r="Y64" s="10">
        <v>38.03</v>
      </c>
      <c r="Z64" s="10">
        <v>37.270000000000003</v>
      </c>
      <c r="AA64" s="10">
        <v>37.450000000000003</v>
      </c>
      <c r="AB64" s="95">
        <v>5918400</v>
      </c>
      <c r="AC64" s="10">
        <v>37.35</v>
      </c>
      <c r="AD64">
        <f t="shared" si="2"/>
        <v>0.75999999999999801</v>
      </c>
      <c r="AE64" s="138">
        <f t="shared" si="3"/>
        <v>-1.059602649006619E-2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8"/>
      <c r="I65" s="385"/>
      <c r="J65" s="385"/>
      <c r="K65" s="385"/>
      <c r="L65" s="384"/>
      <c r="M65" s="384"/>
      <c r="W65" s="133">
        <v>42587</v>
      </c>
      <c r="X65" s="10">
        <v>36.799999999999997</v>
      </c>
      <c r="Y65" s="10">
        <v>37.869999999999997</v>
      </c>
      <c r="Z65" s="10">
        <v>36.770000000000003</v>
      </c>
      <c r="AA65" s="10">
        <v>37.85</v>
      </c>
      <c r="AB65" s="95">
        <v>9160400</v>
      </c>
      <c r="AC65" s="10">
        <v>37.75</v>
      </c>
      <c r="AD65">
        <f t="shared" si="2"/>
        <v>1.0999999999999943</v>
      </c>
      <c r="AE65" s="138">
        <f t="shared" si="3"/>
        <v>3.937224669603534E-2</v>
      </c>
    </row>
    <row r="66" spans="1:31" x14ac:dyDescent="0.25">
      <c r="A66" s="384"/>
      <c r="B66" s="384"/>
      <c r="C66" s="384"/>
      <c r="D66" s="385"/>
      <c r="E66" s="385"/>
      <c r="F66" s="385"/>
      <c r="G66" s="384"/>
      <c r="H66" s="388"/>
      <c r="I66" s="385"/>
      <c r="J66" s="385"/>
      <c r="K66" s="385"/>
      <c r="L66" s="384"/>
      <c r="M66" s="384"/>
      <c r="W66" s="133">
        <v>42586</v>
      </c>
      <c r="X66" s="10">
        <v>36.21</v>
      </c>
      <c r="Y66" s="10">
        <v>36.81</v>
      </c>
      <c r="Z66" s="10">
        <v>36.090000000000003</v>
      </c>
      <c r="AA66" s="10">
        <v>36.42</v>
      </c>
      <c r="AB66" s="95">
        <v>7366200</v>
      </c>
      <c r="AC66" s="10">
        <v>36.32</v>
      </c>
      <c r="AD66">
        <f t="shared" si="2"/>
        <v>0.71999999999999886</v>
      </c>
      <c r="AE66" s="138">
        <f t="shared" si="3"/>
        <v>1.5092230296254838E-2</v>
      </c>
    </row>
    <row r="67" spans="1:31" x14ac:dyDescent="0.25">
      <c r="A67" s="384"/>
      <c r="B67" s="384"/>
      <c r="C67" s="384"/>
      <c r="D67" s="385"/>
      <c r="E67" s="385"/>
      <c r="F67" s="385"/>
      <c r="G67" s="384"/>
      <c r="H67" s="388"/>
      <c r="I67" s="385"/>
      <c r="J67" s="385"/>
      <c r="K67" s="385"/>
      <c r="L67" s="384"/>
      <c r="M67" s="384"/>
      <c r="W67" s="133">
        <v>42585</v>
      </c>
      <c r="X67" s="10">
        <v>35.5</v>
      </c>
      <c r="Y67" s="10">
        <v>36</v>
      </c>
      <c r="Z67" s="10">
        <v>35.43</v>
      </c>
      <c r="AA67" s="10">
        <v>35.880000000000003</v>
      </c>
      <c r="AB67" s="95">
        <v>6992300</v>
      </c>
      <c r="AC67" s="10">
        <v>35.78</v>
      </c>
      <c r="AD67">
        <f t="shared" si="2"/>
        <v>0.57000000000000028</v>
      </c>
      <c r="AE67" s="138">
        <f t="shared" si="3"/>
        <v>9.5936794582394125E-3</v>
      </c>
    </row>
    <row r="68" spans="1:31" x14ac:dyDescent="0.25">
      <c r="A68" s="384"/>
      <c r="B68" s="384"/>
      <c r="C68" s="384"/>
      <c r="D68" s="385"/>
      <c r="E68" s="385"/>
      <c r="F68" s="385"/>
      <c r="G68" s="384"/>
      <c r="H68" s="388"/>
      <c r="I68" s="385"/>
      <c r="J68" s="385"/>
      <c r="K68" s="385"/>
      <c r="L68" s="384"/>
      <c r="M68" s="384"/>
      <c r="W68" s="133">
        <v>42584</v>
      </c>
      <c r="X68" s="10">
        <v>36.85</v>
      </c>
      <c r="Y68" s="10">
        <v>36.94</v>
      </c>
      <c r="Z68" s="10">
        <v>35.42</v>
      </c>
      <c r="AA68" s="10">
        <v>35.54</v>
      </c>
      <c r="AB68" s="95">
        <v>9579900</v>
      </c>
      <c r="AC68" s="10">
        <v>35.44</v>
      </c>
      <c r="AD68">
        <f t="shared" si="2"/>
        <v>1.519999999999996</v>
      </c>
      <c r="AE68" s="138" t="e">
        <f>AC68/AC69-1</f>
        <v>#DIV/0!</v>
      </c>
    </row>
    <row r="69" spans="1:31" x14ac:dyDescent="0.25">
      <c r="A69" s="384"/>
      <c r="B69" s="384"/>
      <c r="C69" s="384"/>
      <c r="D69" s="385"/>
      <c r="E69" s="385"/>
      <c r="F69" s="385"/>
      <c r="G69" s="384"/>
      <c r="H69" s="388"/>
      <c r="I69" s="385"/>
      <c r="J69" s="385"/>
      <c r="K69" s="385"/>
      <c r="L69" s="384"/>
      <c r="M69" s="384"/>
      <c r="W69" s="133" t="s">
        <v>121</v>
      </c>
      <c r="X69" s="10"/>
      <c r="Y69" s="10"/>
      <c r="Z69" s="10"/>
      <c r="AA69" s="10"/>
      <c r="AB69" s="95"/>
      <c r="AC69" s="10"/>
      <c r="AD69">
        <f t="shared" ref="AD69" si="54">Y69-Z69</f>
        <v>0</v>
      </c>
      <c r="AE69" s="138" t="e">
        <f t="shared" ref="AE69" si="55">AC69/AC70-1</f>
        <v>#DIV/0!</v>
      </c>
    </row>
    <row r="70" spans="1:31" x14ac:dyDescent="0.25">
      <c r="A70" s="384"/>
      <c r="B70" s="384"/>
      <c r="C70" s="384"/>
      <c r="D70" s="385"/>
      <c r="E70" s="385"/>
      <c r="F70" s="385"/>
      <c r="G70" s="384"/>
      <c r="H70" s="388"/>
      <c r="I70" s="385"/>
      <c r="J70" s="385"/>
      <c r="K70" s="385"/>
      <c r="L70" s="384"/>
      <c r="M70" s="384"/>
    </row>
    <row r="71" spans="1:31" x14ac:dyDescent="0.25">
      <c r="A71" s="384"/>
      <c r="B71" s="384"/>
      <c r="C71" s="384"/>
      <c r="D71" s="385"/>
      <c r="E71" s="385"/>
      <c r="F71" s="385"/>
      <c r="G71" s="384"/>
      <c r="H71" s="388"/>
      <c r="I71" s="385"/>
      <c r="J71" s="385"/>
      <c r="K71" s="385"/>
      <c r="L71" s="384"/>
      <c r="M71" s="384"/>
    </row>
    <row r="72" spans="1:31" x14ac:dyDescent="0.25">
      <c r="A72" s="384"/>
      <c r="B72" s="384"/>
      <c r="C72" s="384"/>
      <c r="D72" s="385"/>
      <c r="E72" s="385"/>
      <c r="F72" s="385"/>
      <c r="G72" s="384"/>
      <c r="H72" s="384"/>
      <c r="I72" s="385"/>
      <c r="J72" s="385"/>
      <c r="K72" s="385"/>
      <c r="L72" s="384"/>
      <c r="M72" s="384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91"/>
      <c r="B74" s="492"/>
      <c r="C74" s="493"/>
      <c r="D74" s="493"/>
      <c r="E74" s="493"/>
      <c r="F74" s="494"/>
      <c r="G74" s="493"/>
      <c r="H74" s="493"/>
      <c r="I74" s="493"/>
      <c r="J74" s="493"/>
      <c r="K74" s="494"/>
      <c r="L74" s="493"/>
      <c r="M74" s="494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687" priority="15">
      <formula>F39&gt;0</formula>
    </cfRule>
    <cfRule type="expression" dxfId="686" priority="16">
      <formula>F39&lt;0</formula>
    </cfRule>
  </conditionalFormatting>
  <conditionalFormatting sqref="Q7">
    <cfRule type="expression" dxfId="685" priority="13">
      <formula>Q7&gt;0</formula>
    </cfRule>
    <cfRule type="expression" dxfId="684" priority="14">
      <formula>Q7&lt;0</formula>
    </cfRule>
  </conditionalFormatting>
  <conditionalFormatting sqref="Q8">
    <cfRule type="expression" dxfId="683" priority="11">
      <formula>Q8&gt;0</formula>
    </cfRule>
    <cfRule type="expression" dxfId="682" priority="12">
      <formula>Q8&lt;0</formula>
    </cfRule>
  </conditionalFormatting>
  <conditionalFormatting sqref="F25:F38">
    <cfRule type="expression" dxfId="681" priority="9">
      <formula>F25&gt;0</formula>
    </cfRule>
    <cfRule type="expression" dxfId="680" priority="10">
      <formula>F25&lt;0</formula>
    </cfRule>
  </conditionalFormatting>
  <conditionalFormatting sqref="H25:H38">
    <cfRule type="expression" dxfId="679" priority="7">
      <formula>H25&gt;0</formula>
    </cfRule>
    <cfRule type="expression" dxfId="678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677" priority="3">
      <formula>M55&gt;0</formula>
    </cfRule>
    <cfRule type="expression" dxfId="676" priority="4">
      <formula>M55&lt;0</formula>
    </cfRule>
  </conditionalFormatting>
  <conditionalFormatting sqref="Q10">
    <cfRule type="expression" dxfId="675" priority="1">
      <formula>Q10&gt;0</formula>
    </cfRule>
    <cfRule type="expression" dxfId="674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8.42578125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396</v>
      </c>
      <c r="B2" s="525">
        <v>42669</v>
      </c>
      <c r="C2" s="4">
        <v>50</v>
      </c>
      <c r="D2" s="3">
        <v>49.18</v>
      </c>
      <c r="E2" s="3">
        <v>0</v>
      </c>
      <c r="F2" s="3">
        <f>C2*D2+E2</f>
        <v>2459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50</v>
      </c>
      <c r="T2" s="1"/>
      <c r="W2" s="133">
        <v>42676</v>
      </c>
      <c r="X2" s="10">
        <v>50.93</v>
      </c>
      <c r="Y2" s="10">
        <v>50.98</v>
      </c>
      <c r="Z2" s="10">
        <v>50.53</v>
      </c>
      <c r="AA2" s="10">
        <v>50.57</v>
      </c>
      <c r="AB2" s="95">
        <v>8172400</v>
      </c>
      <c r="AC2" s="10">
        <v>50.57</v>
      </c>
      <c r="AD2" s="2">
        <f>Y2-Z2</f>
        <v>0.44999999999999574</v>
      </c>
      <c r="AE2" s="138">
        <f>AC2/AC3-1</f>
        <v>-4.5275590551180356E-3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49.18</v>
      </c>
      <c r="T3" s="1"/>
      <c r="W3" s="133">
        <v>42675</v>
      </c>
      <c r="X3" s="10">
        <v>50.93</v>
      </c>
      <c r="Y3" s="10">
        <v>51.36</v>
      </c>
      <c r="Z3" s="10">
        <v>50.38</v>
      </c>
      <c r="AA3" s="10">
        <v>50.8</v>
      </c>
      <c r="AB3" s="95">
        <v>8736700</v>
      </c>
      <c r="AC3" s="10">
        <v>50.8</v>
      </c>
      <c r="AD3" s="2">
        <f t="shared" ref="AD3:AD66" si="0">Y3-Z3</f>
        <v>0.97999999999999687</v>
      </c>
      <c r="AE3" s="138">
        <f t="shared" ref="AE3:AE66" si="1">AC3/AC4-1</f>
        <v>-2.1606757022195611E-3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50.57</v>
      </c>
      <c r="R4" s="527">
        <v>-4.4999999999999997E-3</v>
      </c>
      <c r="T4" s="163"/>
      <c r="U4" s="1"/>
      <c r="W4" s="133">
        <v>42674</v>
      </c>
      <c r="X4" s="10">
        <v>51.05</v>
      </c>
      <c r="Y4" s="10">
        <v>51.62</v>
      </c>
      <c r="Z4" s="10">
        <v>50.65</v>
      </c>
      <c r="AA4" s="10">
        <v>50.91</v>
      </c>
      <c r="AB4" s="95">
        <v>11326200</v>
      </c>
      <c r="AC4" s="10">
        <v>50.91</v>
      </c>
      <c r="AD4" s="2">
        <f t="shared" si="0"/>
        <v>0.96999999999999886</v>
      </c>
      <c r="AE4" s="138">
        <f t="shared" si="1"/>
        <v>-1.7647058823530015E-3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2528.5</v>
      </c>
      <c r="W5" s="133">
        <v>42671</v>
      </c>
      <c r="X5" s="10">
        <v>52.11</v>
      </c>
      <c r="Y5" s="10">
        <v>52.22</v>
      </c>
      <c r="Z5" s="10">
        <v>50.66</v>
      </c>
      <c r="AA5" s="10">
        <v>51</v>
      </c>
      <c r="AB5" s="95">
        <v>13798700</v>
      </c>
      <c r="AC5" s="10">
        <v>51</v>
      </c>
      <c r="AD5" s="2">
        <f t="shared" si="0"/>
        <v>1.5600000000000023</v>
      </c>
      <c r="AE5" s="138">
        <f t="shared" si="1"/>
        <v>-1.8475750577367167E-2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2459</v>
      </c>
      <c r="W6" s="133">
        <v>42670</v>
      </c>
      <c r="X6" s="10">
        <v>52.42</v>
      </c>
      <c r="Y6" s="10">
        <v>53.17</v>
      </c>
      <c r="Z6" s="10">
        <v>50.66</v>
      </c>
      <c r="AA6" s="10">
        <v>51.96</v>
      </c>
      <c r="AB6" s="95">
        <v>31896700</v>
      </c>
      <c r="AC6" s="10">
        <v>51.96</v>
      </c>
      <c r="AD6" s="2">
        <f t="shared" si="0"/>
        <v>2.5100000000000051</v>
      </c>
      <c r="AE6" s="138">
        <f t="shared" si="1"/>
        <v>5.416920267802805E-2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69.5</v>
      </c>
      <c r="R7" s="30">
        <v>42702</v>
      </c>
      <c r="W7" s="133">
        <v>42669</v>
      </c>
      <c r="X7" s="10">
        <v>49.58</v>
      </c>
      <c r="Y7" s="10">
        <v>49.76</v>
      </c>
      <c r="Z7" s="10">
        <v>49.07</v>
      </c>
      <c r="AA7" s="10">
        <v>49.29</v>
      </c>
      <c r="AB7" s="95">
        <v>8331100</v>
      </c>
      <c r="AC7" s="10">
        <v>49.29</v>
      </c>
      <c r="AD7" s="2">
        <f t="shared" si="0"/>
        <v>0.68999999999999773</v>
      </c>
      <c r="AE7" s="138">
        <f t="shared" si="1"/>
        <v>-5.2472250252270092E-3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69.5</v>
      </c>
      <c r="W8" s="133">
        <v>42668</v>
      </c>
      <c r="X8" s="10">
        <v>49.22</v>
      </c>
      <c r="Y8" s="10">
        <v>50.13</v>
      </c>
      <c r="Z8" s="10">
        <v>49.03</v>
      </c>
      <c r="AA8" s="10">
        <v>49.55</v>
      </c>
      <c r="AB8" s="95">
        <v>10212800</v>
      </c>
      <c r="AC8" s="10">
        <v>49.55</v>
      </c>
      <c r="AD8" s="2">
        <f t="shared" si="0"/>
        <v>1.1000000000000014</v>
      </c>
      <c r="AE8" s="138">
        <f t="shared" si="1"/>
        <v>6.5001015640868687E-3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219</v>
      </c>
      <c r="Q9" s="138">
        <f>IF(Q2=0, 0, Q8/Q6)</f>
        <v>2.8263521756811714E-2</v>
      </c>
      <c r="W9" s="133">
        <v>42667</v>
      </c>
      <c r="X9" s="10">
        <v>50.11</v>
      </c>
      <c r="Y9" s="10">
        <v>50.17</v>
      </c>
      <c r="Z9" s="10">
        <v>49.04</v>
      </c>
      <c r="AA9" s="10">
        <v>49.23</v>
      </c>
      <c r="AB9" s="95">
        <v>12107600</v>
      </c>
      <c r="AC9" s="10">
        <v>49.23</v>
      </c>
      <c r="AD9" s="2">
        <f t="shared" si="0"/>
        <v>1.1300000000000026</v>
      </c>
      <c r="AE9" s="138">
        <f t="shared" si="1"/>
        <v>-1.5793682526989317E-2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218</v>
      </c>
      <c r="P10" s="34"/>
      <c r="Q10" s="2">
        <v>0</v>
      </c>
      <c r="W10" s="133">
        <v>42664</v>
      </c>
      <c r="X10" s="10">
        <v>50.11</v>
      </c>
      <c r="Y10" s="10">
        <v>50.45</v>
      </c>
      <c r="Z10" s="10">
        <v>49.88</v>
      </c>
      <c r="AA10" s="10">
        <v>50.02</v>
      </c>
      <c r="AB10" s="95">
        <v>8558700</v>
      </c>
      <c r="AC10" s="10">
        <v>50.02</v>
      </c>
      <c r="AD10" s="2">
        <f t="shared" si="0"/>
        <v>0.57000000000000028</v>
      </c>
      <c r="AE10" s="138">
        <f t="shared" si="1"/>
        <v>-6.7513899920571552E-3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181</v>
      </c>
      <c r="P11" s="34"/>
      <c r="Q11" s="138">
        <f>IF(U58="N/A (N/A)", 0, VALUE(TRIM(CLEAN(MID(U58, FIND("(", U58)+1, 5)))))</f>
        <v>2.98E-2</v>
      </c>
      <c r="W11" s="133">
        <v>42663</v>
      </c>
      <c r="X11" s="10">
        <v>49.81</v>
      </c>
      <c r="Y11" s="10">
        <v>50.48</v>
      </c>
      <c r="Z11" s="10">
        <v>49.76</v>
      </c>
      <c r="AA11" s="10">
        <v>50.36</v>
      </c>
      <c r="AB11" s="95">
        <v>9310200</v>
      </c>
      <c r="AC11" s="10">
        <v>50.36</v>
      </c>
      <c r="AD11" s="2">
        <f t="shared" si="0"/>
        <v>0.71999999999999886</v>
      </c>
      <c r="AE11" s="138">
        <f t="shared" si="1"/>
        <v>9.8255464206937759E-3</v>
      </c>
    </row>
    <row r="12" spans="1:31" x14ac:dyDescent="0.25">
      <c r="H12" s="72"/>
      <c r="W12" s="133">
        <v>42662</v>
      </c>
      <c r="X12" s="10">
        <v>49.95</v>
      </c>
      <c r="Y12" s="10">
        <v>50.18</v>
      </c>
      <c r="Z12" s="10">
        <v>49.8</v>
      </c>
      <c r="AA12" s="10">
        <v>49.87</v>
      </c>
      <c r="AB12" s="95">
        <v>7636200</v>
      </c>
      <c r="AC12" s="10">
        <v>49.87</v>
      </c>
      <c r="AD12" s="2">
        <f t="shared" si="0"/>
        <v>0.38000000000000256</v>
      </c>
      <c r="AE12" s="138">
        <f t="shared" si="1"/>
        <v>-3.5964035964035634E-3</v>
      </c>
    </row>
    <row r="13" spans="1:31" x14ac:dyDescent="0.25">
      <c r="H13" s="72"/>
      <c r="W13" s="133">
        <v>42661</v>
      </c>
      <c r="X13" s="10">
        <v>49.48</v>
      </c>
      <c r="Y13" s="10">
        <v>50.35</v>
      </c>
      <c r="Z13" s="10">
        <v>49.34</v>
      </c>
      <c r="AA13" s="10">
        <v>50.05</v>
      </c>
      <c r="AB13" s="95">
        <v>8773300</v>
      </c>
      <c r="AC13" s="10">
        <v>50.05</v>
      </c>
      <c r="AD13" s="2">
        <f t="shared" si="0"/>
        <v>1.009999999999998</v>
      </c>
      <c r="AE13" s="138">
        <f t="shared" si="1"/>
        <v>1.4389947304418227E-2</v>
      </c>
    </row>
    <row r="14" spans="1:31" x14ac:dyDescent="0.25">
      <c r="H14" s="72"/>
      <c r="W14" s="133">
        <v>42660</v>
      </c>
      <c r="X14" s="10">
        <v>49.69</v>
      </c>
      <c r="Y14" s="10">
        <v>49.79</v>
      </c>
      <c r="Z14" s="10">
        <v>49.1</v>
      </c>
      <c r="AA14" s="10">
        <v>49.34</v>
      </c>
      <c r="AB14" s="95">
        <v>11578000</v>
      </c>
      <c r="AC14" s="10">
        <v>49.34</v>
      </c>
      <c r="AD14" s="2">
        <f t="shared" si="0"/>
        <v>0.68999999999999773</v>
      </c>
      <c r="AE14" s="138">
        <f t="shared" si="1"/>
        <v>-8.6397428169580071E-3</v>
      </c>
    </row>
    <row r="15" spans="1:31" x14ac:dyDescent="0.25">
      <c r="H15" s="72"/>
      <c r="W15" s="133">
        <v>42657</v>
      </c>
      <c r="X15" s="10">
        <v>50.35</v>
      </c>
      <c r="Y15" s="10">
        <v>50.65</v>
      </c>
      <c r="Z15" s="10">
        <v>49.76</v>
      </c>
      <c r="AA15" s="10">
        <v>49.77</v>
      </c>
      <c r="AB15" s="95">
        <v>13848400</v>
      </c>
      <c r="AC15" s="10">
        <v>49.77</v>
      </c>
      <c r="AD15" s="2">
        <f t="shared" si="0"/>
        <v>0.89000000000000057</v>
      </c>
      <c r="AE15" s="138">
        <f t="shared" si="1"/>
        <v>-9.3550955414012371E-3</v>
      </c>
    </row>
    <row r="16" spans="1:31" x14ac:dyDescent="0.25">
      <c r="H16" s="72"/>
      <c r="W16" s="133">
        <v>42656</v>
      </c>
      <c r="X16" s="10">
        <v>49.63</v>
      </c>
      <c r="Y16" s="10">
        <v>50.49</v>
      </c>
      <c r="Z16" s="10">
        <v>49.12</v>
      </c>
      <c r="AA16" s="10">
        <v>50.24</v>
      </c>
      <c r="AB16" s="95">
        <v>15096000</v>
      </c>
      <c r="AC16" s="10">
        <v>50.24</v>
      </c>
      <c r="AD16" s="2">
        <f t="shared" si="0"/>
        <v>1.3700000000000045</v>
      </c>
      <c r="AE16" s="138">
        <f t="shared" si="1"/>
        <v>4.5990801839632667E-3</v>
      </c>
    </row>
    <row r="17" spans="1:31" x14ac:dyDescent="0.25">
      <c r="W17" s="133">
        <v>42655</v>
      </c>
      <c r="X17" s="10">
        <v>49.82</v>
      </c>
      <c r="Y17" s="10">
        <v>50.97</v>
      </c>
      <c r="Z17" s="10">
        <v>49.74</v>
      </c>
      <c r="AA17" s="10">
        <v>50.01</v>
      </c>
      <c r="AB17" s="95">
        <v>18137500</v>
      </c>
      <c r="AC17" s="10">
        <v>50.01</v>
      </c>
      <c r="AD17" s="2">
        <f t="shared" si="0"/>
        <v>1.2299999999999969</v>
      </c>
      <c r="AE17" s="138">
        <f t="shared" si="1"/>
        <v>9.2835519677094691E-3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2459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42654</v>
      </c>
      <c r="X18" s="10">
        <v>49.67</v>
      </c>
      <c r="Y18" s="10">
        <v>50.23</v>
      </c>
      <c r="Z18" s="10">
        <v>49.5</v>
      </c>
      <c r="AA18" s="10">
        <v>49.55</v>
      </c>
      <c r="AB18" s="95">
        <v>24532500</v>
      </c>
      <c r="AC18" s="10">
        <v>49.55</v>
      </c>
      <c r="AD18" s="2">
        <f t="shared" si="0"/>
        <v>0.72999999999999687</v>
      </c>
      <c r="AE18" s="138">
        <f t="shared" si="1"/>
        <v>-5.2198353744229431E-3</v>
      </c>
    </row>
    <row r="19" spans="1:31" ht="15.75" thickBot="1" x14ac:dyDescent="0.3">
      <c r="A19" s="359" t="s">
        <v>201</v>
      </c>
      <c r="B19" s="360"/>
      <c r="C19" s="361" t="e">
        <f>SumByColor($A$19,C2:C17)</f>
        <v>#VALUE!</v>
      </c>
      <c r="D19" s="361"/>
      <c r="E19" s="361"/>
      <c r="F19" s="362" t="e">
        <f>SumByColor($A$19,F2:F17)</f>
        <v>#VALUE!</v>
      </c>
      <c r="G19" s="361"/>
      <c r="H19" s="361" t="e">
        <f>SumByColor($A$19,H2:H17)</f>
        <v>#VALUE!</v>
      </c>
      <c r="I19" s="361"/>
      <c r="J19" s="361"/>
      <c r="K19" s="362" t="e">
        <f>SumByColor($A$19,K2:K17)</f>
        <v>#VALUE!</v>
      </c>
      <c r="L19" s="361"/>
      <c r="M19" s="362" t="e">
        <f t="shared" ref="M19" si="2">SumByColor($A$19,M2:M17)</f>
        <v>#VALUE!</v>
      </c>
      <c r="W19" s="133">
        <v>42653</v>
      </c>
      <c r="X19" s="10">
        <v>50.79</v>
      </c>
      <c r="Y19" s="10">
        <v>51.3</v>
      </c>
      <c r="Z19" s="10">
        <v>49.54</v>
      </c>
      <c r="AA19" s="10">
        <v>49.81</v>
      </c>
      <c r="AB19" s="95">
        <v>65259700</v>
      </c>
      <c r="AC19" s="10">
        <v>49.81</v>
      </c>
      <c r="AD19" s="2">
        <f t="shared" si="0"/>
        <v>1.759999999999998</v>
      </c>
      <c r="AE19" s="138">
        <f t="shared" si="1"/>
        <v>-0.10138913945516859</v>
      </c>
    </row>
    <row r="20" spans="1:31" x14ac:dyDescent="0.25">
      <c r="W20" s="133">
        <v>42650</v>
      </c>
      <c r="X20" s="10">
        <v>55.22</v>
      </c>
      <c r="Y20" s="10">
        <v>55.9</v>
      </c>
      <c r="Z20" s="10">
        <v>55.06</v>
      </c>
      <c r="AA20" s="10">
        <v>55.43</v>
      </c>
      <c r="AB20" s="95">
        <v>12714400</v>
      </c>
      <c r="AC20" s="10">
        <v>55.43</v>
      </c>
      <c r="AD20" s="2">
        <f t="shared" si="0"/>
        <v>0.83999999999999631</v>
      </c>
      <c r="AE20" s="138">
        <f t="shared" si="1"/>
        <v>6.9028156221617731E-3</v>
      </c>
    </row>
    <row r="21" spans="1:31" x14ac:dyDescent="0.25">
      <c r="W21" s="133">
        <v>42649</v>
      </c>
      <c r="X21" s="10">
        <v>54.57</v>
      </c>
      <c r="Y21" s="10">
        <v>55.36</v>
      </c>
      <c r="Z21" s="10">
        <v>54.48</v>
      </c>
      <c r="AA21" s="10">
        <v>55.05</v>
      </c>
      <c r="AB21" s="95">
        <v>10955300</v>
      </c>
      <c r="AC21" s="10">
        <v>55.05</v>
      </c>
      <c r="AD21" s="2">
        <f t="shared" si="0"/>
        <v>0.88000000000000256</v>
      </c>
      <c r="AE21" s="138">
        <f t="shared" si="1"/>
        <v>4.7453914947983566E-3</v>
      </c>
    </row>
    <row r="22" spans="1:31" x14ac:dyDescent="0.25">
      <c r="W22" s="133">
        <v>42648</v>
      </c>
      <c r="X22" s="10">
        <v>54.9</v>
      </c>
      <c r="Y22" s="10">
        <v>55.2</v>
      </c>
      <c r="Z22" s="10">
        <v>54.49</v>
      </c>
      <c r="AA22" s="10">
        <v>54.79</v>
      </c>
      <c r="AB22" s="95">
        <v>10964100</v>
      </c>
      <c r="AC22" s="10">
        <v>54.79</v>
      </c>
      <c r="AD22" s="2">
        <f t="shared" si="0"/>
        <v>0.71000000000000085</v>
      </c>
      <c r="AE22" s="138" t="e">
        <f t="shared" si="1"/>
        <v>#DIV/0!</v>
      </c>
    </row>
    <row r="23" spans="1:31" x14ac:dyDescent="0.25">
      <c r="W23" s="133">
        <v>42648</v>
      </c>
      <c r="X23" s="10" t="s">
        <v>191</v>
      </c>
      <c r="Y23" s="10"/>
      <c r="Z23" s="10"/>
      <c r="AA23" s="10"/>
      <c r="AB23" s="95"/>
      <c r="AC23" s="10"/>
      <c r="AD23" s="2">
        <f t="shared" si="0"/>
        <v>0</v>
      </c>
      <c r="AE23" s="138">
        <f t="shared" si="1"/>
        <v>-1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42647</v>
      </c>
      <c r="X24" s="10">
        <v>54.9</v>
      </c>
      <c r="Y24" s="10">
        <v>55.82</v>
      </c>
      <c r="Z24" s="10">
        <v>54.8</v>
      </c>
      <c r="AA24" s="10">
        <v>55.21</v>
      </c>
      <c r="AB24" s="95">
        <v>14042700</v>
      </c>
      <c r="AC24" s="10">
        <v>54.83</v>
      </c>
      <c r="AD24" s="2">
        <f t="shared" si="0"/>
        <v>1.0200000000000031</v>
      </c>
      <c r="AE24" s="138">
        <f t="shared" si="1"/>
        <v>1.0132645541635954E-2</v>
      </c>
    </row>
    <row r="25" spans="1:31" x14ac:dyDescent="0.25">
      <c r="B25" s="193">
        <v>42669</v>
      </c>
      <c r="C25" s="10">
        <v>50</v>
      </c>
      <c r="D25" s="40">
        <v>49.18</v>
      </c>
      <c r="E25" s="40">
        <v>49.29</v>
      </c>
      <c r="F25" s="40">
        <f t="shared" ref="F25" si="3">C25*(E25-D25)</f>
        <v>5.4999999999999716</v>
      </c>
      <c r="G25" s="40">
        <f t="shared" ref="G25" si="4">D25*C25</f>
        <v>2459</v>
      </c>
      <c r="H25" s="231">
        <f t="shared" ref="H25" si="5">(E25-D25)/D25</f>
        <v>2.2366815778771744E-3</v>
      </c>
      <c r="I25" s="40"/>
      <c r="W25" s="133">
        <v>42646</v>
      </c>
      <c r="X25" s="10">
        <v>53.94</v>
      </c>
      <c r="Y25" s="10">
        <v>54.7</v>
      </c>
      <c r="Z25" s="10">
        <v>53.56</v>
      </c>
      <c r="AA25" s="10">
        <v>54.66</v>
      </c>
      <c r="AB25" s="95">
        <v>9697200</v>
      </c>
      <c r="AC25" s="10">
        <v>54.28</v>
      </c>
      <c r="AD25" s="2">
        <f t="shared" si="0"/>
        <v>1.1400000000000006</v>
      </c>
      <c r="AE25" s="138">
        <f t="shared" si="1"/>
        <v>1.3632119514472629E-2</v>
      </c>
    </row>
    <row r="26" spans="1:31" x14ac:dyDescent="0.25">
      <c r="B26" s="193">
        <v>42676</v>
      </c>
      <c r="C26" s="10">
        <v>50</v>
      </c>
      <c r="D26" s="40">
        <v>49.18</v>
      </c>
      <c r="E26" s="40">
        <v>50.57</v>
      </c>
      <c r="F26" s="40">
        <f t="shared" ref="F26" si="6">C26*(E26-D26)</f>
        <v>69.500000000000028</v>
      </c>
      <c r="G26" s="40">
        <f t="shared" ref="G26" si="7">D26*C26</f>
        <v>2459</v>
      </c>
      <c r="H26" s="231">
        <f t="shared" ref="H26" si="8">(E26-D26)/D26</f>
        <v>2.8263521756811724E-2</v>
      </c>
      <c r="I26" s="40"/>
      <c r="W26" s="133">
        <v>42643</v>
      </c>
      <c r="X26" s="10">
        <v>53.93</v>
      </c>
      <c r="Y26" s="10">
        <v>54.37</v>
      </c>
      <c r="Z26" s="10">
        <v>53.9</v>
      </c>
      <c r="AA26" s="10">
        <v>53.92</v>
      </c>
      <c r="AB26" s="95">
        <v>13326700</v>
      </c>
      <c r="AC26" s="10">
        <v>53.55</v>
      </c>
      <c r="AD26" s="2">
        <f t="shared" si="0"/>
        <v>0.46999999999999886</v>
      </c>
      <c r="AE26" s="138">
        <f t="shared" si="1"/>
        <v>9.3457943925234765E-4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33">
        <v>42642</v>
      </c>
      <c r="X27" s="10">
        <v>55.26</v>
      </c>
      <c r="Y27" s="10">
        <v>55.27</v>
      </c>
      <c r="Z27" s="10">
        <v>53.76</v>
      </c>
      <c r="AA27" s="10">
        <v>53.87</v>
      </c>
      <c r="AB27" s="95">
        <v>17228500</v>
      </c>
      <c r="AC27" s="10">
        <v>53.5</v>
      </c>
      <c r="AD27" s="2">
        <f t="shared" si="0"/>
        <v>1.5100000000000051</v>
      </c>
      <c r="AE27" s="138">
        <f t="shared" si="1"/>
        <v>-2.2116614878450069E-2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42641</v>
      </c>
      <c r="X28" s="10">
        <v>55.81</v>
      </c>
      <c r="Y28" s="10">
        <v>55.81</v>
      </c>
      <c r="Z28" s="10">
        <v>54.93</v>
      </c>
      <c r="AA28" s="10">
        <v>55.09</v>
      </c>
      <c r="AB28" s="95">
        <v>13768400</v>
      </c>
      <c r="AC28" s="10">
        <v>54.71</v>
      </c>
      <c r="AD28" s="2">
        <f t="shared" si="0"/>
        <v>0.88000000000000256</v>
      </c>
      <c r="AE28" s="138">
        <f t="shared" si="1"/>
        <v>-1.1741329479768803E-2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42640</v>
      </c>
      <c r="X29" s="10">
        <v>55.68</v>
      </c>
      <c r="Y29" s="10">
        <v>55.89</v>
      </c>
      <c r="Z29" s="10">
        <v>55.5</v>
      </c>
      <c r="AA29" s="10">
        <v>55.74</v>
      </c>
      <c r="AB29" s="95">
        <v>8619900</v>
      </c>
      <c r="AC29" s="10">
        <v>55.36</v>
      </c>
      <c r="AD29" s="2">
        <f t="shared" si="0"/>
        <v>0.39000000000000057</v>
      </c>
      <c r="AE29" s="138">
        <f t="shared" si="1"/>
        <v>4.7186932849363483E-3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42639</v>
      </c>
      <c r="X30" s="10">
        <v>56.26</v>
      </c>
      <c r="Y30" s="10">
        <v>56.31</v>
      </c>
      <c r="Z30" s="10">
        <v>55.4</v>
      </c>
      <c r="AA30" s="10">
        <v>55.48</v>
      </c>
      <c r="AB30" s="95">
        <v>8599800</v>
      </c>
      <c r="AC30" s="10">
        <v>55.1</v>
      </c>
      <c r="AD30" s="2">
        <f t="shared" si="0"/>
        <v>0.91000000000000369</v>
      </c>
      <c r="AE30" s="138">
        <f t="shared" si="1"/>
        <v>-1.7650205027634147E-2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42636</v>
      </c>
      <c r="X31" s="10">
        <v>56.3</v>
      </c>
      <c r="Y31" s="10">
        <v>56.95</v>
      </c>
      <c r="Z31" s="10">
        <v>56.26</v>
      </c>
      <c r="AA31" s="10">
        <v>56.48</v>
      </c>
      <c r="AB31" s="95">
        <v>8569100</v>
      </c>
      <c r="AC31" s="10">
        <v>56.09</v>
      </c>
      <c r="AD31" s="2">
        <f t="shared" si="0"/>
        <v>0.69000000000000483</v>
      </c>
      <c r="AE31" s="138">
        <f t="shared" si="1"/>
        <v>1.0708548991611444E-3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42635</v>
      </c>
      <c r="X32" s="10">
        <v>56.03</v>
      </c>
      <c r="Y32" s="10">
        <v>56.65</v>
      </c>
      <c r="Z32" s="10">
        <v>55.87</v>
      </c>
      <c r="AA32" s="10">
        <v>56.42</v>
      </c>
      <c r="AB32" s="95">
        <v>10611000</v>
      </c>
      <c r="AC32" s="10">
        <v>56.03</v>
      </c>
      <c r="AD32" s="2">
        <f t="shared" si="0"/>
        <v>0.78000000000000114</v>
      </c>
      <c r="AE32" s="138">
        <f t="shared" si="1"/>
        <v>8.6408640864086284E-3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42634</v>
      </c>
      <c r="X33" s="10">
        <v>55.86</v>
      </c>
      <c r="Y33" s="10">
        <v>56.12</v>
      </c>
      <c r="Z33" s="10">
        <v>55.26</v>
      </c>
      <c r="AA33" s="10">
        <v>55.93</v>
      </c>
      <c r="AB33" s="95">
        <v>11651400</v>
      </c>
      <c r="AC33" s="10">
        <v>55.55</v>
      </c>
      <c r="AD33" s="2">
        <f t="shared" si="0"/>
        <v>0.85999999999999943</v>
      </c>
      <c r="AE33" s="138">
        <f t="shared" si="1"/>
        <v>6.7053280173976493E-3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42633</v>
      </c>
      <c r="X34" s="10">
        <v>55.35</v>
      </c>
      <c r="Y34" s="10">
        <v>56.28</v>
      </c>
      <c r="Z34" s="10">
        <v>55.16</v>
      </c>
      <c r="AA34" s="10">
        <v>55.56</v>
      </c>
      <c r="AB34" s="95">
        <v>9940200</v>
      </c>
      <c r="AC34" s="10">
        <v>55.18</v>
      </c>
      <c r="AD34" s="2">
        <f t="shared" si="0"/>
        <v>1.1200000000000045</v>
      </c>
      <c r="AE34" s="138">
        <f t="shared" si="1"/>
        <v>8.7751371115172283E-3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42632</v>
      </c>
      <c r="X35" s="10">
        <v>55.95</v>
      </c>
      <c r="Y35" s="10">
        <v>55.97</v>
      </c>
      <c r="Z35" s="10">
        <v>55.02</v>
      </c>
      <c r="AA35" s="10">
        <v>55.08</v>
      </c>
      <c r="AB35" s="95">
        <v>10517400</v>
      </c>
      <c r="AC35" s="10">
        <v>54.7</v>
      </c>
      <c r="AD35" s="2">
        <f t="shared" si="0"/>
        <v>0.94999999999999574</v>
      </c>
      <c r="AE35" s="138">
        <f t="shared" si="1"/>
        <v>-9.4168779427742377E-3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42629</v>
      </c>
      <c r="X36" s="10">
        <v>56.22</v>
      </c>
      <c r="Y36" s="10">
        <v>56.41</v>
      </c>
      <c r="Z36" s="10">
        <v>55.53</v>
      </c>
      <c r="AA36" s="10">
        <v>55.6</v>
      </c>
      <c r="AB36" s="95">
        <v>12082900</v>
      </c>
      <c r="AC36" s="10">
        <v>55.22</v>
      </c>
      <c r="AD36" s="2">
        <f t="shared" si="0"/>
        <v>0.87999999999999545</v>
      </c>
      <c r="AE36" s="138">
        <f t="shared" si="1"/>
        <v>-6.4771500539761995E-3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42628</v>
      </c>
      <c r="X37" s="10">
        <v>55.35</v>
      </c>
      <c r="Y37" s="10">
        <v>56.34</v>
      </c>
      <c r="Z37" s="10">
        <v>55.27</v>
      </c>
      <c r="AA37" s="10">
        <v>55.97</v>
      </c>
      <c r="AB37" s="95">
        <v>9835200</v>
      </c>
      <c r="AC37" s="10">
        <v>55.58</v>
      </c>
      <c r="AD37" s="2">
        <f t="shared" si="0"/>
        <v>1.0700000000000003</v>
      </c>
      <c r="AE37" s="138">
        <f t="shared" si="1"/>
        <v>1.3309024612579767E-2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42627</v>
      </c>
      <c r="X38" s="10">
        <v>55.85</v>
      </c>
      <c r="Y38" s="10">
        <v>56.09</v>
      </c>
      <c r="Z38" s="10">
        <v>55.11</v>
      </c>
      <c r="AA38" s="10">
        <v>55.23</v>
      </c>
      <c r="AB38" s="95">
        <v>9007200</v>
      </c>
      <c r="AC38" s="10">
        <v>54.85</v>
      </c>
      <c r="AD38" s="2">
        <f t="shared" si="0"/>
        <v>0.98000000000000398</v>
      </c>
      <c r="AE38" s="138">
        <f t="shared" si="1"/>
        <v>-6.7004708438971328E-3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42626</v>
      </c>
      <c r="X39" s="10">
        <v>56.08</v>
      </c>
      <c r="Y39" s="10">
        <v>56.13</v>
      </c>
      <c r="Z39" s="10">
        <v>55.09</v>
      </c>
      <c r="AA39" s="10">
        <v>55.6</v>
      </c>
      <c r="AB39" s="95">
        <v>9473400</v>
      </c>
      <c r="AC39" s="10">
        <v>55.22</v>
      </c>
      <c r="AD39" s="2">
        <f t="shared" si="0"/>
        <v>1.0399999999999991</v>
      </c>
      <c r="AE39" s="138">
        <f t="shared" si="1"/>
        <v>-1.2694439477918817E-2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8" t="s">
        <v>78</v>
      </c>
      <c r="P40" s="588"/>
      <c r="W40" s="133">
        <v>42625</v>
      </c>
      <c r="X40" s="10">
        <v>55.3</v>
      </c>
      <c r="Y40" s="10">
        <v>56.44</v>
      </c>
      <c r="Z40" s="10">
        <v>55.02</v>
      </c>
      <c r="AA40" s="10">
        <v>56.32</v>
      </c>
      <c r="AB40" s="95">
        <v>9958900</v>
      </c>
      <c r="AC40" s="10">
        <v>55.93</v>
      </c>
      <c r="AD40" s="2">
        <f t="shared" si="0"/>
        <v>1.4199999999999946</v>
      </c>
      <c r="AE40" s="138">
        <f t="shared" si="1"/>
        <v>1.1758321273516614E-2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55.627000000000002</v>
      </c>
      <c r="Q41" s="2"/>
      <c r="W41" s="133">
        <v>42622</v>
      </c>
      <c r="X41" s="10">
        <v>56.6</v>
      </c>
      <c r="Y41" s="10">
        <v>57.01</v>
      </c>
      <c r="Z41" s="10">
        <v>55.66</v>
      </c>
      <c r="AA41" s="10">
        <v>55.66</v>
      </c>
      <c r="AB41" s="95">
        <v>12349600</v>
      </c>
      <c r="AC41" s="10">
        <v>55.28</v>
      </c>
      <c r="AD41" s="2">
        <f t="shared" si="0"/>
        <v>1.3500000000000014</v>
      </c>
      <c r="AE41" s="138">
        <f t="shared" si="1"/>
        <v>-2.0205600850762173E-2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9">O42*$Q$4</f>
        <v>55.121300000000005</v>
      </c>
      <c r="Q42" s="2"/>
      <c r="T42" s="91" t="s">
        <v>113</v>
      </c>
      <c r="W42" s="133">
        <v>42621</v>
      </c>
      <c r="X42" s="10">
        <v>56.63</v>
      </c>
      <c r="Y42" s="10">
        <v>57.25</v>
      </c>
      <c r="Z42" s="10">
        <v>56.28</v>
      </c>
      <c r="AA42" s="10">
        <v>56.81</v>
      </c>
      <c r="AB42" s="95">
        <v>11571500</v>
      </c>
      <c r="AC42" s="10">
        <v>56.42</v>
      </c>
      <c r="AD42" s="2">
        <f t="shared" si="0"/>
        <v>0.96999999999999886</v>
      </c>
      <c r="AE42" s="138">
        <f t="shared" si="1"/>
        <v>4.2719829120683173E-3</v>
      </c>
    </row>
    <row r="43" spans="2:31" ht="15.75" thickTop="1" x14ac:dyDescent="0.25">
      <c r="O43" s="83">
        <v>1.08</v>
      </c>
      <c r="P43" s="83">
        <f t="shared" si="9"/>
        <v>54.615600000000001</v>
      </c>
      <c r="Q43" s="2"/>
      <c r="T43" s="128" t="s">
        <v>98</v>
      </c>
      <c r="U43" s="129">
        <v>50.8</v>
      </c>
      <c r="V43" s="608"/>
      <c r="W43" s="133">
        <v>42620</v>
      </c>
      <c r="X43" s="10">
        <v>57.02</v>
      </c>
      <c r="Y43" s="10">
        <v>57.45</v>
      </c>
      <c r="Z43" s="10">
        <v>56.42</v>
      </c>
      <c r="AA43" s="10">
        <v>56.57</v>
      </c>
      <c r="AB43" s="95">
        <v>11719300</v>
      </c>
      <c r="AC43" s="10">
        <v>56.18</v>
      </c>
      <c r="AD43" s="2">
        <f t="shared" si="0"/>
        <v>1.0300000000000011</v>
      </c>
      <c r="AE43" s="138">
        <f t="shared" si="1"/>
        <v>-6.8941134877142929E-3</v>
      </c>
    </row>
    <row r="44" spans="2:31" x14ac:dyDescent="0.25">
      <c r="O44" s="83">
        <v>1.07</v>
      </c>
      <c r="P44" s="83">
        <f t="shared" si="9"/>
        <v>54.109900000000003</v>
      </c>
      <c r="Q44" s="2"/>
      <c r="T44" s="93" t="s">
        <v>99</v>
      </c>
      <c r="U44" s="130">
        <v>50.93</v>
      </c>
      <c r="W44" s="133">
        <v>42619</v>
      </c>
      <c r="X44" s="10">
        <v>56.69</v>
      </c>
      <c r="Y44" s="10">
        <v>57.13</v>
      </c>
      <c r="Z44" s="10">
        <v>56.12</v>
      </c>
      <c r="AA44" s="10">
        <v>56.96</v>
      </c>
      <c r="AB44" s="95">
        <v>11710600</v>
      </c>
      <c r="AC44" s="10">
        <v>56.57</v>
      </c>
      <c r="AD44" s="2">
        <f t="shared" si="0"/>
        <v>1.0100000000000051</v>
      </c>
      <c r="AE44" s="138">
        <f t="shared" si="1"/>
        <v>1.0900643316654746E-2</v>
      </c>
    </row>
    <row r="45" spans="2:31" x14ac:dyDescent="0.25">
      <c r="O45" s="83">
        <v>1.06</v>
      </c>
      <c r="P45" s="83">
        <f t="shared" si="9"/>
        <v>53.604200000000006</v>
      </c>
      <c r="Q45" s="2"/>
      <c r="T45" s="93" t="s">
        <v>100</v>
      </c>
      <c r="U45" s="130" t="s">
        <v>462</v>
      </c>
      <c r="W45" s="133">
        <v>42615</v>
      </c>
      <c r="X45" s="10">
        <v>56.93</v>
      </c>
      <c r="Y45" s="10">
        <v>56.93</v>
      </c>
      <c r="Z45" s="10">
        <v>55.11</v>
      </c>
      <c r="AA45" s="10">
        <v>56.35</v>
      </c>
      <c r="AB45" s="95">
        <v>34001000</v>
      </c>
      <c r="AC45" s="10">
        <v>55.96</v>
      </c>
      <c r="AD45" s="2">
        <f t="shared" si="0"/>
        <v>1.8200000000000003</v>
      </c>
      <c r="AE45" s="138">
        <f t="shared" si="1"/>
        <v>-7.273372361184971E-3</v>
      </c>
    </row>
    <row r="46" spans="2:31" x14ac:dyDescent="0.25">
      <c r="O46" s="83">
        <v>1.05</v>
      </c>
      <c r="P46" s="83">
        <f t="shared" si="9"/>
        <v>53.098500000000001</v>
      </c>
      <c r="Q46" s="2"/>
      <c r="T46" s="93" t="s">
        <v>101</v>
      </c>
      <c r="U46" s="130" t="s">
        <v>463</v>
      </c>
      <c r="W46" s="133">
        <v>42614</v>
      </c>
      <c r="X46" s="10">
        <v>57.6</v>
      </c>
      <c r="Y46" s="10">
        <v>57.62</v>
      </c>
      <c r="Z46" s="10">
        <v>56.49</v>
      </c>
      <c r="AA46" s="10">
        <v>56.76</v>
      </c>
      <c r="AB46" s="95">
        <v>12873900</v>
      </c>
      <c r="AC46" s="10">
        <v>56.37</v>
      </c>
      <c r="AD46" s="2">
        <f t="shared" si="0"/>
        <v>1.1299999999999955</v>
      </c>
      <c r="AE46" s="138">
        <f t="shared" si="1"/>
        <v>-1.0879101596771412E-2</v>
      </c>
    </row>
    <row r="47" spans="2:31" x14ac:dyDescent="0.25">
      <c r="O47" s="83">
        <v>1.04</v>
      </c>
      <c r="P47" s="83">
        <f t="shared" si="9"/>
        <v>52.592800000000004</v>
      </c>
      <c r="Q47" s="2"/>
      <c r="T47" s="93" t="s">
        <v>102</v>
      </c>
      <c r="U47" s="130">
        <v>63.91</v>
      </c>
      <c r="W47" s="133">
        <v>42613</v>
      </c>
      <c r="X47" s="10">
        <v>57.37</v>
      </c>
      <c r="Y47" s="10">
        <v>57.51</v>
      </c>
      <c r="Z47" s="10">
        <v>56.92</v>
      </c>
      <c r="AA47" s="10">
        <v>57.39</v>
      </c>
      <c r="AB47" s="95">
        <v>12533900</v>
      </c>
      <c r="AC47" s="10">
        <v>56.99</v>
      </c>
      <c r="AD47" s="2">
        <f t="shared" si="0"/>
        <v>0.58999999999999631</v>
      </c>
      <c r="AE47" s="138">
        <f t="shared" si="1"/>
        <v>2.4626209322780035E-3</v>
      </c>
    </row>
    <row r="48" spans="2:31" x14ac:dyDescent="0.25">
      <c r="O48" s="83">
        <v>1.03</v>
      </c>
      <c r="P48" s="83">
        <f t="shared" si="9"/>
        <v>52.0871</v>
      </c>
      <c r="Q48" s="2"/>
      <c r="T48" s="93" t="s">
        <v>103</v>
      </c>
      <c r="U48" s="130">
        <v>0.975688</v>
      </c>
      <c r="W48" s="133">
        <v>42612</v>
      </c>
      <c r="X48" s="10">
        <v>58.97</v>
      </c>
      <c r="Y48" s="10">
        <v>58.97</v>
      </c>
      <c r="Z48" s="10">
        <v>57.16</v>
      </c>
      <c r="AA48" s="10">
        <v>57.24</v>
      </c>
      <c r="AB48" s="95">
        <v>16800500</v>
      </c>
      <c r="AC48" s="10">
        <v>56.85</v>
      </c>
      <c r="AD48" s="2">
        <f t="shared" si="0"/>
        <v>1.8100000000000023</v>
      </c>
      <c r="AE48" s="138">
        <f t="shared" si="1"/>
        <v>-2.5873886223440667E-2</v>
      </c>
    </row>
    <row r="49" spans="15:31" x14ac:dyDescent="0.25">
      <c r="O49" s="83">
        <v>1.02</v>
      </c>
      <c r="P49" s="83">
        <f t="shared" si="9"/>
        <v>51.581400000000002</v>
      </c>
      <c r="Q49" s="2"/>
      <c r="T49" s="93" t="s">
        <v>122</v>
      </c>
      <c r="U49" s="130" t="s">
        <v>413</v>
      </c>
      <c r="W49" s="133">
        <v>42611</v>
      </c>
      <c r="X49" s="10">
        <v>58.89</v>
      </c>
      <c r="Y49" s="10">
        <v>59.14</v>
      </c>
      <c r="Z49" s="10">
        <v>58.46</v>
      </c>
      <c r="AA49" s="10">
        <v>58.76</v>
      </c>
      <c r="AB49" s="95">
        <v>6573300</v>
      </c>
      <c r="AC49" s="10">
        <v>58.36</v>
      </c>
      <c r="AD49" s="2">
        <f t="shared" si="0"/>
        <v>0.67999999999999972</v>
      </c>
      <c r="AE49" s="138">
        <f t="shared" si="1"/>
        <v>-1.7132088401572432E-4</v>
      </c>
    </row>
    <row r="50" spans="15:31" x14ac:dyDescent="0.25">
      <c r="O50" s="83">
        <v>1.01</v>
      </c>
      <c r="P50" s="83">
        <f t="shared" si="9"/>
        <v>51.075699999999998</v>
      </c>
      <c r="Q50" s="2"/>
      <c r="T50" s="93"/>
      <c r="U50" s="130"/>
      <c r="W50" s="133">
        <v>42608</v>
      </c>
      <c r="X50" s="10">
        <v>58.76</v>
      </c>
      <c r="Y50" s="10">
        <v>59.4</v>
      </c>
      <c r="Z50" s="10">
        <v>58.54</v>
      </c>
      <c r="AA50" s="10">
        <v>58.77</v>
      </c>
      <c r="AB50" s="95">
        <v>7845200</v>
      </c>
      <c r="AC50" s="10">
        <v>58.37</v>
      </c>
      <c r="AD50" s="2">
        <f t="shared" si="0"/>
        <v>0.85999999999999943</v>
      </c>
      <c r="AE50" s="138">
        <f t="shared" si="1"/>
        <v>1.7135023989034437E-4</v>
      </c>
    </row>
    <row r="51" spans="15:31" x14ac:dyDescent="0.25">
      <c r="O51" s="83">
        <v>1</v>
      </c>
      <c r="P51" s="83">
        <f t="shared" si="9"/>
        <v>50.57</v>
      </c>
      <c r="Q51" s="2"/>
      <c r="T51" s="93" t="s">
        <v>105</v>
      </c>
      <c r="U51" s="130" t="s">
        <v>464</v>
      </c>
      <c r="W51" s="133">
        <v>42607</v>
      </c>
      <c r="X51" s="10">
        <v>58.59</v>
      </c>
      <c r="Y51" s="10">
        <v>59.41</v>
      </c>
      <c r="Z51" s="10">
        <v>58.36</v>
      </c>
      <c r="AA51" s="10">
        <v>58.76</v>
      </c>
      <c r="AB51" s="95">
        <v>9116500</v>
      </c>
      <c r="AC51" s="10">
        <v>58.36</v>
      </c>
      <c r="AD51" s="2">
        <f t="shared" si="0"/>
        <v>1.0499999999999972</v>
      </c>
      <c r="AE51" s="138">
        <f t="shared" si="1"/>
        <v>2.9214641691013288E-3</v>
      </c>
    </row>
    <row r="52" spans="15:31" x14ac:dyDescent="0.25">
      <c r="O52" s="83">
        <v>0.99</v>
      </c>
      <c r="P52" s="83">
        <f t="shared" si="9"/>
        <v>50.064300000000003</v>
      </c>
      <c r="Q52" s="2"/>
      <c r="T52" s="93" t="s">
        <v>106</v>
      </c>
      <c r="U52" s="130" t="s">
        <v>465</v>
      </c>
      <c r="W52" s="133">
        <v>42606</v>
      </c>
      <c r="X52" s="10">
        <v>59.8</v>
      </c>
      <c r="Y52" s="10">
        <v>60</v>
      </c>
      <c r="Z52" s="10">
        <v>58.4</v>
      </c>
      <c r="AA52" s="10">
        <v>58.59</v>
      </c>
      <c r="AB52" s="95">
        <v>13198700</v>
      </c>
      <c r="AC52" s="10">
        <v>58.19</v>
      </c>
      <c r="AD52" s="2">
        <f t="shared" si="0"/>
        <v>1.6000000000000014</v>
      </c>
      <c r="AE52" s="138">
        <f t="shared" si="1"/>
        <v>-2.1194280908326424E-2</v>
      </c>
    </row>
    <row r="53" spans="15:31" x14ac:dyDescent="0.25">
      <c r="O53" s="83">
        <v>0.98</v>
      </c>
      <c r="P53" s="83">
        <f t="shared" si="9"/>
        <v>49.558599999999998</v>
      </c>
      <c r="Q53" s="2"/>
      <c r="T53" s="93" t="s">
        <v>107</v>
      </c>
      <c r="U53" s="131">
        <v>8197345</v>
      </c>
      <c r="W53" s="133">
        <v>42605</v>
      </c>
      <c r="X53" s="10">
        <v>59.51</v>
      </c>
      <c r="Y53" s="10">
        <v>60.04</v>
      </c>
      <c r="Z53" s="10">
        <v>59.3</v>
      </c>
      <c r="AA53" s="10">
        <v>59.86</v>
      </c>
      <c r="AB53" s="95">
        <v>10583000</v>
      </c>
      <c r="AC53" s="10">
        <v>59.45</v>
      </c>
      <c r="AD53" s="2">
        <f t="shared" si="0"/>
        <v>0.74000000000000199</v>
      </c>
      <c r="AE53" s="138">
        <f t="shared" si="1"/>
        <v>1.0195412064570863E-2</v>
      </c>
    </row>
    <row r="54" spans="15:31" x14ac:dyDescent="0.25">
      <c r="O54" s="83">
        <v>0.97</v>
      </c>
      <c r="P54" s="83">
        <f t="shared" si="9"/>
        <v>49.052900000000001</v>
      </c>
      <c r="T54" s="93" t="s">
        <v>110</v>
      </c>
      <c r="U54" s="131">
        <v>15103500</v>
      </c>
      <c r="W54" s="133">
        <v>42604</v>
      </c>
      <c r="X54" s="10">
        <v>59.65</v>
      </c>
      <c r="Y54" s="10">
        <v>59.68</v>
      </c>
      <c r="Z54" s="10">
        <v>59.01</v>
      </c>
      <c r="AA54" s="10">
        <v>59.26</v>
      </c>
      <c r="AB54" s="95">
        <v>11133600</v>
      </c>
      <c r="AC54" s="10">
        <v>58.85</v>
      </c>
      <c r="AD54" s="2">
        <f t="shared" si="0"/>
        <v>0.67000000000000171</v>
      </c>
      <c r="AE54" s="138">
        <f t="shared" si="1"/>
        <v>-5.0951086956518843E-4</v>
      </c>
    </row>
    <row r="55" spans="15:31" x14ac:dyDescent="0.25">
      <c r="O55" s="83">
        <v>0.96</v>
      </c>
      <c r="P55" s="83">
        <f t="shared" si="9"/>
        <v>48.547199999999997</v>
      </c>
      <c r="T55" s="93" t="s">
        <v>108</v>
      </c>
      <c r="U55" s="130" t="s">
        <v>466</v>
      </c>
      <c r="W55" s="133">
        <v>42601</v>
      </c>
      <c r="X55" s="10">
        <v>58.74</v>
      </c>
      <c r="Y55" s="10">
        <v>59.35</v>
      </c>
      <c r="Z55" s="10">
        <v>58.53</v>
      </c>
      <c r="AA55" s="10">
        <v>59.29</v>
      </c>
      <c r="AB55" s="95">
        <v>12134900</v>
      </c>
      <c r="AC55" s="10">
        <v>58.88</v>
      </c>
      <c r="AD55" s="2">
        <f t="shared" si="0"/>
        <v>0.82000000000000028</v>
      </c>
      <c r="AE55" s="138">
        <f t="shared" si="1"/>
        <v>1.029512697323276E-2</v>
      </c>
    </row>
    <row r="56" spans="15:31" x14ac:dyDescent="0.25">
      <c r="O56" s="83">
        <v>0.95</v>
      </c>
      <c r="P56" s="83">
        <f t="shared" si="9"/>
        <v>48.041499999999999</v>
      </c>
      <c r="T56" s="93" t="s">
        <v>111</v>
      </c>
      <c r="U56" s="130">
        <v>25.3</v>
      </c>
      <c r="W56" s="133">
        <v>42600</v>
      </c>
      <c r="X56" s="10">
        <v>58.27</v>
      </c>
      <c r="Y56" s="10">
        <v>59.48</v>
      </c>
      <c r="Z56" s="10">
        <v>58.26</v>
      </c>
      <c r="AA56" s="10">
        <v>58.68</v>
      </c>
      <c r="AB56" s="95">
        <v>14693300</v>
      </c>
      <c r="AC56" s="10">
        <v>58.28</v>
      </c>
      <c r="AD56" s="2">
        <f t="shared" si="0"/>
        <v>1.2199999999999989</v>
      </c>
      <c r="AE56" s="138">
        <f t="shared" si="1"/>
        <v>6.5630397236615678E-3</v>
      </c>
    </row>
    <row r="57" spans="15:31" x14ac:dyDescent="0.25">
      <c r="O57" s="83">
        <v>0.94</v>
      </c>
      <c r="P57" s="83">
        <f t="shared" si="9"/>
        <v>47.535799999999995</v>
      </c>
      <c r="T57" s="93" t="s">
        <v>112</v>
      </c>
      <c r="U57" s="130">
        <v>2</v>
      </c>
      <c r="W57" s="133">
        <v>42599</v>
      </c>
      <c r="X57" s="10">
        <v>59.5</v>
      </c>
      <c r="Y57" s="10">
        <v>59.52</v>
      </c>
      <c r="Z57" s="10">
        <v>58.07</v>
      </c>
      <c r="AA57" s="10">
        <v>58.3</v>
      </c>
      <c r="AB57" s="95">
        <v>21007400</v>
      </c>
      <c r="AC57" s="10">
        <v>57.9</v>
      </c>
      <c r="AD57" s="2">
        <f t="shared" si="0"/>
        <v>1.4500000000000028</v>
      </c>
      <c r="AE57" s="138">
        <f t="shared" si="1"/>
        <v>-1.8644067796610209E-2</v>
      </c>
    </row>
    <row r="58" spans="15:31" x14ac:dyDescent="0.25">
      <c r="O58" s="83">
        <v>0.93</v>
      </c>
      <c r="P58" s="83">
        <f t="shared" si="9"/>
        <v>47.030100000000004</v>
      </c>
      <c r="T58" s="93" t="s">
        <v>109</v>
      </c>
      <c r="U58" s="130" t="s">
        <v>467</v>
      </c>
      <c r="W58" s="133">
        <v>42598</v>
      </c>
      <c r="X58" s="10">
        <v>60.02</v>
      </c>
      <c r="Y58" s="10">
        <v>60.39</v>
      </c>
      <c r="Z58" s="10">
        <v>59.3</v>
      </c>
      <c r="AA58" s="10">
        <v>59.41</v>
      </c>
      <c r="AB58" s="95">
        <v>13273700</v>
      </c>
      <c r="AC58" s="10">
        <v>59</v>
      </c>
      <c r="AD58" s="2">
        <f t="shared" si="0"/>
        <v>1.0900000000000034</v>
      </c>
      <c r="AE58" s="138">
        <f t="shared" si="1"/>
        <v>-1.039919490103991E-2</v>
      </c>
    </row>
    <row r="59" spans="15:31" x14ac:dyDescent="0.25">
      <c r="O59" s="83">
        <v>0.92</v>
      </c>
      <c r="P59" s="83">
        <f t="shared" si="9"/>
        <v>46.5244</v>
      </c>
      <c r="W59" s="133">
        <v>42597</v>
      </c>
      <c r="X59" s="10">
        <v>60.74</v>
      </c>
      <c r="Y59" s="10">
        <v>60.86</v>
      </c>
      <c r="Z59" s="10">
        <v>60.01</v>
      </c>
      <c r="AA59" s="10">
        <v>60.03</v>
      </c>
      <c r="AB59" s="95">
        <v>12142900</v>
      </c>
      <c r="AC59" s="10">
        <v>59.62</v>
      </c>
      <c r="AD59" s="2">
        <f t="shared" si="0"/>
        <v>0.85000000000000142</v>
      </c>
      <c r="AE59" s="138">
        <f t="shared" si="1"/>
        <v>-9.7990367048663707E-3</v>
      </c>
    </row>
    <row r="60" spans="15:31" x14ac:dyDescent="0.25">
      <c r="O60" s="83">
        <v>0.91</v>
      </c>
      <c r="P60" s="83">
        <f t="shared" si="9"/>
        <v>46.018700000000003</v>
      </c>
      <c r="W60" s="133">
        <v>42594</v>
      </c>
      <c r="X60" s="10">
        <v>61.23</v>
      </c>
      <c r="Y60" s="10">
        <v>61.3</v>
      </c>
      <c r="Z60" s="10">
        <v>60.61</v>
      </c>
      <c r="AA60" s="10">
        <v>60.63</v>
      </c>
      <c r="AB60" s="95">
        <v>9376500</v>
      </c>
      <c r="AC60" s="10">
        <v>60.21</v>
      </c>
      <c r="AD60" s="2">
        <f t="shared" si="0"/>
        <v>0.68999999999999773</v>
      </c>
      <c r="AE60" s="138">
        <f t="shared" si="1"/>
        <v>-5.6151940545003942E-3</v>
      </c>
    </row>
    <row r="61" spans="15:31" x14ac:dyDescent="0.25">
      <c r="O61" s="83">
        <v>0.9</v>
      </c>
      <c r="P61" s="83">
        <f t="shared" si="9"/>
        <v>45.512999999999998</v>
      </c>
      <c r="W61" s="133">
        <v>42593</v>
      </c>
      <c r="X61" s="10">
        <v>60.7</v>
      </c>
      <c r="Y61" s="10">
        <v>61.13</v>
      </c>
      <c r="Z61" s="10">
        <v>60.25</v>
      </c>
      <c r="AA61" s="10">
        <v>60.97</v>
      </c>
      <c r="AB61" s="95">
        <v>14576300</v>
      </c>
      <c r="AC61" s="10">
        <v>60.55</v>
      </c>
      <c r="AD61" s="2">
        <f t="shared" si="0"/>
        <v>0.88000000000000256</v>
      </c>
      <c r="AE61" s="138">
        <f t="shared" si="1"/>
        <v>6.4827127659574657E-3</v>
      </c>
    </row>
    <row r="62" spans="15:31" x14ac:dyDescent="0.25">
      <c r="W62" s="133">
        <v>42592</v>
      </c>
      <c r="X62" s="10">
        <v>61.77</v>
      </c>
      <c r="Y62" s="10">
        <v>61.83</v>
      </c>
      <c r="Z62" s="10">
        <v>60.5</v>
      </c>
      <c r="AA62" s="10">
        <v>60.58</v>
      </c>
      <c r="AB62" s="95">
        <v>14455100</v>
      </c>
      <c r="AC62" s="10">
        <v>60.16</v>
      </c>
      <c r="AD62" s="2">
        <f t="shared" si="0"/>
        <v>1.3299999999999983</v>
      </c>
      <c r="AE62" s="138">
        <f t="shared" si="1"/>
        <v>-1.6832815819578406E-2</v>
      </c>
    </row>
    <row r="63" spans="15:31" x14ac:dyDescent="0.25">
      <c r="W63" s="133">
        <v>42591</v>
      </c>
      <c r="X63" s="10">
        <v>60.65</v>
      </c>
      <c r="Y63" s="10">
        <v>62.25</v>
      </c>
      <c r="Z63" s="10">
        <v>60.57</v>
      </c>
      <c r="AA63" s="10">
        <v>61.61</v>
      </c>
      <c r="AB63" s="95">
        <v>25005600</v>
      </c>
      <c r="AC63" s="10">
        <v>61.19</v>
      </c>
      <c r="AD63" s="2">
        <f t="shared" si="0"/>
        <v>1.6799999999999997</v>
      </c>
      <c r="AE63" s="138">
        <f t="shared" si="1"/>
        <v>2.1877087508350046E-2</v>
      </c>
    </row>
    <row r="64" spans="15:31" x14ac:dyDescent="0.25">
      <c r="W64" s="133">
        <v>42590</v>
      </c>
      <c r="X64" s="10">
        <v>63.5</v>
      </c>
      <c r="Y64" s="10">
        <v>63.65</v>
      </c>
      <c r="Z64" s="10">
        <v>60</v>
      </c>
      <c r="AA64" s="10">
        <v>60.3</v>
      </c>
      <c r="AB64" s="95">
        <v>60132800</v>
      </c>
      <c r="AC64" s="10">
        <v>59.88</v>
      </c>
      <c r="AD64" s="2">
        <f t="shared" si="0"/>
        <v>3.6499999999999986</v>
      </c>
      <c r="AE64" s="138">
        <f t="shared" si="1"/>
        <v>-4.7103755569700811E-2</v>
      </c>
    </row>
    <row r="65" spans="23:31" x14ac:dyDescent="0.25">
      <c r="W65" s="133">
        <v>42587</v>
      </c>
      <c r="X65" s="10">
        <v>62</v>
      </c>
      <c r="Y65" s="10">
        <v>64.77</v>
      </c>
      <c r="Z65" s="10">
        <v>61.56</v>
      </c>
      <c r="AA65" s="10">
        <v>63.28</v>
      </c>
      <c r="AB65" s="95">
        <v>86212600</v>
      </c>
      <c r="AC65" s="10">
        <v>62.84</v>
      </c>
      <c r="AD65" s="2">
        <f t="shared" si="0"/>
        <v>3.2099999999999937</v>
      </c>
      <c r="AE65" s="138">
        <f t="shared" si="1"/>
        <v>-0.15989304812834215</v>
      </c>
    </row>
    <row r="66" spans="23:31" x14ac:dyDescent="0.25">
      <c r="W66" s="133">
        <v>42586</v>
      </c>
      <c r="X66" s="10">
        <v>74.959999999999994</v>
      </c>
      <c r="Y66" s="10">
        <v>75.62</v>
      </c>
      <c r="Z66" s="10">
        <v>74.569999999999993</v>
      </c>
      <c r="AA66" s="10">
        <v>75.319999999999993</v>
      </c>
      <c r="AB66" s="95">
        <v>3474900</v>
      </c>
      <c r="AC66" s="10">
        <v>74.8</v>
      </c>
      <c r="AD66" s="2">
        <f t="shared" si="0"/>
        <v>1.0500000000000114</v>
      </c>
      <c r="AE66" s="138">
        <f t="shared" si="1"/>
        <v>6.8649885583522696E-3</v>
      </c>
    </row>
    <row r="67" spans="23:31" x14ac:dyDescent="0.25">
      <c r="W67" s="133">
        <v>42585</v>
      </c>
      <c r="X67" s="10">
        <v>74.930000000000007</v>
      </c>
      <c r="Y67" s="10">
        <v>75.06</v>
      </c>
      <c r="Z67" s="10">
        <v>74.25</v>
      </c>
      <c r="AA67" s="10">
        <v>74.8</v>
      </c>
      <c r="AB67" s="95">
        <v>4349600</v>
      </c>
      <c r="AC67" s="10">
        <v>74.290000000000006</v>
      </c>
      <c r="AD67" s="2">
        <f>Y67-Z67</f>
        <v>0.81000000000000227</v>
      </c>
      <c r="AE67" s="138" t="e">
        <f>AC67/#REF!-1</f>
        <v>#REF!</v>
      </c>
    </row>
    <row r="68" spans="23:31" x14ac:dyDescent="0.25">
      <c r="W68" s="133">
        <v>42584</v>
      </c>
      <c r="X68" s="10">
        <v>76.02</v>
      </c>
      <c r="Y68" s="10">
        <v>76.069999999999993</v>
      </c>
      <c r="Z68" s="10">
        <v>74.709999999999994</v>
      </c>
      <c r="AA68" s="10">
        <v>75.05</v>
      </c>
      <c r="AB68" s="95">
        <v>4479000</v>
      </c>
      <c r="AC68" s="10">
        <v>74.53</v>
      </c>
      <c r="AD68" s="2" t="e">
        <f>#REF!-#REF!</f>
        <v>#REF!</v>
      </c>
      <c r="AE68" s="138" t="e">
        <f>#REF!/AC70-1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3:31" x14ac:dyDescent="0.25">
      <c r="W70" s="133"/>
      <c r="X70" s="10"/>
      <c r="Y70" s="10"/>
      <c r="Z70" s="10"/>
      <c r="AA70" s="10"/>
      <c r="AB70" s="95"/>
      <c r="AC70" s="10"/>
    </row>
    <row r="208" spans="21:21" x14ac:dyDescent="0.25">
      <c r="U208" s="235"/>
    </row>
    <row r="209" spans="21:21" x14ac:dyDescent="0.25">
      <c r="U209" s="235"/>
    </row>
    <row r="281" spans="21:21" x14ac:dyDescent="0.25">
      <c r="U281" s="284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673" priority="11">
      <formula>F34&gt;0</formula>
    </cfRule>
    <cfRule type="expression" dxfId="672" priority="12">
      <formula>F34&lt;0</formula>
    </cfRule>
  </conditionalFormatting>
  <conditionalFormatting sqref="Q7">
    <cfRule type="expression" dxfId="671" priority="9">
      <formula>Q7&gt;0</formula>
    </cfRule>
    <cfRule type="expression" dxfId="670" priority="10">
      <formula>Q7&lt;0</formula>
    </cfRule>
  </conditionalFormatting>
  <conditionalFormatting sqref="Q8">
    <cfRule type="expression" dxfId="669" priority="7">
      <formula>Q8&gt;0</formula>
    </cfRule>
    <cfRule type="expression" dxfId="668" priority="8">
      <formula>Q8&lt;0</formula>
    </cfRule>
  </conditionalFormatting>
  <conditionalFormatting sqref="F25:F33">
    <cfRule type="expression" dxfId="667" priority="5">
      <formula>F25&gt;0</formula>
    </cfRule>
    <cfRule type="expression" dxfId="666" priority="6">
      <formula>F25&lt;0</formula>
    </cfRule>
  </conditionalFormatting>
  <conditionalFormatting sqref="H25:H33">
    <cfRule type="expression" dxfId="665" priority="3">
      <formula>H25&gt;0</formula>
    </cfRule>
    <cfRule type="expression" dxfId="664" priority="4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284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42676</v>
      </c>
      <c r="X2" s="10">
        <v>68</v>
      </c>
      <c r="Y2" s="10">
        <v>68.22</v>
      </c>
      <c r="Z2" s="10">
        <v>67.209999999999994</v>
      </c>
      <c r="AA2" s="10">
        <v>67.31</v>
      </c>
      <c r="AB2" s="95">
        <v>3684900</v>
      </c>
      <c r="AC2" s="10">
        <v>67.31</v>
      </c>
      <c r="AD2" s="2">
        <f>Y2-Z2</f>
        <v>1.0100000000000051</v>
      </c>
      <c r="AE2" s="138">
        <f>AC2/AC3-1</f>
        <v>-1.1600587371512372E-2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67.31</v>
      </c>
      <c r="T3" s="1"/>
      <c r="W3" s="133">
        <v>42675</v>
      </c>
      <c r="X3" s="10">
        <v>69.39</v>
      </c>
      <c r="Y3" s="10">
        <v>69.55</v>
      </c>
      <c r="Z3" s="10">
        <v>67.52</v>
      </c>
      <c r="AA3" s="10">
        <v>68.099999999999994</v>
      </c>
      <c r="AB3" s="95">
        <v>5326000</v>
      </c>
      <c r="AC3" s="10">
        <v>68.099999999999994</v>
      </c>
      <c r="AD3" s="2">
        <f t="shared" ref="AD3:AD66" si="0">Y3-Z3</f>
        <v>2.0300000000000011</v>
      </c>
      <c r="AE3" s="138">
        <f t="shared" ref="AE3:AE66" si="1">AC3/AC4-1</f>
        <v>-1.9720742766661914E-2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67.31</v>
      </c>
      <c r="R4" s="527">
        <v>-1.1599999999999999E-2</v>
      </c>
      <c r="T4" s="163"/>
      <c r="U4" s="1"/>
      <c r="W4" s="133">
        <v>42674</v>
      </c>
      <c r="X4" s="10">
        <v>69.760000000000005</v>
      </c>
      <c r="Y4" s="10">
        <v>71.040000000000006</v>
      </c>
      <c r="Z4" s="10">
        <v>69.349999999999994</v>
      </c>
      <c r="AA4" s="10">
        <v>69.47</v>
      </c>
      <c r="AB4" s="95">
        <v>3711100</v>
      </c>
      <c r="AC4" s="10">
        <v>69.47</v>
      </c>
      <c r="AD4" s="2">
        <f t="shared" si="0"/>
        <v>1.6900000000000119</v>
      </c>
      <c r="AE4" s="138">
        <f t="shared" si="1"/>
        <v>-6.2938063224144969E-3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42671</v>
      </c>
      <c r="X5" s="10">
        <v>68.63</v>
      </c>
      <c r="Y5" s="10">
        <v>70.099999999999994</v>
      </c>
      <c r="Z5" s="10">
        <v>68.47</v>
      </c>
      <c r="AA5" s="10">
        <v>69.91</v>
      </c>
      <c r="AB5" s="95">
        <v>4013700</v>
      </c>
      <c r="AC5" s="10">
        <v>69.91</v>
      </c>
      <c r="AD5" s="2">
        <f t="shared" si="0"/>
        <v>1.6299999999999955</v>
      </c>
      <c r="AE5" s="138">
        <f t="shared" si="1"/>
        <v>1.5986048539456288E-2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42670</v>
      </c>
      <c r="X6" s="10">
        <v>68.09</v>
      </c>
      <c r="Y6" s="10">
        <v>69.95</v>
      </c>
      <c r="Z6" s="10">
        <v>67.02</v>
      </c>
      <c r="AA6" s="10">
        <v>68.81</v>
      </c>
      <c r="AB6" s="95">
        <v>6580500</v>
      </c>
      <c r="AC6" s="10">
        <v>68.81</v>
      </c>
      <c r="AD6" s="2">
        <f t="shared" si="0"/>
        <v>2.9300000000000068</v>
      </c>
      <c r="AE6" s="138">
        <f t="shared" si="1"/>
        <v>1.6395864106351521E-2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92.650000000000091</v>
      </c>
      <c r="R7">
        <v>0</v>
      </c>
      <c r="W7" s="133">
        <v>42669</v>
      </c>
      <c r="X7" s="10">
        <v>64.36</v>
      </c>
      <c r="Y7" s="10">
        <v>68.47</v>
      </c>
      <c r="Z7" s="10">
        <v>64.099999999999994</v>
      </c>
      <c r="AA7" s="10">
        <v>67.7</v>
      </c>
      <c r="AB7" s="95">
        <v>13691200</v>
      </c>
      <c r="AC7" s="10">
        <v>67.7</v>
      </c>
      <c r="AD7" s="2">
        <f t="shared" si="0"/>
        <v>4.3700000000000045</v>
      </c>
      <c r="AE7" s="138">
        <f t="shared" si="1"/>
        <v>0.14609785000846465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42668</v>
      </c>
      <c r="X8" s="10">
        <v>59</v>
      </c>
      <c r="Y8" s="10">
        <v>59.2</v>
      </c>
      <c r="Z8" s="10">
        <v>58.44</v>
      </c>
      <c r="AA8" s="10">
        <v>59.07</v>
      </c>
      <c r="AB8" s="95">
        <v>3009000</v>
      </c>
      <c r="AC8" s="10">
        <v>59.07</v>
      </c>
      <c r="AD8" s="2">
        <f t="shared" si="0"/>
        <v>0.76000000000000512</v>
      </c>
      <c r="AE8" s="138">
        <f t="shared" si="1"/>
        <v>3.9089055064580602E-3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219</v>
      </c>
      <c r="Q9" s="138">
        <f>IF(Q2=0, 0, Q8/Q6)</f>
        <v>0</v>
      </c>
      <c r="W9" s="133">
        <v>42667</v>
      </c>
      <c r="X9" s="10">
        <v>57.97</v>
      </c>
      <c r="Y9" s="10">
        <v>59.18</v>
      </c>
      <c r="Z9" s="10">
        <v>57.84</v>
      </c>
      <c r="AA9" s="10">
        <v>58.84</v>
      </c>
      <c r="AB9" s="95">
        <v>2822100</v>
      </c>
      <c r="AC9" s="10">
        <v>58.84</v>
      </c>
      <c r="AD9" s="2">
        <f t="shared" si="0"/>
        <v>1.3399999999999963</v>
      </c>
      <c r="AE9" s="138">
        <f t="shared" si="1"/>
        <v>2.0287844633258167E-2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218</v>
      </c>
      <c r="P10" s="34"/>
      <c r="Q10" s="2">
        <f>M46</f>
        <v>92.650000000000091</v>
      </c>
      <c r="W10" s="133">
        <v>42664</v>
      </c>
      <c r="X10" s="10">
        <v>56.73</v>
      </c>
      <c r="Y10" s="10">
        <v>57.81</v>
      </c>
      <c r="Z10" s="10">
        <v>56.25</v>
      </c>
      <c r="AA10" s="10">
        <v>57.67</v>
      </c>
      <c r="AB10" s="95">
        <v>1799600</v>
      </c>
      <c r="AC10" s="10">
        <v>57.67</v>
      </c>
      <c r="AD10" s="2">
        <f t="shared" si="0"/>
        <v>1.5600000000000023</v>
      </c>
      <c r="AE10" s="138">
        <f t="shared" si="1"/>
        <v>1.6569716199541729E-2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42663</v>
      </c>
      <c r="X11" s="10">
        <v>56.57</v>
      </c>
      <c r="Y11" s="10">
        <v>56.88</v>
      </c>
      <c r="Z11" s="10">
        <v>56.33</v>
      </c>
      <c r="AA11" s="10">
        <v>56.73</v>
      </c>
      <c r="AB11" s="95">
        <v>1072500</v>
      </c>
      <c r="AC11" s="10">
        <v>56.73</v>
      </c>
      <c r="AD11" s="2">
        <f t="shared" si="0"/>
        <v>0.55000000000000426</v>
      </c>
      <c r="AE11" s="138">
        <f t="shared" si="1"/>
        <v>1.9427764040975681E-3</v>
      </c>
    </row>
    <row r="12" spans="1:31" x14ac:dyDescent="0.25">
      <c r="H12" s="72"/>
      <c r="W12" s="133">
        <v>42662</v>
      </c>
      <c r="X12" s="10">
        <v>56.18</v>
      </c>
      <c r="Y12" s="10">
        <v>56.98</v>
      </c>
      <c r="Z12" s="10">
        <v>56</v>
      </c>
      <c r="AA12" s="10">
        <v>56.62</v>
      </c>
      <c r="AB12" s="95">
        <v>1698000</v>
      </c>
      <c r="AC12" s="10">
        <v>56.62</v>
      </c>
      <c r="AD12" s="2">
        <f t="shared" si="0"/>
        <v>0.97999999999999687</v>
      </c>
      <c r="AE12" s="138">
        <f t="shared" si="1"/>
        <v>1.2517882689556448E-2</v>
      </c>
    </row>
    <row r="13" spans="1:31" x14ac:dyDescent="0.25">
      <c r="H13" s="72"/>
      <c r="W13" s="133">
        <v>42661</v>
      </c>
      <c r="X13" s="10">
        <v>55.69</v>
      </c>
      <c r="Y13" s="10">
        <v>56.3</v>
      </c>
      <c r="Z13" s="10">
        <v>55.58</v>
      </c>
      <c r="AA13" s="10">
        <v>55.92</v>
      </c>
      <c r="AB13" s="95">
        <v>1935100</v>
      </c>
      <c r="AC13" s="10">
        <v>55.92</v>
      </c>
      <c r="AD13" s="2">
        <f t="shared" si="0"/>
        <v>0.71999999999999886</v>
      </c>
      <c r="AE13" s="138">
        <f t="shared" si="1"/>
        <v>1.7837641062977916E-2</v>
      </c>
    </row>
    <row r="14" spans="1:31" x14ac:dyDescent="0.25">
      <c r="H14" s="72"/>
      <c r="W14" s="133">
        <v>42660</v>
      </c>
      <c r="X14" s="10">
        <v>54.52</v>
      </c>
      <c r="Y14" s="10">
        <v>54.99</v>
      </c>
      <c r="Z14" s="10">
        <v>54.11</v>
      </c>
      <c r="AA14" s="10">
        <v>54.94</v>
      </c>
      <c r="AB14" s="95">
        <v>1264900</v>
      </c>
      <c r="AC14" s="10">
        <v>54.94</v>
      </c>
      <c r="AD14" s="2">
        <f t="shared" si="0"/>
        <v>0.88000000000000256</v>
      </c>
      <c r="AE14" s="138">
        <f t="shared" si="1"/>
        <v>5.1225759238930912E-3</v>
      </c>
    </row>
    <row r="15" spans="1:31" x14ac:dyDescent="0.25">
      <c r="H15" s="72"/>
      <c r="W15" s="133">
        <v>42657</v>
      </c>
      <c r="X15" s="10">
        <v>54.8</v>
      </c>
      <c r="Y15" s="10">
        <v>55.24</v>
      </c>
      <c r="Z15" s="10">
        <v>54.07</v>
      </c>
      <c r="AA15" s="10">
        <v>54.66</v>
      </c>
      <c r="AB15" s="95">
        <v>1521000</v>
      </c>
      <c r="AC15" s="10">
        <v>54.66</v>
      </c>
      <c r="AD15" s="2">
        <f t="shared" si="0"/>
        <v>1.1700000000000017</v>
      </c>
      <c r="AE15" s="138">
        <f t="shared" si="1"/>
        <v>3.8567493112946494E-3</v>
      </c>
    </row>
    <row r="16" spans="1:31" x14ac:dyDescent="0.25">
      <c r="H16" s="72"/>
      <c r="W16" s="133">
        <v>42656</v>
      </c>
      <c r="X16" s="10">
        <v>53.87</v>
      </c>
      <c r="Y16" s="10">
        <v>54.58</v>
      </c>
      <c r="Z16" s="10">
        <v>53.19</v>
      </c>
      <c r="AA16" s="10">
        <v>54.45</v>
      </c>
      <c r="AB16" s="95">
        <v>1400000</v>
      </c>
      <c r="AC16" s="10">
        <v>54.45</v>
      </c>
      <c r="AD16" s="2">
        <f t="shared" si="0"/>
        <v>1.3900000000000006</v>
      </c>
      <c r="AE16" s="138">
        <f t="shared" si="1"/>
        <v>3.1319086219603332E-3</v>
      </c>
    </row>
    <row r="17" spans="1:31" x14ac:dyDescent="0.25">
      <c r="W17" s="133">
        <v>42655</v>
      </c>
      <c r="X17" s="10">
        <v>54.03</v>
      </c>
      <c r="Y17" s="10">
        <v>54.36</v>
      </c>
      <c r="Z17" s="10">
        <v>53.57</v>
      </c>
      <c r="AA17" s="10">
        <v>54.28</v>
      </c>
      <c r="AB17" s="95">
        <v>993800</v>
      </c>
      <c r="AC17" s="10">
        <v>54.28</v>
      </c>
      <c r="AD17" s="2">
        <f t="shared" si="0"/>
        <v>0.78999999999999915</v>
      </c>
      <c r="AE17" s="138">
        <f t="shared" si="1"/>
        <v>2.7711065952336078E-3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42654</v>
      </c>
      <c r="X18" s="10">
        <v>55.3</v>
      </c>
      <c r="Y18" s="10">
        <v>55.3</v>
      </c>
      <c r="Z18" s="10">
        <v>53.61</v>
      </c>
      <c r="AA18" s="10">
        <v>54.13</v>
      </c>
      <c r="AB18" s="95">
        <v>1786500</v>
      </c>
      <c r="AC18" s="10">
        <v>54.13</v>
      </c>
      <c r="AD18" s="2">
        <f t="shared" si="0"/>
        <v>1.6899999999999977</v>
      </c>
      <c r="AE18" s="138">
        <f t="shared" si="1"/>
        <v>-2.1334297595371532E-2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42653</v>
      </c>
      <c r="X19" s="10">
        <v>55.22</v>
      </c>
      <c r="Y19" s="10">
        <v>55.74</v>
      </c>
      <c r="Z19" s="10">
        <v>55.07</v>
      </c>
      <c r="AA19" s="10">
        <v>55.31</v>
      </c>
      <c r="AB19" s="95">
        <v>1256900</v>
      </c>
      <c r="AC19" s="10">
        <v>55.31</v>
      </c>
      <c r="AD19" s="2">
        <f t="shared" si="0"/>
        <v>0.67000000000000171</v>
      </c>
      <c r="AE19" s="138">
        <f t="shared" si="1"/>
        <v>6.5514103730663908E-3</v>
      </c>
    </row>
    <row r="20" spans="1:31" x14ac:dyDescent="0.25">
      <c r="W20" s="133">
        <v>42650</v>
      </c>
      <c r="X20" s="10">
        <v>55.33</v>
      </c>
      <c r="Y20" s="10">
        <v>55.33</v>
      </c>
      <c r="Z20" s="10">
        <v>54.58</v>
      </c>
      <c r="AA20" s="10">
        <v>54.95</v>
      </c>
      <c r="AB20" s="95">
        <v>1162200</v>
      </c>
      <c r="AC20" s="10">
        <v>54.95</v>
      </c>
      <c r="AD20" s="2">
        <f t="shared" si="0"/>
        <v>0.75</v>
      </c>
      <c r="AE20" s="138">
        <f t="shared" si="1"/>
        <v>1.6405395552314683E-3</v>
      </c>
    </row>
    <row r="21" spans="1:31" x14ac:dyDescent="0.25">
      <c r="W21" s="133">
        <v>42649</v>
      </c>
      <c r="X21" s="10">
        <v>55.8</v>
      </c>
      <c r="Y21" s="10">
        <v>55.91</v>
      </c>
      <c r="Z21" s="10">
        <v>54.6</v>
      </c>
      <c r="AA21" s="10">
        <v>54.86</v>
      </c>
      <c r="AB21" s="95">
        <v>1967600</v>
      </c>
      <c r="AC21" s="10">
        <v>54.86</v>
      </c>
      <c r="AD21" s="2">
        <f t="shared" si="0"/>
        <v>1.3099999999999952</v>
      </c>
      <c r="AE21" s="138">
        <f t="shared" si="1"/>
        <v>-2.0007145409074667E-2</v>
      </c>
    </row>
    <row r="22" spans="1:31" x14ac:dyDescent="0.25">
      <c r="W22" s="133">
        <v>42648</v>
      </c>
      <c r="X22" s="10">
        <v>54.9</v>
      </c>
      <c r="Y22" s="10">
        <v>56.05</v>
      </c>
      <c r="Z22" s="10">
        <v>54.73</v>
      </c>
      <c r="AA22" s="10">
        <v>55.98</v>
      </c>
      <c r="AB22" s="95">
        <v>2973100</v>
      </c>
      <c r="AC22" s="10">
        <v>55.98</v>
      </c>
      <c r="AD22" s="2">
        <f t="shared" si="0"/>
        <v>1.3200000000000003</v>
      </c>
      <c r="AE22" s="138">
        <f t="shared" si="1"/>
        <v>2.4524158125915019E-2</v>
      </c>
    </row>
    <row r="23" spans="1:31" x14ac:dyDescent="0.25">
      <c r="W23" s="133">
        <v>42647</v>
      </c>
      <c r="X23" s="10">
        <v>53.75</v>
      </c>
      <c r="Y23" s="10">
        <v>54.78</v>
      </c>
      <c r="Z23" s="10">
        <v>53.2</v>
      </c>
      <c r="AA23" s="10">
        <v>54.64</v>
      </c>
      <c r="AB23" s="95">
        <v>2632400</v>
      </c>
      <c r="AC23" s="10">
        <v>54.64</v>
      </c>
      <c r="AD23" s="2">
        <f t="shared" si="0"/>
        <v>1.5799999999999983</v>
      </c>
      <c r="AE23" s="138">
        <f t="shared" si="1"/>
        <v>1.7315211320052093E-2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42646</v>
      </c>
      <c r="X24" s="10">
        <v>52.96</v>
      </c>
      <c r="Y24" s="10">
        <v>53.75</v>
      </c>
      <c r="Z24" s="10">
        <v>52.63</v>
      </c>
      <c r="AA24" s="10">
        <v>53.71</v>
      </c>
      <c r="AB24" s="95">
        <v>1848300</v>
      </c>
      <c r="AC24" s="10">
        <v>53.71</v>
      </c>
      <c r="AD24" s="2">
        <f t="shared" si="0"/>
        <v>1.1199999999999974</v>
      </c>
      <c r="AE24" s="138">
        <f t="shared" si="1"/>
        <v>1.3587469333836477E-2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285</v>
      </c>
      <c r="W25" s="133">
        <v>42643</v>
      </c>
      <c r="X25" s="10">
        <v>52.63</v>
      </c>
      <c r="Y25" s="10">
        <v>53.19</v>
      </c>
      <c r="Z25" s="10">
        <v>52.13</v>
      </c>
      <c r="AA25" s="10">
        <v>52.99</v>
      </c>
      <c r="AB25" s="95">
        <v>1353600</v>
      </c>
      <c r="AC25" s="10">
        <v>52.99</v>
      </c>
      <c r="AD25" s="2">
        <f t="shared" si="0"/>
        <v>1.0599999999999952</v>
      </c>
      <c r="AE25" s="138">
        <f t="shared" si="1"/>
        <v>1.1066590345353955E-2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42642</v>
      </c>
      <c r="X26" s="10">
        <v>52.27</v>
      </c>
      <c r="Y26" s="10">
        <v>53.64</v>
      </c>
      <c r="Z26" s="10">
        <v>52.27</v>
      </c>
      <c r="AA26" s="10">
        <v>52.41</v>
      </c>
      <c r="AB26" s="95">
        <v>2268600</v>
      </c>
      <c r="AC26" s="10">
        <v>52.41</v>
      </c>
      <c r="AD26" s="2">
        <f t="shared" si="0"/>
        <v>1.3699999999999974</v>
      </c>
      <c r="AE26" s="138">
        <f t="shared" si="1"/>
        <v>2.4866105585308329E-3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288</v>
      </c>
      <c r="W27" s="133">
        <v>42641</v>
      </c>
      <c r="X27" s="10">
        <v>52.57</v>
      </c>
      <c r="Y27" s="10">
        <v>52.7</v>
      </c>
      <c r="Z27" s="10">
        <v>51.36</v>
      </c>
      <c r="AA27" s="10">
        <v>52.28</v>
      </c>
      <c r="AB27" s="95">
        <v>1965800</v>
      </c>
      <c r="AC27" s="10">
        <v>52.28</v>
      </c>
      <c r="AD27" s="2">
        <f t="shared" si="0"/>
        <v>1.3400000000000034</v>
      </c>
      <c r="AE27" s="138">
        <f t="shared" si="1"/>
        <v>-7.0275403608736076E-3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42640</v>
      </c>
      <c r="X28" s="10">
        <v>51.85</v>
      </c>
      <c r="Y28" s="10">
        <v>52.83</v>
      </c>
      <c r="Z28" s="10">
        <v>51.8</v>
      </c>
      <c r="AA28" s="10">
        <v>52.65</v>
      </c>
      <c r="AB28" s="95">
        <v>1562400</v>
      </c>
      <c r="AC28" s="10">
        <v>52.65</v>
      </c>
      <c r="AD28" s="2">
        <f t="shared" si="0"/>
        <v>1.0300000000000011</v>
      </c>
      <c r="AE28" s="138">
        <f t="shared" si="1"/>
        <v>1.7194744976816168E-2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42639</v>
      </c>
      <c r="X29" s="10">
        <v>51.84</v>
      </c>
      <c r="Y29" s="10">
        <v>52.25</v>
      </c>
      <c r="Z29" s="10">
        <v>51.51</v>
      </c>
      <c r="AA29" s="10">
        <v>51.76</v>
      </c>
      <c r="AB29" s="95">
        <v>1298500</v>
      </c>
      <c r="AC29" s="10">
        <v>51.76</v>
      </c>
      <c r="AD29" s="2">
        <f t="shared" si="0"/>
        <v>0.74000000000000199</v>
      </c>
      <c r="AE29" s="138">
        <f t="shared" si="1"/>
        <v>-9.3779904306220407E-3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42636</v>
      </c>
      <c r="X30" s="10">
        <v>52.11</v>
      </c>
      <c r="Y30" s="10">
        <v>52.63</v>
      </c>
      <c r="Z30" s="10">
        <v>52.11</v>
      </c>
      <c r="AA30" s="10">
        <v>52.25</v>
      </c>
      <c r="AB30" s="95">
        <v>1302200</v>
      </c>
      <c r="AC30" s="10">
        <v>52.25</v>
      </c>
      <c r="AD30" s="2">
        <f t="shared" si="0"/>
        <v>0.52000000000000313</v>
      </c>
      <c r="AE30" s="138">
        <f t="shared" si="1"/>
        <v>-3.4331489605188281E-3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42635</v>
      </c>
      <c r="X31" s="10">
        <v>52.7</v>
      </c>
      <c r="Y31" s="10">
        <v>52.93</v>
      </c>
      <c r="Z31" s="10">
        <v>52.17</v>
      </c>
      <c r="AA31" s="10">
        <v>52.43</v>
      </c>
      <c r="AB31" s="95">
        <v>2073300</v>
      </c>
      <c r="AC31" s="10">
        <v>52.43</v>
      </c>
      <c r="AD31" s="2">
        <f t="shared" si="0"/>
        <v>0.75999999999999801</v>
      </c>
      <c r="AE31" s="138">
        <f t="shared" si="1"/>
        <v>4.2137521547596091E-3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42634</v>
      </c>
      <c r="X32" s="10">
        <v>51.48</v>
      </c>
      <c r="Y32" s="10">
        <v>52.3</v>
      </c>
      <c r="Z32" s="10">
        <v>51.28</v>
      </c>
      <c r="AA32" s="10">
        <v>52.21</v>
      </c>
      <c r="AB32" s="95">
        <v>1688300</v>
      </c>
      <c r="AC32" s="10">
        <v>52.21</v>
      </c>
      <c r="AD32" s="2">
        <f t="shared" si="0"/>
        <v>1.019999999999996</v>
      </c>
      <c r="AE32" s="138">
        <f t="shared" si="1"/>
        <v>1.6549844236760203E-2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42633</v>
      </c>
      <c r="X33" s="10">
        <v>51.98</v>
      </c>
      <c r="Y33" s="10">
        <v>52.26</v>
      </c>
      <c r="Z33" s="10">
        <v>51.36</v>
      </c>
      <c r="AA33" s="10">
        <v>51.36</v>
      </c>
      <c r="AB33" s="95">
        <v>1886800</v>
      </c>
      <c r="AC33" s="10">
        <v>51.36</v>
      </c>
      <c r="AD33" s="2">
        <f t="shared" si="0"/>
        <v>0.89999999999999858</v>
      </c>
      <c r="AE33" s="138">
        <f t="shared" si="1"/>
        <v>-5.0368074389770534E-3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42632</v>
      </c>
      <c r="X34" s="10">
        <v>51.18</v>
      </c>
      <c r="Y34" s="10">
        <v>51.9</v>
      </c>
      <c r="Z34" s="10">
        <v>51.14</v>
      </c>
      <c r="AA34" s="10">
        <v>51.62</v>
      </c>
      <c r="AB34" s="95">
        <v>2430000</v>
      </c>
      <c r="AC34" s="10">
        <v>51.62</v>
      </c>
      <c r="AD34" s="2">
        <f t="shared" si="0"/>
        <v>0.75999999999999801</v>
      </c>
      <c r="AE34" s="138">
        <f t="shared" si="1"/>
        <v>1.2553942722636435E-2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42629</v>
      </c>
      <c r="X35" s="10">
        <v>51.2</v>
      </c>
      <c r="Y35" s="10">
        <v>51.4</v>
      </c>
      <c r="Z35" s="10">
        <v>50.76</v>
      </c>
      <c r="AA35" s="10">
        <v>50.98</v>
      </c>
      <c r="AB35" s="95">
        <v>2415000</v>
      </c>
      <c r="AC35" s="10">
        <v>50.98</v>
      </c>
      <c r="AD35" s="2">
        <f t="shared" si="0"/>
        <v>0.64000000000000057</v>
      </c>
      <c r="AE35" s="138">
        <f t="shared" si="1"/>
        <v>-7.7851304009343147E-3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42628</v>
      </c>
      <c r="X36" s="10">
        <v>51.31</v>
      </c>
      <c r="Y36" s="10">
        <v>51.71</v>
      </c>
      <c r="Z36" s="10">
        <v>50.91</v>
      </c>
      <c r="AA36" s="10">
        <v>51.38</v>
      </c>
      <c r="AB36" s="95">
        <v>3072000</v>
      </c>
      <c r="AC36" s="10">
        <v>51.38</v>
      </c>
      <c r="AD36" s="2">
        <f t="shared" si="0"/>
        <v>0.80000000000000426</v>
      </c>
      <c r="AE36" s="138">
        <f t="shared" si="1"/>
        <v>-5.2274927395933313E-3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42627</v>
      </c>
      <c r="X37" s="10">
        <v>51.81</v>
      </c>
      <c r="Y37" s="10">
        <v>52.46</v>
      </c>
      <c r="Z37" s="10">
        <v>51.33</v>
      </c>
      <c r="AA37" s="10">
        <v>51.65</v>
      </c>
      <c r="AB37" s="95">
        <v>2363400</v>
      </c>
      <c r="AC37" s="10">
        <v>51.65</v>
      </c>
      <c r="AD37" s="2">
        <f t="shared" si="0"/>
        <v>1.1300000000000026</v>
      </c>
      <c r="AE37" s="138">
        <f t="shared" si="1"/>
        <v>-4.2413726624253023E-3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42626</v>
      </c>
      <c r="X38" s="10">
        <v>52.5</v>
      </c>
      <c r="Y38" s="10">
        <v>52.82</v>
      </c>
      <c r="Z38" s="10">
        <v>51.43</v>
      </c>
      <c r="AA38" s="10">
        <v>51.87</v>
      </c>
      <c r="AB38" s="95">
        <v>1902900</v>
      </c>
      <c r="AC38" s="10">
        <v>51.87</v>
      </c>
      <c r="AD38" s="2">
        <f t="shared" si="0"/>
        <v>1.3900000000000006</v>
      </c>
      <c r="AE38" s="138">
        <f t="shared" si="1"/>
        <v>-2.2979845545300526E-2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42625</v>
      </c>
      <c r="X39" s="10">
        <v>52.38</v>
      </c>
      <c r="Y39" s="10">
        <v>53.28</v>
      </c>
      <c r="Z39" s="10">
        <v>52.31</v>
      </c>
      <c r="AA39" s="10">
        <v>53.09</v>
      </c>
      <c r="AB39" s="95">
        <v>2109200</v>
      </c>
      <c r="AC39" s="10">
        <v>53.09</v>
      </c>
      <c r="AD39" s="2">
        <f t="shared" si="0"/>
        <v>0.96999999999999886</v>
      </c>
      <c r="AE39" s="138">
        <f t="shared" si="1"/>
        <v>1.1238095238095269E-2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8" t="s">
        <v>78</v>
      </c>
      <c r="P40" s="588"/>
      <c r="W40" s="133">
        <v>42622</v>
      </c>
      <c r="X40" s="10">
        <v>53.04</v>
      </c>
      <c r="Y40" s="10">
        <v>53.73</v>
      </c>
      <c r="Z40" s="10">
        <v>52.43</v>
      </c>
      <c r="AA40" s="10">
        <v>52.5</v>
      </c>
      <c r="AB40" s="95">
        <v>2196800</v>
      </c>
      <c r="AC40" s="10">
        <v>52.5</v>
      </c>
      <c r="AD40" s="2">
        <f t="shared" si="0"/>
        <v>1.2999999999999972</v>
      </c>
      <c r="AE40" s="138">
        <f t="shared" si="1"/>
        <v>-1.8691588785046731E-2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74.041000000000011</v>
      </c>
      <c r="Q41" s="2"/>
      <c r="W41" s="133">
        <v>42621</v>
      </c>
      <c r="X41" s="10">
        <v>53.9</v>
      </c>
      <c r="Y41" s="10">
        <v>54.31</v>
      </c>
      <c r="Z41" s="10">
        <v>53.24</v>
      </c>
      <c r="AA41" s="10">
        <v>53.5</v>
      </c>
      <c r="AB41" s="95">
        <v>3483400</v>
      </c>
      <c r="AC41" s="10">
        <v>53.5</v>
      </c>
      <c r="AD41" s="2">
        <f t="shared" si="0"/>
        <v>1.0700000000000003</v>
      </c>
      <c r="AE41" s="138">
        <f t="shared" si="1"/>
        <v>-1.072485207100593E-2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73.367900000000006</v>
      </c>
      <c r="Q42" s="2"/>
      <c r="T42" s="91" t="s">
        <v>113</v>
      </c>
      <c r="W42" s="133">
        <v>42620</v>
      </c>
      <c r="X42" s="10">
        <v>55.37</v>
      </c>
      <c r="Y42" s="10">
        <v>55.43</v>
      </c>
      <c r="Z42" s="10">
        <v>53.91</v>
      </c>
      <c r="AA42" s="10">
        <v>54.08</v>
      </c>
      <c r="AB42" s="95">
        <v>2394700</v>
      </c>
      <c r="AC42" s="10">
        <v>54.08</v>
      </c>
      <c r="AD42" s="2">
        <f t="shared" si="0"/>
        <v>1.5200000000000031</v>
      </c>
      <c r="AE42" s="138">
        <f t="shared" si="1"/>
        <v>-2.5585585585585657E-2</v>
      </c>
    </row>
    <row r="43" spans="1:31" ht="15.75" thickTop="1" x14ac:dyDescent="0.25">
      <c r="O43" s="83">
        <v>1.08</v>
      </c>
      <c r="P43" s="83">
        <f t="shared" si="30"/>
        <v>72.694800000000001</v>
      </c>
      <c r="Q43" s="2"/>
      <c r="T43" s="128" t="s">
        <v>98</v>
      </c>
      <c r="U43" s="129">
        <v>68.099999999999994</v>
      </c>
      <c r="W43" s="133">
        <v>42619</v>
      </c>
      <c r="X43" s="10">
        <v>55.29</v>
      </c>
      <c r="Y43" s="10">
        <v>55.83</v>
      </c>
      <c r="Z43" s="10">
        <v>55.08</v>
      </c>
      <c r="AA43" s="10">
        <v>55.5</v>
      </c>
      <c r="AB43" s="95">
        <v>1736500</v>
      </c>
      <c r="AC43" s="10">
        <v>55.5</v>
      </c>
      <c r="AD43" s="2">
        <f t="shared" si="0"/>
        <v>0.75</v>
      </c>
      <c r="AE43" s="138">
        <f t="shared" si="1"/>
        <v>3.0724742454364407E-3</v>
      </c>
    </row>
    <row r="44" spans="1:31" x14ac:dyDescent="0.25">
      <c r="O44" s="83">
        <v>1.07</v>
      </c>
      <c r="P44" s="83">
        <f t="shared" si="30"/>
        <v>72.02170000000001</v>
      </c>
      <c r="Q44" s="2"/>
      <c r="T44" s="93" t="s">
        <v>99</v>
      </c>
      <c r="U44" s="130">
        <v>68</v>
      </c>
      <c r="W44" s="133">
        <v>42615</v>
      </c>
      <c r="X44" s="10">
        <v>55.4</v>
      </c>
      <c r="Y44" s="10">
        <v>55.78</v>
      </c>
      <c r="Z44" s="10">
        <v>55.01</v>
      </c>
      <c r="AA44" s="10">
        <v>55.33</v>
      </c>
      <c r="AB44" s="95">
        <v>1149100</v>
      </c>
      <c r="AC44" s="10">
        <v>55.33</v>
      </c>
      <c r="AD44" s="2">
        <f t="shared" si="0"/>
        <v>0.77000000000000313</v>
      </c>
      <c r="AE44" s="138">
        <f t="shared" si="1"/>
        <v>4.7212638460141232E-3</v>
      </c>
    </row>
    <row r="45" spans="1:31" x14ac:dyDescent="0.25">
      <c r="O45" s="83">
        <v>1.06</v>
      </c>
      <c r="P45" s="83">
        <f t="shared" si="30"/>
        <v>71.348600000000005</v>
      </c>
      <c r="Q45" s="2"/>
      <c r="T45" s="93" t="s">
        <v>100</v>
      </c>
      <c r="U45" s="130" t="s">
        <v>615</v>
      </c>
      <c r="W45" s="133">
        <v>42614</v>
      </c>
      <c r="X45" s="10">
        <v>54.82</v>
      </c>
      <c r="Y45" s="10">
        <v>55.08</v>
      </c>
      <c r="Z45" s="10">
        <v>54.16</v>
      </c>
      <c r="AA45" s="10">
        <v>55.07</v>
      </c>
      <c r="AB45" s="95">
        <v>1769500</v>
      </c>
      <c r="AC45" s="10">
        <v>55.07</v>
      </c>
      <c r="AD45" s="2">
        <f t="shared" si="0"/>
        <v>0.92000000000000171</v>
      </c>
      <c r="AE45" s="138">
        <f t="shared" si="1"/>
        <v>3.0965391621129434E-3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70.6755</v>
      </c>
      <c r="Q46" s="2"/>
      <c r="T46" s="93" t="s">
        <v>101</v>
      </c>
      <c r="U46" s="130" t="s">
        <v>616</v>
      </c>
      <c r="W46" s="133">
        <v>42613</v>
      </c>
      <c r="X46" s="10">
        <v>54.97</v>
      </c>
      <c r="Y46" s="10">
        <v>55.14</v>
      </c>
      <c r="Z46" s="10">
        <v>54.29</v>
      </c>
      <c r="AA46" s="10">
        <v>54.9</v>
      </c>
      <c r="AB46" s="95">
        <v>1304200</v>
      </c>
      <c r="AC46" s="10">
        <v>54.9</v>
      </c>
      <c r="AD46" s="2">
        <f t="shared" si="0"/>
        <v>0.85000000000000142</v>
      </c>
      <c r="AE46" s="138">
        <f t="shared" si="1"/>
        <v>1.8218254691193536E-4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70.002400000000009</v>
      </c>
      <c r="Q47" s="2"/>
      <c r="T47" s="93" t="s">
        <v>102</v>
      </c>
      <c r="U47" s="130">
        <v>66</v>
      </c>
      <c r="W47" s="133">
        <v>42612</v>
      </c>
      <c r="X47" s="10">
        <v>55.05</v>
      </c>
      <c r="Y47" s="10">
        <v>55.56</v>
      </c>
      <c r="Z47" s="10">
        <v>54.61</v>
      </c>
      <c r="AA47" s="10">
        <v>54.89</v>
      </c>
      <c r="AB47" s="95">
        <v>1168100</v>
      </c>
      <c r="AC47" s="10">
        <v>54.89</v>
      </c>
      <c r="AD47" s="2">
        <f t="shared" si="0"/>
        <v>0.95000000000000284</v>
      </c>
      <c r="AE47" s="138">
        <f t="shared" si="1"/>
        <v>-2.7252906976743541E-3</v>
      </c>
    </row>
    <row r="48" spans="1:31" x14ac:dyDescent="0.25">
      <c r="A48" s="265" t="s">
        <v>284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69.329300000000003</v>
      </c>
      <c r="Q48" s="2"/>
      <c r="T48" s="93" t="s">
        <v>103</v>
      </c>
      <c r="U48" s="130">
        <v>0.90354699999999999</v>
      </c>
      <c r="W48" s="133">
        <v>42611</v>
      </c>
      <c r="X48" s="10">
        <v>55.25</v>
      </c>
      <c r="Y48" s="10">
        <v>55.3</v>
      </c>
      <c r="Z48" s="10">
        <v>54.66</v>
      </c>
      <c r="AA48" s="10">
        <v>55.04</v>
      </c>
      <c r="AB48" s="95">
        <v>1169500</v>
      </c>
      <c r="AC48" s="10">
        <v>55.04</v>
      </c>
      <c r="AD48" s="2">
        <f t="shared" si="0"/>
        <v>0.64000000000000057</v>
      </c>
      <c r="AE48" s="138">
        <f t="shared" si="1"/>
        <v>-4.8815765684325774E-3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68.656199999999998</v>
      </c>
      <c r="Q49" s="2"/>
      <c r="T49" s="93" t="s">
        <v>104</v>
      </c>
      <c r="U49" s="130" t="s">
        <v>129</v>
      </c>
      <c r="W49" s="133">
        <v>42608</v>
      </c>
      <c r="X49" s="10">
        <v>54.56</v>
      </c>
      <c r="Y49" s="10">
        <v>55.94</v>
      </c>
      <c r="Z49" s="10">
        <v>54.18</v>
      </c>
      <c r="AA49" s="10">
        <v>55.31</v>
      </c>
      <c r="AB49" s="95">
        <v>2221500</v>
      </c>
      <c r="AC49" s="10">
        <v>55.31</v>
      </c>
      <c r="AD49" s="2">
        <f t="shared" si="0"/>
        <v>1.759999999999998</v>
      </c>
      <c r="AE49" s="138">
        <f t="shared" si="1"/>
        <v>1.3746334310850372E-2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67.983100000000007</v>
      </c>
      <c r="Q50" s="2"/>
      <c r="T50" s="93"/>
      <c r="U50" s="130"/>
      <c r="W50" s="133">
        <v>42607</v>
      </c>
      <c r="X50" s="10">
        <v>53.8</v>
      </c>
      <c r="Y50" s="10">
        <v>54.68</v>
      </c>
      <c r="Z50" s="10">
        <v>53.76</v>
      </c>
      <c r="AA50" s="10">
        <v>54.56</v>
      </c>
      <c r="AB50" s="95">
        <v>1969900</v>
      </c>
      <c r="AC50" s="10">
        <v>54.56</v>
      </c>
      <c r="AD50" s="2">
        <f t="shared" si="0"/>
        <v>0.92000000000000171</v>
      </c>
      <c r="AE50" s="138">
        <f t="shared" si="1"/>
        <v>1.0744720266765651E-2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67.31</v>
      </c>
      <c r="Q51" s="2"/>
      <c r="T51" s="93" t="s">
        <v>105</v>
      </c>
      <c r="U51" s="130" t="s">
        <v>617</v>
      </c>
      <c r="W51" s="133">
        <v>42606</v>
      </c>
      <c r="X51" s="10">
        <v>53.68</v>
      </c>
      <c r="Y51" s="10">
        <v>54.44</v>
      </c>
      <c r="Z51" s="10">
        <v>53.63</v>
      </c>
      <c r="AA51" s="10">
        <v>53.98</v>
      </c>
      <c r="AB51" s="95">
        <v>1984600</v>
      </c>
      <c r="AC51" s="10">
        <v>53.98</v>
      </c>
      <c r="AD51" s="2">
        <f t="shared" si="0"/>
        <v>0.80999999999999517</v>
      </c>
      <c r="AE51" s="138">
        <f t="shared" si="1"/>
        <v>7.0895522388059184E-3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66.636899999999997</v>
      </c>
      <c r="Q52" s="2"/>
      <c r="T52" s="93" t="s">
        <v>106</v>
      </c>
      <c r="U52" s="130" t="s">
        <v>618</v>
      </c>
      <c r="W52" s="133">
        <v>42605</v>
      </c>
      <c r="X52" s="10">
        <v>53.06</v>
      </c>
      <c r="Y52" s="10">
        <v>54.28</v>
      </c>
      <c r="Z52" s="10">
        <v>52.95</v>
      </c>
      <c r="AA52" s="10">
        <v>53.6</v>
      </c>
      <c r="AB52" s="95">
        <v>1379100</v>
      </c>
      <c r="AC52" s="10">
        <v>53.6</v>
      </c>
      <c r="AD52" s="2">
        <f t="shared" si="0"/>
        <v>1.3299999999999983</v>
      </c>
      <c r="AE52" s="138">
        <f t="shared" si="1"/>
        <v>1.1702529256323313E-2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65.963800000000006</v>
      </c>
      <c r="Q53" s="2"/>
      <c r="T53" s="93" t="s">
        <v>107</v>
      </c>
      <c r="U53" s="131">
        <v>3685333</v>
      </c>
      <c r="W53" s="133">
        <v>42604</v>
      </c>
      <c r="X53" s="10">
        <v>52.81</v>
      </c>
      <c r="Y53" s="10">
        <v>53</v>
      </c>
      <c r="Z53" s="10">
        <v>52.25</v>
      </c>
      <c r="AA53" s="10">
        <v>52.98</v>
      </c>
      <c r="AB53" s="95">
        <v>1286100</v>
      </c>
      <c r="AC53" s="10">
        <v>52.98</v>
      </c>
      <c r="AD53" s="2">
        <f t="shared" si="0"/>
        <v>0.75</v>
      </c>
      <c r="AE53" s="138">
        <f t="shared" si="1"/>
        <v>5.6657223796019451E-4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65.290700000000001</v>
      </c>
      <c r="T54" s="93" t="s">
        <v>110</v>
      </c>
      <c r="U54" s="131">
        <v>2256060</v>
      </c>
      <c r="W54" s="133">
        <v>42601</v>
      </c>
      <c r="X54" s="10">
        <v>52.3</v>
      </c>
      <c r="Y54" s="10">
        <v>52.96</v>
      </c>
      <c r="Z54" s="10">
        <v>52</v>
      </c>
      <c r="AA54" s="10">
        <v>52.95</v>
      </c>
      <c r="AB54" s="95">
        <v>1390800</v>
      </c>
      <c r="AC54" s="10">
        <v>52.95</v>
      </c>
      <c r="AD54" s="2">
        <f t="shared" si="0"/>
        <v>0.96000000000000085</v>
      </c>
      <c r="AE54" s="138">
        <f t="shared" si="1"/>
        <v>1.1461318051575908E-2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64.617599999999996</v>
      </c>
      <c r="T55" s="93" t="s">
        <v>108</v>
      </c>
      <c r="U55" s="130" t="s">
        <v>619</v>
      </c>
      <c r="W55" s="133">
        <v>42600</v>
      </c>
      <c r="X55" s="10">
        <v>52.35</v>
      </c>
      <c r="Y55" s="10">
        <v>52.64</v>
      </c>
      <c r="Z55" s="10">
        <v>52</v>
      </c>
      <c r="AA55" s="10">
        <v>52.35</v>
      </c>
      <c r="AB55" s="95">
        <v>1108100</v>
      </c>
      <c r="AC55" s="10">
        <v>52.35</v>
      </c>
      <c r="AD55" s="2">
        <f t="shared" si="0"/>
        <v>0.64000000000000057</v>
      </c>
      <c r="AE55" s="138">
        <f t="shared" si="1"/>
        <v>1.9105846389000369E-4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63.944499999999998</v>
      </c>
      <c r="T56" s="93" t="s">
        <v>111</v>
      </c>
      <c r="U56" s="130">
        <v>38.22</v>
      </c>
      <c r="W56" s="133">
        <v>42599</v>
      </c>
      <c r="X56" s="10">
        <v>52.24</v>
      </c>
      <c r="Y56" s="10">
        <v>52.4</v>
      </c>
      <c r="Z56" s="10">
        <v>51.98</v>
      </c>
      <c r="AA56" s="10">
        <v>52.34</v>
      </c>
      <c r="AB56" s="95">
        <v>1608500</v>
      </c>
      <c r="AC56" s="10">
        <v>52.34</v>
      </c>
      <c r="AD56" s="2">
        <f t="shared" si="0"/>
        <v>0.42000000000000171</v>
      </c>
      <c r="AE56" s="138">
        <f t="shared" si="1"/>
        <v>6.5384615384616041E-3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63.2714</v>
      </c>
      <c r="T57" s="93" t="s">
        <v>112</v>
      </c>
      <c r="U57" s="130">
        <v>1.76</v>
      </c>
      <c r="W57" s="133">
        <v>42598</v>
      </c>
      <c r="X57" s="10">
        <v>52.07</v>
      </c>
      <c r="Y57" s="10">
        <v>52.63</v>
      </c>
      <c r="Z57" s="10">
        <v>52</v>
      </c>
      <c r="AA57" s="10">
        <v>52</v>
      </c>
      <c r="AB57" s="95">
        <v>1241000</v>
      </c>
      <c r="AC57" s="10">
        <v>52</v>
      </c>
      <c r="AD57" s="2">
        <f t="shared" si="0"/>
        <v>0.63000000000000256</v>
      </c>
      <c r="AE57" s="138">
        <f t="shared" si="1"/>
        <v>-9.6061479346776224E-4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62.598300000000009</v>
      </c>
      <c r="T58" s="93" t="s">
        <v>109</v>
      </c>
      <c r="U58" s="130" t="s">
        <v>123</v>
      </c>
      <c r="W58" s="133">
        <v>42597</v>
      </c>
      <c r="X58" s="10">
        <v>52.05</v>
      </c>
      <c r="Y58" s="10">
        <v>53.01</v>
      </c>
      <c r="Z58" s="10">
        <v>52.02</v>
      </c>
      <c r="AA58" s="10">
        <v>52.05</v>
      </c>
      <c r="AB58" s="95">
        <v>1960700</v>
      </c>
      <c r="AC58" s="10">
        <v>52.05</v>
      </c>
      <c r="AD58" s="2">
        <f t="shared" si="0"/>
        <v>0.98999999999999488</v>
      </c>
      <c r="AE58" s="138">
        <f t="shared" si="1"/>
        <v>1.5393496247835259E-3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61.925200000000004</v>
      </c>
      <c r="W59" s="133">
        <v>42594</v>
      </c>
      <c r="X59" s="10">
        <v>52.19</v>
      </c>
      <c r="Y59" s="10">
        <v>52.57</v>
      </c>
      <c r="Z59" s="10">
        <v>51.96</v>
      </c>
      <c r="AA59" s="10">
        <v>51.97</v>
      </c>
      <c r="AB59" s="95">
        <v>1978800</v>
      </c>
      <c r="AC59" s="10">
        <v>51.97</v>
      </c>
      <c r="AD59" s="2">
        <f t="shared" si="0"/>
        <v>0.60999999999999943</v>
      </c>
      <c r="AE59" s="138">
        <f t="shared" si="1"/>
        <v>1.0892822408091751E-2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61.252100000000006</v>
      </c>
      <c r="W60" s="133">
        <v>42593</v>
      </c>
      <c r="X60" s="10">
        <v>52.15</v>
      </c>
      <c r="Y60" s="10">
        <v>52.3</v>
      </c>
      <c r="Z60" s="10">
        <v>51.3</v>
      </c>
      <c r="AA60" s="10">
        <v>51.41</v>
      </c>
      <c r="AB60" s="95">
        <v>1580400</v>
      </c>
      <c r="AC60" s="10">
        <v>51.41</v>
      </c>
      <c r="AD60" s="2">
        <f t="shared" si="0"/>
        <v>1</v>
      </c>
      <c r="AE60" s="138">
        <f t="shared" si="1"/>
        <v>-1.1726259131103589E-2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60.579000000000001</v>
      </c>
      <c r="W61" s="133">
        <v>42592</v>
      </c>
      <c r="X61" s="10">
        <v>50.35</v>
      </c>
      <c r="Y61" s="10">
        <v>52.06</v>
      </c>
      <c r="Z61" s="10">
        <v>50.35</v>
      </c>
      <c r="AA61" s="10">
        <v>52.02</v>
      </c>
      <c r="AB61" s="95">
        <v>2996400</v>
      </c>
      <c r="AC61" s="10">
        <v>52.02</v>
      </c>
      <c r="AD61" s="2">
        <f t="shared" si="0"/>
        <v>1.7100000000000009</v>
      </c>
      <c r="AE61" s="138">
        <f t="shared" si="1"/>
        <v>3.5842293906810152E-2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42591</v>
      </c>
      <c r="X62" s="10">
        <v>50.17</v>
      </c>
      <c r="Y62" s="10">
        <v>50.95</v>
      </c>
      <c r="Z62" s="10">
        <v>50.16</v>
      </c>
      <c r="AA62" s="10">
        <v>50.22</v>
      </c>
      <c r="AB62" s="95">
        <v>1800900</v>
      </c>
      <c r="AC62" s="10">
        <v>50.22</v>
      </c>
      <c r="AD62" s="2">
        <f t="shared" si="0"/>
        <v>0.79000000000000625</v>
      </c>
      <c r="AE62" s="138">
        <f t="shared" si="1"/>
        <v>1.9916351324433812E-4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42590</v>
      </c>
      <c r="X63" s="10">
        <v>50.78</v>
      </c>
      <c r="Y63" s="10">
        <v>50.94</v>
      </c>
      <c r="Z63" s="10">
        <v>50.05</v>
      </c>
      <c r="AA63" s="10">
        <v>50.21</v>
      </c>
      <c r="AB63" s="95">
        <v>1405300</v>
      </c>
      <c r="AC63" s="10">
        <v>50.21</v>
      </c>
      <c r="AD63" s="2">
        <f t="shared" si="0"/>
        <v>0.89000000000000057</v>
      </c>
      <c r="AE63" s="138">
        <f t="shared" si="1"/>
        <v>-8.8827477299643354E-3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42587</v>
      </c>
      <c r="X64" s="10">
        <v>49.73</v>
      </c>
      <c r="Y64" s="10">
        <v>50.87</v>
      </c>
      <c r="Z64" s="10">
        <v>49.16</v>
      </c>
      <c r="AA64" s="10">
        <v>50.66</v>
      </c>
      <c r="AB64" s="95">
        <v>2085000</v>
      </c>
      <c r="AC64" s="10">
        <v>50.66</v>
      </c>
      <c r="AD64" s="2">
        <f t="shared" si="0"/>
        <v>1.7100000000000009</v>
      </c>
      <c r="AE64" s="138">
        <f t="shared" si="1"/>
        <v>2.4883673882257762E-2</v>
      </c>
    </row>
    <row r="65" spans="1:31" ht="15.75" thickBot="1" x14ac:dyDescent="0.3">
      <c r="A65" s="484" t="s">
        <v>201</v>
      </c>
      <c r="B65" s="485"/>
      <c r="C65" s="486">
        <f>SumByColor($A$19,C48:C63)</f>
        <v>0</v>
      </c>
      <c r="D65" s="486"/>
      <c r="E65" s="486"/>
      <c r="F65" s="487">
        <f>SumByColor($A$19,F48:F63)</f>
        <v>0</v>
      </c>
      <c r="G65" s="486"/>
      <c r="H65" s="486">
        <f>SumByColor($A$19,H48:H63)</f>
        <v>0</v>
      </c>
      <c r="I65" s="486"/>
      <c r="J65" s="486"/>
      <c r="K65" s="487">
        <f>SumByColor($A$19,K48:K63)</f>
        <v>0</v>
      </c>
      <c r="L65" s="486"/>
      <c r="M65" s="487">
        <f t="shared" ref="M65" si="31">SumByColor($A$19,M48:M63)</f>
        <v>0</v>
      </c>
      <c r="W65" s="133">
        <v>42586</v>
      </c>
      <c r="X65" s="10">
        <v>49.28</v>
      </c>
      <c r="Y65" s="10">
        <v>49.71</v>
      </c>
      <c r="Z65" s="10">
        <v>48.92</v>
      </c>
      <c r="AA65" s="10">
        <v>49.43</v>
      </c>
      <c r="AB65" s="95">
        <v>1938500</v>
      </c>
      <c r="AC65" s="10">
        <v>49.43</v>
      </c>
      <c r="AD65" s="2">
        <f t="shared" si="0"/>
        <v>0.78999999999999915</v>
      </c>
      <c r="AE65" s="138">
        <f t="shared" si="1"/>
        <v>-2.0226537216827545E-4</v>
      </c>
    </row>
    <row r="66" spans="1:31" x14ac:dyDescent="0.25">
      <c r="W66" s="133">
        <v>42585</v>
      </c>
      <c r="X66" s="10">
        <v>49.86</v>
      </c>
      <c r="Y66" s="10">
        <v>49.98</v>
      </c>
      <c r="Z66" s="10">
        <v>49.16</v>
      </c>
      <c r="AA66" s="10">
        <v>49.44</v>
      </c>
      <c r="AB66" s="95">
        <v>1909000</v>
      </c>
      <c r="AC66" s="10">
        <v>49.44</v>
      </c>
      <c r="AD66" s="2">
        <f t="shared" si="0"/>
        <v>0.82000000000000028</v>
      </c>
      <c r="AE66" s="138">
        <f t="shared" si="1"/>
        <v>-1.040832666132907E-2</v>
      </c>
    </row>
    <row r="67" spans="1:31" x14ac:dyDescent="0.25">
      <c r="W67" s="133">
        <v>42584</v>
      </c>
      <c r="X67" s="10">
        <v>50.46</v>
      </c>
      <c r="Y67" s="10">
        <v>50.69</v>
      </c>
      <c r="Z67" s="10">
        <v>49.21</v>
      </c>
      <c r="AA67" s="10">
        <v>49.96</v>
      </c>
      <c r="AB67" s="95">
        <v>3083500</v>
      </c>
      <c r="AC67" s="10">
        <v>49.96</v>
      </c>
      <c r="AD67" s="2">
        <f>Y67-Z67</f>
        <v>1.4799999999999969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663" priority="11">
      <formula>F34&gt;0</formula>
    </cfRule>
    <cfRule type="expression" dxfId="662" priority="12">
      <formula>F34&lt;0</formula>
    </cfRule>
  </conditionalFormatting>
  <conditionalFormatting sqref="Q7">
    <cfRule type="expression" dxfId="661" priority="9">
      <formula>Q7&gt;0</formula>
    </cfRule>
    <cfRule type="expression" dxfId="660" priority="10">
      <formula>Q7&lt;0</formula>
    </cfRule>
  </conditionalFormatting>
  <conditionalFormatting sqref="Q8">
    <cfRule type="expression" dxfId="659" priority="7">
      <formula>Q8&gt;0</formula>
    </cfRule>
    <cfRule type="expression" dxfId="658" priority="8">
      <formula>Q8&lt;0</formula>
    </cfRule>
  </conditionalFormatting>
  <conditionalFormatting sqref="F25:F33">
    <cfRule type="expression" dxfId="657" priority="5">
      <formula>F25&gt;0</formula>
    </cfRule>
    <cfRule type="expression" dxfId="656" priority="6">
      <formula>F25&lt;0</formula>
    </cfRule>
  </conditionalFormatting>
  <conditionalFormatting sqref="H25:H33">
    <cfRule type="expression" dxfId="655" priority="3">
      <formula>H25&gt;0</formula>
    </cfRule>
    <cfRule type="expression" dxfId="654" priority="4">
      <formula>H25&lt;0</formula>
    </cfRule>
  </conditionalFormatting>
  <conditionalFormatting sqref="M46">
    <cfRule type="expression" dxfId="653" priority="1">
      <formula>M46&gt;0</formula>
    </cfRule>
    <cfRule type="expression" dxfId="652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31" x14ac:dyDescent="0.25">
      <c r="A2" s="6" t="s">
        <v>338</v>
      </c>
      <c r="B2" s="74">
        <v>42626</v>
      </c>
      <c r="C2" s="4">
        <v>20</v>
      </c>
      <c r="D2" s="3">
        <v>90.85</v>
      </c>
      <c r="E2" s="3">
        <v>0</v>
      </c>
      <c r="F2" s="3">
        <f>D2*C2 + E2</f>
        <v>1817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1"/>
      <c r="W2" s="133">
        <v>42676</v>
      </c>
      <c r="X2" s="10">
        <v>83.57</v>
      </c>
      <c r="Y2" s="10">
        <v>84.24</v>
      </c>
      <c r="Z2" s="10">
        <v>82.84</v>
      </c>
      <c r="AA2" s="10">
        <v>83.95</v>
      </c>
      <c r="AB2" s="95">
        <v>6115600</v>
      </c>
      <c r="AC2" s="10">
        <v>83.95</v>
      </c>
      <c r="AD2" s="2"/>
      <c r="AE2" s="138">
        <f>AC2/AC3-1</f>
        <v>5.9916117435589999E-3</v>
      </c>
    </row>
    <row r="3" spans="1:31" x14ac:dyDescent="0.25">
      <c r="A3" s="23" t="s">
        <v>71</v>
      </c>
      <c r="B3" s="525">
        <v>42646</v>
      </c>
      <c r="C3" s="4">
        <v>20</v>
      </c>
      <c r="D3" s="3">
        <v>87.56</v>
      </c>
      <c r="E3" s="3">
        <v>0</v>
      </c>
      <c r="F3" s="3">
        <f>D3*C3 + E3</f>
        <v>1751.2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89.204999999999998</v>
      </c>
      <c r="T3" s="1"/>
      <c r="W3" s="133">
        <v>42675</v>
      </c>
      <c r="X3" s="10">
        <v>84.34</v>
      </c>
      <c r="Y3" s="10">
        <v>84.69</v>
      </c>
      <c r="Z3" s="10">
        <v>83.22</v>
      </c>
      <c r="AA3" s="10">
        <v>83.45</v>
      </c>
      <c r="AB3" s="95">
        <v>6211000</v>
      </c>
      <c r="AC3" s="10">
        <v>83.45</v>
      </c>
      <c r="AD3" s="2"/>
      <c r="AE3" s="138">
        <f t="shared" ref="AE3:AE66" si="0">AC3/AC4-1</f>
        <v>-7.728894173602785E-3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83.95</v>
      </c>
      <c r="R4" s="527">
        <v>6.0000000000000001E-3</v>
      </c>
      <c r="T4" s="163"/>
      <c r="U4" s="1"/>
      <c r="W4" s="133">
        <v>42674</v>
      </c>
      <c r="X4" s="10">
        <v>83.38</v>
      </c>
      <c r="Y4" s="10">
        <v>84.52</v>
      </c>
      <c r="Z4" s="10">
        <v>83.1</v>
      </c>
      <c r="AA4" s="10">
        <v>84.1</v>
      </c>
      <c r="AB4" s="95">
        <v>7425600</v>
      </c>
      <c r="AC4" s="10">
        <v>84.1</v>
      </c>
      <c r="AD4" s="2"/>
      <c r="AE4" s="138">
        <f t="shared" si="0"/>
        <v>8.8771593090211098E-3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3358</v>
      </c>
      <c r="W5" s="133">
        <v>42671</v>
      </c>
      <c r="X5" s="10">
        <v>85.35</v>
      </c>
      <c r="Y5" s="10">
        <v>85.49</v>
      </c>
      <c r="Z5" s="10">
        <v>82.55</v>
      </c>
      <c r="AA5" s="10">
        <v>83.36</v>
      </c>
      <c r="AB5" s="95">
        <v>17206700</v>
      </c>
      <c r="AC5" s="10">
        <v>83.36</v>
      </c>
      <c r="AD5" s="2"/>
      <c r="AE5" s="138">
        <f t="shared" si="0"/>
        <v>-4.3927055855029207E-2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3568.2</v>
      </c>
      <c r="W6" s="133">
        <v>42670</v>
      </c>
      <c r="X6" s="10">
        <v>87.72</v>
      </c>
      <c r="Y6" s="10">
        <v>87.93</v>
      </c>
      <c r="Z6" s="10">
        <v>86.91</v>
      </c>
      <c r="AA6" s="10">
        <v>87.19</v>
      </c>
      <c r="AB6" s="95">
        <v>3570600</v>
      </c>
      <c r="AC6" s="10">
        <v>87.19</v>
      </c>
      <c r="AD6" s="2"/>
      <c r="AE6" s="138">
        <f t="shared" si="0"/>
        <v>-4.3393856343496573E-3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-210.19999999999982</v>
      </c>
      <c r="R7">
        <v>20</v>
      </c>
      <c r="W7" s="133">
        <v>42669</v>
      </c>
      <c r="X7" s="10">
        <v>87.48</v>
      </c>
      <c r="Y7" s="10">
        <v>87.65</v>
      </c>
      <c r="Z7" s="10">
        <v>87.01</v>
      </c>
      <c r="AA7" s="10">
        <v>87.57</v>
      </c>
      <c r="AB7" s="95">
        <v>3313500</v>
      </c>
      <c r="AC7" s="10">
        <v>87.57</v>
      </c>
      <c r="AD7" s="2"/>
      <c r="AE7" s="138">
        <f t="shared" si="0"/>
        <v>1.8304541814437858E-3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-210.19999999999982</v>
      </c>
      <c r="W8" s="133">
        <v>42668</v>
      </c>
      <c r="X8" s="10">
        <v>87.8</v>
      </c>
      <c r="Y8" s="10">
        <v>88.21</v>
      </c>
      <c r="Z8" s="10">
        <v>87.29</v>
      </c>
      <c r="AA8" s="10">
        <v>87.41</v>
      </c>
      <c r="AB8" s="95">
        <v>3803700</v>
      </c>
      <c r="AC8" s="10">
        <v>87.41</v>
      </c>
      <c r="AD8" s="2"/>
      <c r="AE8" s="138">
        <f t="shared" si="0"/>
        <v>-6.704545454545463E-3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-5.8909253965584843E-2</v>
      </c>
      <c r="W9" s="133">
        <v>42667</v>
      </c>
      <c r="X9" s="10">
        <v>87.64</v>
      </c>
      <c r="Y9" s="10">
        <v>88.58</v>
      </c>
      <c r="Z9" s="10">
        <v>87.64</v>
      </c>
      <c r="AA9" s="10">
        <v>88</v>
      </c>
      <c r="AB9" s="95">
        <v>4541900</v>
      </c>
      <c r="AC9" s="10">
        <v>88</v>
      </c>
      <c r="AD9" s="2"/>
      <c r="AE9" s="138">
        <f t="shared" si="0"/>
        <v>6.749799794073974E-3</v>
      </c>
    </row>
    <row r="10" spans="1:31" x14ac:dyDescent="0.25">
      <c r="H10" s="72"/>
      <c r="O10" s="11" t="s">
        <v>218</v>
      </c>
      <c r="P10" s="34"/>
      <c r="Q10" s="2">
        <v>0</v>
      </c>
      <c r="W10" s="133">
        <v>42664</v>
      </c>
      <c r="X10" s="10">
        <v>86.94</v>
      </c>
      <c r="Y10" s="10">
        <v>87.57</v>
      </c>
      <c r="Z10" s="10">
        <v>86.89</v>
      </c>
      <c r="AA10" s="10">
        <v>87.41</v>
      </c>
      <c r="AB10" s="95">
        <v>4599500</v>
      </c>
      <c r="AC10" s="10">
        <v>87.41</v>
      </c>
      <c r="AD10" s="2"/>
      <c r="AE10" s="138">
        <f t="shared" si="0"/>
        <v>1.2600229095074411E-3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2.0400000000000001E-2</v>
      </c>
      <c r="W11" s="133">
        <v>42663</v>
      </c>
      <c r="X11" s="10">
        <v>86.33</v>
      </c>
      <c r="Y11" s="10">
        <v>87.49</v>
      </c>
      <c r="Z11" s="10">
        <v>86.25</v>
      </c>
      <c r="AA11" s="10">
        <v>87.3</v>
      </c>
      <c r="AB11" s="95">
        <v>7583500</v>
      </c>
      <c r="AC11" s="10">
        <v>87.3</v>
      </c>
      <c r="AD11" s="2"/>
      <c r="AE11" s="138" t="e">
        <f t="shared" si="0"/>
        <v>#DIV/0!</v>
      </c>
    </row>
    <row r="12" spans="1:31" x14ac:dyDescent="0.25">
      <c r="H12" s="72"/>
      <c r="W12" s="133">
        <v>42663</v>
      </c>
      <c r="X12" s="10" t="s">
        <v>417</v>
      </c>
      <c r="Y12" s="10"/>
      <c r="Z12" s="10"/>
      <c r="AA12" s="10"/>
      <c r="AB12" s="95"/>
      <c r="AC12" s="10"/>
      <c r="AD12" s="2"/>
      <c r="AE12" s="138">
        <f t="shared" si="0"/>
        <v>-1</v>
      </c>
    </row>
    <row r="13" spans="1:31" x14ac:dyDescent="0.25">
      <c r="H13" s="72"/>
      <c r="W13" s="133">
        <v>42662</v>
      </c>
      <c r="X13" s="10">
        <v>87.4</v>
      </c>
      <c r="Y13" s="10">
        <v>87.51</v>
      </c>
      <c r="Z13" s="10">
        <v>86.15</v>
      </c>
      <c r="AA13" s="10">
        <v>86.4</v>
      </c>
      <c r="AB13" s="95">
        <v>6502800</v>
      </c>
      <c r="AC13" s="10">
        <v>85.98</v>
      </c>
      <c r="AD13" s="2"/>
      <c r="AE13" s="138">
        <f t="shared" si="0"/>
        <v>-8.9903181189487924E-3</v>
      </c>
    </row>
    <row r="14" spans="1:31" x14ac:dyDescent="0.25">
      <c r="H14" s="72"/>
      <c r="W14" s="133">
        <v>42661</v>
      </c>
      <c r="X14" s="10">
        <v>87.31</v>
      </c>
      <c r="Y14" s="10">
        <v>87.51</v>
      </c>
      <c r="Z14" s="10">
        <v>86.58</v>
      </c>
      <c r="AA14" s="10">
        <v>87.19</v>
      </c>
      <c r="AB14" s="95">
        <v>4988700</v>
      </c>
      <c r="AC14" s="10">
        <v>86.76</v>
      </c>
      <c r="AD14" s="2"/>
      <c r="AE14" s="138">
        <f t="shared" si="0"/>
        <v>6.146352777455677E-3</v>
      </c>
    </row>
    <row r="15" spans="1:31" x14ac:dyDescent="0.25">
      <c r="H15" s="72"/>
      <c r="W15" s="133">
        <v>42660</v>
      </c>
      <c r="X15" s="10">
        <v>88.71</v>
      </c>
      <c r="Y15" s="10">
        <v>88.84</v>
      </c>
      <c r="Z15" s="10">
        <v>86.64</v>
      </c>
      <c r="AA15" s="10">
        <v>86.66</v>
      </c>
      <c r="AB15" s="95">
        <v>7381700</v>
      </c>
      <c r="AC15" s="10">
        <v>86.23</v>
      </c>
      <c r="AD15" s="2"/>
      <c r="AE15" s="138">
        <f t="shared" si="0"/>
        <v>-2.4105930285196919E-2</v>
      </c>
    </row>
    <row r="16" spans="1:31" x14ac:dyDescent="0.25">
      <c r="H16" s="72"/>
      <c r="W16" s="133">
        <v>42657</v>
      </c>
      <c r="X16" s="10">
        <v>88.31</v>
      </c>
      <c r="Y16" s="10">
        <v>88.92</v>
      </c>
      <c r="Z16" s="10">
        <v>87.96</v>
      </c>
      <c r="AA16" s="10">
        <v>88.8</v>
      </c>
      <c r="AB16" s="95">
        <v>6705800</v>
      </c>
      <c r="AC16" s="10">
        <v>88.36</v>
      </c>
      <c r="AD16" s="2"/>
      <c r="AE16" s="138">
        <f t="shared" si="0"/>
        <v>9.0213543450954337E-3</v>
      </c>
    </row>
    <row r="17" spans="1:31" x14ac:dyDescent="0.25">
      <c r="W17" s="133">
        <v>42656</v>
      </c>
      <c r="X17" s="10">
        <v>87.21</v>
      </c>
      <c r="Y17" s="10">
        <v>88.38</v>
      </c>
      <c r="Z17" s="10">
        <v>87.08</v>
      </c>
      <c r="AA17" s="10">
        <v>88</v>
      </c>
      <c r="AB17" s="95">
        <v>6308400</v>
      </c>
      <c r="AC17" s="10">
        <v>87.57</v>
      </c>
      <c r="AD17" s="2"/>
      <c r="AE17" s="138">
        <f t="shared" si="0"/>
        <v>6.0891544117644969E-3</v>
      </c>
    </row>
    <row r="18" spans="1:31" x14ac:dyDescent="0.25">
      <c r="A18" s="32" t="s">
        <v>81</v>
      </c>
      <c r="B18" s="14"/>
      <c r="C18" s="14">
        <f>SUM(C2:C6)</f>
        <v>40</v>
      </c>
      <c r="D18" s="18"/>
      <c r="E18" s="18"/>
      <c r="F18" s="18">
        <f>SUM(F2:F6)</f>
        <v>3568.2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42655</v>
      </c>
      <c r="X18" s="10">
        <v>86.62</v>
      </c>
      <c r="Y18" s="10">
        <v>87.91</v>
      </c>
      <c r="Z18" s="10">
        <v>86.49</v>
      </c>
      <c r="AA18" s="10">
        <v>87.47</v>
      </c>
      <c r="AB18" s="95">
        <v>7002500</v>
      </c>
      <c r="AC18" s="10">
        <v>87.04</v>
      </c>
      <c r="AD18" s="2"/>
      <c r="AE18" s="138">
        <f t="shared" si="0"/>
        <v>1.2328448476389919E-2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1">SumByColor($A$19,M2:M17)</f>
        <v>0</v>
      </c>
      <c r="W19" s="133">
        <v>42654</v>
      </c>
      <c r="X19" s="10">
        <v>86.55</v>
      </c>
      <c r="Y19" s="10">
        <v>86.8</v>
      </c>
      <c r="Z19" s="10">
        <v>85.41</v>
      </c>
      <c r="AA19" s="10">
        <v>86.4</v>
      </c>
      <c r="AB19" s="95">
        <v>5889600</v>
      </c>
      <c r="AC19" s="10">
        <v>85.98</v>
      </c>
      <c r="AD19" s="2"/>
      <c r="AE19" s="138">
        <f t="shared" si="0"/>
        <v>-4.8611111111110938E-3</v>
      </c>
    </row>
    <row r="20" spans="1:31" x14ac:dyDescent="0.25">
      <c r="W20" s="133">
        <v>42653</v>
      </c>
      <c r="X20" s="10">
        <v>86.85</v>
      </c>
      <c r="Y20" s="10">
        <v>87.08</v>
      </c>
      <c r="Z20" s="10">
        <v>86.41</v>
      </c>
      <c r="AA20" s="10">
        <v>86.83</v>
      </c>
      <c r="AB20" s="95">
        <v>5342100</v>
      </c>
      <c r="AC20" s="10">
        <v>86.4</v>
      </c>
      <c r="AD20" s="2"/>
      <c r="AE20" s="138">
        <f t="shared" si="0"/>
        <v>4.8848569434751798E-3</v>
      </c>
    </row>
    <row r="21" spans="1:31" x14ac:dyDescent="0.25">
      <c r="W21" s="133">
        <v>42650</v>
      </c>
      <c r="X21" s="10">
        <v>86.56</v>
      </c>
      <c r="Y21" s="10">
        <v>86.74</v>
      </c>
      <c r="Z21" s="10">
        <v>86.17</v>
      </c>
      <c r="AA21" s="10">
        <v>86.4</v>
      </c>
      <c r="AB21" s="95">
        <v>4345700</v>
      </c>
      <c r="AC21" s="10">
        <v>85.98</v>
      </c>
      <c r="AD21" s="2"/>
      <c r="AE21" s="138">
        <f t="shared" si="0"/>
        <v>-9.2958401115494915E-4</v>
      </c>
    </row>
    <row r="22" spans="1:31" x14ac:dyDescent="0.25">
      <c r="W22" s="133">
        <v>42649</v>
      </c>
      <c r="X22" s="10">
        <v>86.56</v>
      </c>
      <c r="Y22" s="10">
        <v>87.12</v>
      </c>
      <c r="Z22" s="10">
        <v>86.27</v>
      </c>
      <c r="AA22" s="10">
        <v>86.49</v>
      </c>
      <c r="AB22" s="95">
        <v>5267000</v>
      </c>
      <c r="AC22" s="10">
        <v>86.06</v>
      </c>
      <c r="AD22" s="2"/>
      <c r="AE22" s="138">
        <f t="shared" si="0"/>
        <v>3.2641641408253097E-3</v>
      </c>
    </row>
    <row r="23" spans="1:31" x14ac:dyDescent="0.25">
      <c r="W23" s="133">
        <v>42648</v>
      </c>
      <c r="X23" s="10">
        <v>86.19</v>
      </c>
      <c r="Y23" s="10">
        <v>86.53</v>
      </c>
      <c r="Z23" s="10">
        <v>85.89</v>
      </c>
      <c r="AA23" s="10">
        <v>86.2</v>
      </c>
      <c r="AB23" s="95">
        <v>7949300</v>
      </c>
      <c r="AC23" s="10">
        <v>85.78</v>
      </c>
      <c r="AD23" s="2"/>
      <c r="AE23" s="138">
        <f t="shared" si="0"/>
        <v>-2.331002331001919E-4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42647</v>
      </c>
      <c r="X24" s="10">
        <v>87.19</v>
      </c>
      <c r="Y24" s="10">
        <v>87.41</v>
      </c>
      <c r="Z24" s="10">
        <v>86.02</v>
      </c>
      <c r="AA24" s="10">
        <v>86.22</v>
      </c>
      <c r="AB24" s="95">
        <v>6820000</v>
      </c>
      <c r="AC24" s="10">
        <v>85.8</v>
      </c>
      <c r="AD24" s="2"/>
      <c r="AE24" s="138">
        <f t="shared" si="0"/>
        <v>-9.9238402954073823E-3</v>
      </c>
    </row>
    <row r="25" spans="1:31" x14ac:dyDescent="0.25">
      <c r="B25" s="193">
        <v>42626</v>
      </c>
      <c r="C25" s="10">
        <v>20</v>
      </c>
      <c r="D25" s="40">
        <v>90.85</v>
      </c>
      <c r="E25" s="40">
        <v>90.93</v>
      </c>
      <c r="F25" s="40">
        <f t="shared" ref="F25" si="2">C25*(E25-D25)</f>
        <v>1.6000000000002501</v>
      </c>
      <c r="G25" s="40">
        <f t="shared" ref="G25" si="3">D25*C25</f>
        <v>1817</v>
      </c>
      <c r="H25" s="231">
        <f t="shared" ref="H25" si="4">(E25-D25)/D25</f>
        <v>8.8057237204196487E-4</v>
      </c>
      <c r="I25" s="40"/>
      <c r="W25" s="133">
        <v>42646</v>
      </c>
      <c r="X25" s="10">
        <v>88.79</v>
      </c>
      <c r="Y25" s="10">
        <v>88.88</v>
      </c>
      <c r="Z25" s="10">
        <v>86.96</v>
      </c>
      <c r="AA25" s="10">
        <v>87.09</v>
      </c>
      <c r="AB25" s="95">
        <v>7525600</v>
      </c>
      <c r="AC25" s="10">
        <v>86.66</v>
      </c>
      <c r="AD25" s="2"/>
      <c r="AE25" s="138">
        <f t="shared" si="0"/>
        <v>-2.1343873517786549E-2</v>
      </c>
    </row>
    <row r="26" spans="1:31" x14ac:dyDescent="0.25">
      <c r="B26" s="193">
        <v>42627</v>
      </c>
      <c r="C26" s="10">
        <v>20</v>
      </c>
      <c r="D26" s="40">
        <v>90.85</v>
      </c>
      <c r="E26" s="40">
        <v>89.44</v>
      </c>
      <c r="F26" s="40">
        <f t="shared" ref="F26" si="5">C26*(E26-D26)</f>
        <v>-28.199999999999932</v>
      </c>
      <c r="G26" s="40">
        <f t="shared" ref="G26" si="6">D26*C26</f>
        <v>1817</v>
      </c>
      <c r="H26" s="231">
        <f t="shared" ref="H26" si="7">(E26-D26)/D26</f>
        <v>-1.5520088057237168E-2</v>
      </c>
      <c r="I26" s="40"/>
      <c r="W26" s="133">
        <v>42643</v>
      </c>
      <c r="X26" s="10">
        <v>89.48</v>
      </c>
      <c r="Y26" s="10">
        <v>89.91</v>
      </c>
      <c r="Z26" s="10">
        <v>88.46</v>
      </c>
      <c r="AA26" s="10">
        <v>88.99</v>
      </c>
      <c r="AB26" s="95">
        <v>9151700</v>
      </c>
      <c r="AC26" s="10">
        <v>88.55</v>
      </c>
      <c r="AD26" s="2"/>
      <c r="AE26" s="138">
        <f t="shared" si="0"/>
        <v>-6.2843676355066602E-3</v>
      </c>
    </row>
    <row r="27" spans="1:31" x14ac:dyDescent="0.25">
      <c r="B27" s="193">
        <v>42640</v>
      </c>
      <c r="C27" s="10">
        <v>20</v>
      </c>
      <c r="D27" s="40">
        <v>90.85</v>
      </c>
      <c r="E27" s="40">
        <v>90.56</v>
      </c>
      <c r="F27" s="40">
        <f t="shared" ref="F27" si="8">C27*(E27-D27)</f>
        <v>-5.7999999999998408</v>
      </c>
      <c r="G27" s="40">
        <f t="shared" ref="G27" si="9">D27*C27</f>
        <v>1817</v>
      </c>
      <c r="H27" s="231">
        <f t="shared" ref="H27" si="10">(E27-D27)/D27</f>
        <v>-3.1920748486515362E-3</v>
      </c>
      <c r="I27" s="40"/>
      <c r="W27" s="133">
        <v>42642</v>
      </c>
      <c r="X27" s="10">
        <v>90.02</v>
      </c>
      <c r="Y27" s="10">
        <v>90.54</v>
      </c>
      <c r="Z27" s="10">
        <v>89.5</v>
      </c>
      <c r="AA27" s="10">
        <v>89.55</v>
      </c>
      <c r="AB27" s="95">
        <v>5211400</v>
      </c>
      <c r="AC27" s="10">
        <v>89.11</v>
      </c>
      <c r="AD27" s="2"/>
      <c r="AE27" s="138">
        <f t="shared" si="0"/>
        <v>-7.0202808112324044E-3</v>
      </c>
    </row>
    <row r="28" spans="1:31" x14ac:dyDescent="0.25">
      <c r="B28" s="193">
        <v>42646</v>
      </c>
      <c r="C28" s="10">
        <v>40</v>
      </c>
      <c r="D28" s="40">
        <v>89.204999999999998</v>
      </c>
      <c r="E28" s="40">
        <v>87.09</v>
      </c>
      <c r="F28" s="40">
        <f t="shared" ref="F28" si="11">C28*(E28-D28)</f>
        <v>-84.599999999999795</v>
      </c>
      <c r="G28" s="40">
        <f t="shared" ref="G28" si="12">D28*C28</f>
        <v>3568.2</v>
      </c>
      <c r="H28" s="231">
        <f t="shared" ref="H28" si="13">(E28-D28)/D28</f>
        <v>-2.3709433327728211E-2</v>
      </c>
      <c r="I28" s="40"/>
      <c r="W28" s="133">
        <v>42641</v>
      </c>
      <c r="X28" s="10">
        <v>90.31</v>
      </c>
      <c r="Y28" s="10">
        <v>90.56</v>
      </c>
      <c r="Z28" s="10">
        <v>89.74</v>
      </c>
      <c r="AA28" s="10">
        <v>90.18</v>
      </c>
      <c r="AB28" s="95">
        <v>4468300</v>
      </c>
      <c r="AC28" s="10">
        <v>89.74</v>
      </c>
      <c r="AD28" s="2"/>
      <c r="AE28" s="138">
        <f t="shared" si="0"/>
        <v>-4.1060925535457704E-3</v>
      </c>
    </row>
    <row r="29" spans="1:31" x14ac:dyDescent="0.25">
      <c r="B29" s="193">
        <v>42651</v>
      </c>
      <c r="C29" s="10">
        <v>40</v>
      </c>
      <c r="D29" s="40">
        <v>89.204999999999998</v>
      </c>
      <c r="E29" s="40">
        <v>86.4</v>
      </c>
      <c r="F29" s="40">
        <f t="shared" ref="F29" si="14">C29*(E29-D29)</f>
        <v>-112.1999999999997</v>
      </c>
      <c r="G29" s="40">
        <f t="shared" ref="G29" si="15">D29*C29</f>
        <v>3568.2</v>
      </c>
      <c r="H29" s="231">
        <f t="shared" ref="H29" si="16">(E29-D29)/D29</f>
        <v>-3.1444425760887761E-2</v>
      </c>
      <c r="I29" s="40"/>
      <c r="W29" s="133">
        <v>42640</v>
      </c>
      <c r="X29" s="10">
        <v>90.17</v>
      </c>
      <c r="Y29" s="10">
        <v>90.83</v>
      </c>
      <c r="Z29" s="10">
        <v>90.06</v>
      </c>
      <c r="AA29" s="10">
        <v>90.56</v>
      </c>
      <c r="AB29" s="95">
        <v>4196100</v>
      </c>
      <c r="AC29" s="10">
        <v>90.11</v>
      </c>
      <c r="AD29" s="2"/>
      <c r="AE29" s="138">
        <f t="shared" si="0"/>
        <v>7.0406794814483753E-3</v>
      </c>
    </row>
    <row r="30" spans="1:31" x14ac:dyDescent="0.25">
      <c r="B30" s="193">
        <v>42674</v>
      </c>
      <c r="C30" s="10">
        <v>40</v>
      </c>
      <c r="D30" s="40">
        <v>89.204999999999998</v>
      </c>
      <c r="E30" s="40">
        <v>84.1</v>
      </c>
      <c r="F30" s="40">
        <f t="shared" ref="F30" si="17">C30*(E30-D30)</f>
        <v>-204.20000000000016</v>
      </c>
      <c r="G30" s="40">
        <f t="shared" ref="G30" si="18">D30*C30</f>
        <v>3568.2</v>
      </c>
      <c r="H30" s="231">
        <f t="shared" ref="H30" si="19">(E30-D30)/D30</f>
        <v>-5.7227733871419807E-2</v>
      </c>
      <c r="I30" s="40"/>
      <c r="W30" s="133">
        <v>42639</v>
      </c>
      <c r="X30" s="10">
        <v>90.08</v>
      </c>
      <c r="Y30" s="10">
        <v>90.38</v>
      </c>
      <c r="Z30" s="10">
        <v>89.49</v>
      </c>
      <c r="AA30" s="10">
        <v>89.92</v>
      </c>
      <c r="AB30" s="95">
        <v>4722100</v>
      </c>
      <c r="AC30" s="10">
        <v>89.48</v>
      </c>
      <c r="AD30" s="2"/>
      <c r="AE30" s="138">
        <f t="shared" si="0"/>
        <v>-7.4320576816416795E-3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42636</v>
      </c>
      <c r="X31" s="10">
        <v>90.25</v>
      </c>
      <c r="Y31" s="10">
        <v>90.85</v>
      </c>
      <c r="Z31" s="10">
        <v>90.2</v>
      </c>
      <c r="AA31" s="10">
        <v>90.6</v>
      </c>
      <c r="AB31" s="95">
        <v>3865300</v>
      </c>
      <c r="AC31" s="10">
        <v>90.15</v>
      </c>
      <c r="AD31" s="2"/>
      <c r="AE31" s="138">
        <f t="shared" si="0"/>
        <v>3.3288948069243318E-4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42635</v>
      </c>
      <c r="X32" s="10">
        <v>90.7</v>
      </c>
      <c r="Y32" s="10">
        <v>90.81</v>
      </c>
      <c r="Z32" s="10">
        <v>90.01</v>
      </c>
      <c r="AA32" s="10">
        <v>90.57</v>
      </c>
      <c r="AB32" s="95">
        <v>8280000</v>
      </c>
      <c r="AC32" s="10">
        <v>90.12</v>
      </c>
      <c r="AD32" s="2"/>
      <c r="AE32" s="138">
        <f t="shared" si="0"/>
        <v>3.3400133600536286E-3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40"/>
      <c r="W33" s="133">
        <v>42634</v>
      </c>
      <c r="X33" s="10">
        <v>90.08</v>
      </c>
      <c r="Y33" s="10">
        <v>90.4</v>
      </c>
      <c r="Z33" s="10">
        <v>89.2</v>
      </c>
      <c r="AA33" s="10">
        <v>90.26</v>
      </c>
      <c r="AB33" s="95">
        <v>5773900</v>
      </c>
      <c r="AC33" s="10">
        <v>89.82</v>
      </c>
      <c r="AD33" s="2"/>
      <c r="AE33" s="138">
        <f t="shared" si="0"/>
        <v>3.0150753768842797E-3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42633</v>
      </c>
      <c r="X34" s="10">
        <v>89.5</v>
      </c>
      <c r="Y34" s="10">
        <v>90.29</v>
      </c>
      <c r="Z34" s="10">
        <v>89.5</v>
      </c>
      <c r="AA34" s="10">
        <v>89.99</v>
      </c>
      <c r="AB34" s="95">
        <v>5465100</v>
      </c>
      <c r="AC34" s="10">
        <v>89.55</v>
      </c>
      <c r="AD34" s="2"/>
      <c r="AE34" s="138">
        <f t="shared" si="0"/>
        <v>9.2415192155979042E-3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42632</v>
      </c>
      <c r="X35" s="10">
        <v>90.13</v>
      </c>
      <c r="Y35" s="10">
        <v>90.23</v>
      </c>
      <c r="Z35" s="10">
        <v>89</v>
      </c>
      <c r="AA35" s="10">
        <v>89.17</v>
      </c>
      <c r="AB35" s="95">
        <v>7480000</v>
      </c>
      <c r="AC35" s="10">
        <v>88.73</v>
      </c>
      <c r="AD35" s="2"/>
      <c r="AE35" s="138">
        <f t="shared" si="0"/>
        <v>-1.0593220338983134E-2</v>
      </c>
    </row>
    <row r="36" spans="2:31" x14ac:dyDescent="0.25">
      <c r="B36" s="74"/>
      <c r="C36" s="4"/>
      <c r="D36" s="3"/>
      <c r="E36" s="3"/>
      <c r="F36" s="3"/>
      <c r="G36" s="3"/>
      <c r="H36" s="280"/>
      <c r="I36" s="3"/>
      <c r="W36" s="133">
        <v>42629</v>
      </c>
      <c r="X36" s="10">
        <v>90</v>
      </c>
      <c r="Y36" s="10">
        <v>90.35</v>
      </c>
      <c r="Z36" s="10">
        <v>89.37</v>
      </c>
      <c r="AA36" s="10">
        <v>90.12</v>
      </c>
      <c r="AB36" s="95">
        <v>6406800</v>
      </c>
      <c r="AC36" s="10">
        <v>89.68</v>
      </c>
      <c r="AD36" s="2"/>
      <c r="AE36" s="138">
        <f t="shared" si="0"/>
        <v>-3.3441087950047965E-4</v>
      </c>
    </row>
    <row r="37" spans="2:31" x14ac:dyDescent="0.25">
      <c r="B37" s="74"/>
      <c r="C37" s="4"/>
      <c r="D37" s="3"/>
      <c r="E37" s="3"/>
      <c r="F37" s="3"/>
      <c r="G37" s="3"/>
      <c r="H37" s="280"/>
      <c r="I37" s="3"/>
      <c r="W37" s="133">
        <v>42628</v>
      </c>
      <c r="X37" s="10">
        <v>89.14</v>
      </c>
      <c r="Y37" s="10">
        <v>90.22</v>
      </c>
      <c r="Z37" s="10">
        <v>88.1</v>
      </c>
      <c r="AA37" s="10">
        <v>90.15</v>
      </c>
      <c r="AB37" s="95">
        <v>7449200</v>
      </c>
      <c r="AC37" s="10">
        <v>89.71</v>
      </c>
      <c r="AD37" s="2"/>
      <c r="AE37" s="138">
        <f t="shared" si="0"/>
        <v>7.9775280898874978E-3</v>
      </c>
    </row>
    <row r="38" spans="2:31" x14ac:dyDescent="0.25">
      <c r="B38" s="74"/>
      <c r="C38" s="4"/>
      <c r="D38" s="3"/>
      <c r="E38" s="3"/>
      <c r="F38" s="3"/>
      <c r="G38" s="3"/>
      <c r="H38" s="280"/>
      <c r="I38" s="3"/>
      <c r="W38" s="133">
        <v>42627</v>
      </c>
      <c r="X38" s="10">
        <v>90.75</v>
      </c>
      <c r="Y38" s="10">
        <v>91.13</v>
      </c>
      <c r="Z38" s="10">
        <v>89.33</v>
      </c>
      <c r="AA38" s="10">
        <v>89.44</v>
      </c>
      <c r="AB38" s="95">
        <v>7939400</v>
      </c>
      <c r="AC38" s="10">
        <v>89</v>
      </c>
      <c r="AD38" s="2"/>
      <c r="AE38" s="138">
        <f t="shared" si="0"/>
        <v>-1.6357206012378445E-2</v>
      </c>
    </row>
    <row r="39" spans="2:31" x14ac:dyDescent="0.25">
      <c r="B39" s="74"/>
      <c r="C39" s="4"/>
      <c r="D39" s="3"/>
      <c r="E39" s="3"/>
      <c r="F39" s="3"/>
      <c r="G39" s="3"/>
      <c r="H39" s="280"/>
      <c r="I39" s="3"/>
      <c r="W39" s="133">
        <v>42626</v>
      </c>
      <c r="X39" s="10">
        <v>91.58</v>
      </c>
      <c r="Y39" s="10">
        <v>91.82</v>
      </c>
      <c r="Z39" s="10">
        <v>90.72</v>
      </c>
      <c r="AA39" s="10">
        <v>90.93</v>
      </c>
      <c r="AB39" s="95">
        <v>4082100</v>
      </c>
      <c r="AC39" s="10">
        <v>90.48</v>
      </c>
      <c r="AD39" s="2"/>
      <c r="AE39" s="138">
        <f t="shared" si="0"/>
        <v>-1.2119226989846021E-2</v>
      </c>
    </row>
    <row r="40" spans="2:31" ht="20.25" thickBot="1" x14ac:dyDescent="0.35">
      <c r="B40" s="74"/>
      <c r="C40" s="4"/>
      <c r="D40" s="3"/>
      <c r="E40" s="3"/>
      <c r="F40" s="3"/>
      <c r="G40" s="3"/>
      <c r="H40" s="280"/>
      <c r="I40" s="3"/>
      <c r="O40" s="588" t="s">
        <v>78</v>
      </c>
      <c r="P40" s="588"/>
      <c r="W40" s="133">
        <v>42625</v>
      </c>
      <c r="X40" s="10">
        <v>91.4</v>
      </c>
      <c r="Y40" s="10">
        <v>92.26</v>
      </c>
      <c r="Z40" s="10">
        <v>91.04</v>
      </c>
      <c r="AA40" s="10">
        <v>92.04</v>
      </c>
      <c r="AB40" s="95">
        <v>5235400</v>
      </c>
      <c r="AC40" s="10">
        <v>91.59</v>
      </c>
      <c r="AD40" s="2"/>
      <c r="AE40" s="138">
        <f t="shared" si="0"/>
        <v>5.7098934885253527E-3</v>
      </c>
    </row>
    <row r="41" spans="2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92.345000000000013</v>
      </c>
      <c r="Q41" s="2"/>
      <c r="W41" s="133">
        <v>42622</v>
      </c>
      <c r="X41" s="10">
        <v>92.74</v>
      </c>
      <c r="Y41" s="10">
        <v>92.79</v>
      </c>
      <c r="Z41" s="10">
        <v>91.52</v>
      </c>
      <c r="AA41" s="10">
        <v>91.52</v>
      </c>
      <c r="AB41" s="95">
        <v>6153400</v>
      </c>
      <c r="AC41" s="10">
        <v>91.07</v>
      </c>
      <c r="AD41" s="2"/>
      <c r="AE41" s="138">
        <f t="shared" si="0"/>
        <v>-1.7053426875337396E-2</v>
      </c>
    </row>
    <row r="42" spans="2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20">O42*$Q$4</f>
        <v>91.505500000000012</v>
      </c>
      <c r="Q42" s="2"/>
      <c r="T42" s="91" t="s">
        <v>113</v>
      </c>
      <c r="W42" s="133">
        <v>42621</v>
      </c>
      <c r="X42" s="10">
        <v>93.56</v>
      </c>
      <c r="Y42" s="10">
        <v>93.86</v>
      </c>
      <c r="Z42" s="10">
        <v>92.28</v>
      </c>
      <c r="AA42" s="10">
        <v>93.11</v>
      </c>
      <c r="AB42" s="95">
        <v>7380800</v>
      </c>
      <c r="AC42" s="10">
        <v>92.65</v>
      </c>
      <c r="AD42" s="2"/>
      <c r="AE42" s="138">
        <f t="shared" si="0"/>
        <v>-5.3676865271068408E-3</v>
      </c>
    </row>
    <row r="43" spans="2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20"/>
        <v>90.666000000000011</v>
      </c>
      <c r="Q43" s="2"/>
      <c r="T43" s="128" t="s">
        <v>98</v>
      </c>
      <c r="U43" s="129">
        <v>83.45</v>
      </c>
      <c r="W43" s="133">
        <v>42620</v>
      </c>
      <c r="X43" s="10">
        <v>93.18</v>
      </c>
      <c r="Y43" s="10">
        <v>93.81</v>
      </c>
      <c r="Z43" s="10">
        <v>92.86</v>
      </c>
      <c r="AA43" s="10">
        <v>93.61</v>
      </c>
      <c r="AB43" s="95">
        <v>3350400</v>
      </c>
      <c r="AC43" s="10">
        <v>93.15</v>
      </c>
      <c r="AD43" s="2"/>
      <c r="AE43" s="138">
        <f t="shared" si="0"/>
        <v>2.6910656620020568E-3</v>
      </c>
    </row>
    <row r="44" spans="2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20"/>
        <v>89.82650000000001</v>
      </c>
      <c r="Q44" s="2"/>
      <c r="T44" s="93" t="s">
        <v>99</v>
      </c>
      <c r="U44" s="130">
        <v>83.57</v>
      </c>
      <c r="W44" s="133">
        <v>42619</v>
      </c>
      <c r="X44" s="10">
        <v>93.97</v>
      </c>
      <c r="Y44" s="10">
        <v>94.08</v>
      </c>
      <c r="Z44" s="10">
        <v>92.9</v>
      </c>
      <c r="AA44" s="10">
        <v>93.36</v>
      </c>
      <c r="AB44" s="95">
        <v>3745200</v>
      </c>
      <c r="AC44" s="10">
        <v>92.9</v>
      </c>
      <c r="AD44" s="2"/>
      <c r="AE44" s="138">
        <f t="shared" si="0"/>
        <v>-5.140286999357313E-3</v>
      </c>
    </row>
    <row r="45" spans="2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20"/>
        <v>88.987000000000009</v>
      </c>
      <c r="Q45" s="2"/>
      <c r="T45" s="93" t="s">
        <v>100</v>
      </c>
      <c r="U45" s="130" t="s">
        <v>620</v>
      </c>
      <c r="W45" s="133">
        <v>42615</v>
      </c>
      <c r="X45" s="10">
        <v>93.83</v>
      </c>
      <c r="Y45" s="10">
        <v>94.2</v>
      </c>
      <c r="Z45" s="10">
        <v>93.52</v>
      </c>
      <c r="AA45" s="10">
        <v>93.84</v>
      </c>
      <c r="AB45" s="95">
        <v>3133600</v>
      </c>
      <c r="AC45" s="10">
        <v>93.38</v>
      </c>
      <c r="AD45" s="2"/>
      <c r="AE45" s="138">
        <f t="shared" si="0"/>
        <v>5.0586589172316732E-3</v>
      </c>
    </row>
    <row r="46" spans="2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20"/>
        <v>88.147500000000008</v>
      </c>
      <c r="Q46" s="2"/>
      <c r="T46" s="93" t="s">
        <v>101</v>
      </c>
      <c r="U46" s="130" t="s">
        <v>621</v>
      </c>
      <c r="W46" s="133">
        <v>42614</v>
      </c>
      <c r="X46" s="10">
        <v>93.56</v>
      </c>
      <c r="Y46" s="10">
        <v>93.75</v>
      </c>
      <c r="Z46" s="10">
        <v>93.07</v>
      </c>
      <c r="AA46" s="10">
        <v>93.37</v>
      </c>
      <c r="AB46" s="95">
        <v>3274400</v>
      </c>
      <c r="AC46" s="10">
        <v>92.91</v>
      </c>
      <c r="AD46" s="2"/>
      <c r="AE46" s="138">
        <f t="shared" si="0"/>
        <v>-3.2278889606196515E-4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20"/>
        <v>87.308000000000007</v>
      </c>
      <c r="Q47" s="2"/>
      <c r="T47" s="93" t="s">
        <v>102</v>
      </c>
      <c r="U47" s="130">
        <v>107.7</v>
      </c>
      <c r="W47" s="133">
        <v>42613</v>
      </c>
      <c r="X47" s="10">
        <v>92.86</v>
      </c>
      <c r="Y47" s="10">
        <v>93.53</v>
      </c>
      <c r="Z47" s="10">
        <v>92.31</v>
      </c>
      <c r="AA47" s="10">
        <v>93.4</v>
      </c>
      <c r="AB47" s="95">
        <v>5226300</v>
      </c>
      <c r="AC47" s="10">
        <v>92.94</v>
      </c>
      <c r="AD47" s="2"/>
      <c r="AE47" s="138">
        <f t="shared" si="0"/>
        <v>6.6067367052962123E-3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20"/>
        <v>86.468500000000006</v>
      </c>
      <c r="Q48" s="2"/>
      <c r="T48" s="93" t="s">
        <v>103</v>
      </c>
      <c r="U48" s="130">
        <v>0.89449800000000002</v>
      </c>
      <c r="W48" s="133">
        <v>42612</v>
      </c>
      <c r="X48" s="10">
        <v>93.01</v>
      </c>
      <c r="Y48" s="10">
        <v>93.22</v>
      </c>
      <c r="Z48" s="10">
        <v>92.25</v>
      </c>
      <c r="AA48" s="10">
        <v>92.79</v>
      </c>
      <c r="AB48" s="95">
        <v>4971900</v>
      </c>
      <c r="AC48" s="10">
        <v>92.33</v>
      </c>
      <c r="AD48" s="2"/>
      <c r="AE48" s="138">
        <f t="shared" si="0"/>
        <v>-3.1310732023321908E-3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20"/>
        <v>85.629000000000005</v>
      </c>
      <c r="Q49" s="2"/>
      <c r="T49" s="93" t="s">
        <v>104</v>
      </c>
      <c r="U49" s="130" t="s">
        <v>346</v>
      </c>
      <c r="W49" s="133">
        <v>42611</v>
      </c>
      <c r="X49" s="10">
        <v>93.42</v>
      </c>
      <c r="Y49" s="10">
        <v>93.55</v>
      </c>
      <c r="Z49" s="10">
        <v>92.44</v>
      </c>
      <c r="AA49" s="10">
        <v>93.08</v>
      </c>
      <c r="AB49" s="95">
        <v>6093500</v>
      </c>
      <c r="AC49" s="10">
        <v>92.62</v>
      </c>
      <c r="AD49" s="2"/>
      <c r="AE49" s="138">
        <f t="shared" si="0"/>
        <v>-1.939655172413679E-3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20"/>
        <v>84.789500000000004</v>
      </c>
      <c r="Q50" s="2"/>
      <c r="T50" s="93"/>
      <c r="U50" s="130"/>
      <c r="W50" s="133">
        <v>42608</v>
      </c>
      <c r="X50" s="10">
        <v>94.01</v>
      </c>
      <c r="Y50" s="10">
        <v>94.3</v>
      </c>
      <c r="Z50" s="10">
        <v>92.73</v>
      </c>
      <c r="AA50" s="10">
        <v>93.26</v>
      </c>
      <c r="AB50" s="95">
        <v>6370400</v>
      </c>
      <c r="AC50" s="10">
        <v>92.8</v>
      </c>
      <c r="AD50" s="2"/>
      <c r="AE50" s="138">
        <f t="shared" si="0"/>
        <v>-5.5722246035146972E-3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20"/>
        <v>83.95</v>
      </c>
      <c r="Q51" s="2"/>
      <c r="T51" s="93" t="s">
        <v>105</v>
      </c>
      <c r="U51" s="130" t="s">
        <v>622</v>
      </c>
      <c r="W51" s="133">
        <v>42607</v>
      </c>
      <c r="X51" s="10">
        <v>96.92</v>
      </c>
      <c r="Y51" s="10">
        <v>96.97</v>
      </c>
      <c r="Z51" s="10">
        <v>93.4</v>
      </c>
      <c r="AA51" s="10">
        <v>93.78</v>
      </c>
      <c r="AB51" s="95">
        <v>9393800</v>
      </c>
      <c r="AC51" s="10">
        <v>93.32</v>
      </c>
      <c r="AD51" s="2"/>
      <c r="AE51" s="138">
        <f t="shared" si="0"/>
        <v>-3.4853656014065648E-2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20"/>
        <v>83.110500000000002</v>
      </c>
      <c r="Q52" s="2"/>
      <c r="T52" s="93" t="s">
        <v>106</v>
      </c>
      <c r="U52" s="130" t="s">
        <v>416</v>
      </c>
      <c r="W52" s="133">
        <v>42606</v>
      </c>
      <c r="X52" s="10">
        <v>97.05</v>
      </c>
      <c r="Y52" s="10">
        <v>98.09</v>
      </c>
      <c r="Z52" s="10">
        <v>96.96</v>
      </c>
      <c r="AA52" s="10">
        <v>97.17</v>
      </c>
      <c r="AB52" s="95">
        <v>3585600</v>
      </c>
      <c r="AC52" s="10">
        <v>96.69</v>
      </c>
      <c r="AD52" s="2"/>
      <c r="AE52" s="138">
        <f t="shared" si="0"/>
        <v>-1.0331645831181957E-3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20"/>
        <v>82.271000000000001</v>
      </c>
      <c r="Q53" s="2"/>
      <c r="T53" s="93" t="s">
        <v>107</v>
      </c>
      <c r="U53" s="131">
        <v>6132059</v>
      </c>
      <c r="W53" s="133">
        <v>42605</v>
      </c>
      <c r="X53" s="10">
        <v>98.27</v>
      </c>
      <c r="Y53" s="10">
        <v>98.44</v>
      </c>
      <c r="Z53" s="10">
        <v>97.1</v>
      </c>
      <c r="AA53" s="10">
        <v>97.27</v>
      </c>
      <c r="AB53" s="95">
        <v>3004400</v>
      </c>
      <c r="AC53" s="10">
        <v>96.79</v>
      </c>
      <c r="AD53" s="2"/>
      <c r="AE53" s="138">
        <f t="shared" si="0"/>
        <v>-7.4856439704674704E-3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20"/>
        <v>81.4315</v>
      </c>
      <c r="T54" s="93" t="s">
        <v>110</v>
      </c>
      <c r="U54" s="131">
        <v>5394680</v>
      </c>
      <c r="W54" s="133">
        <v>42604</v>
      </c>
      <c r="X54" s="10">
        <v>96.99</v>
      </c>
      <c r="Y54" s="10">
        <v>98.11</v>
      </c>
      <c r="Z54" s="10">
        <v>96.31</v>
      </c>
      <c r="AA54" s="10">
        <v>98</v>
      </c>
      <c r="AB54" s="95">
        <v>4351800</v>
      </c>
      <c r="AC54" s="10">
        <v>97.52</v>
      </c>
      <c r="AD54" s="2"/>
      <c r="AE54" s="138">
        <f t="shared" si="0"/>
        <v>1.0360547036883494E-2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20"/>
        <v>80.591999999999999</v>
      </c>
      <c r="T55" s="93" t="s">
        <v>108</v>
      </c>
      <c r="U55" s="130" t="s">
        <v>623</v>
      </c>
      <c r="W55" s="133">
        <v>42601</v>
      </c>
      <c r="X55" s="10">
        <v>97.01</v>
      </c>
      <c r="Y55" s="10">
        <v>97.11</v>
      </c>
      <c r="Z55" s="10">
        <v>96.37</v>
      </c>
      <c r="AA55" s="10">
        <v>97</v>
      </c>
      <c r="AB55" s="95">
        <v>2939100</v>
      </c>
      <c r="AC55" s="10">
        <v>96.52</v>
      </c>
      <c r="AD55" s="2"/>
      <c r="AE55" s="138">
        <f t="shared" si="0"/>
        <v>-1.8614270941055278E-3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20"/>
        <v>79.752499999999998</v>
      </c>
      <c r="T56" s="93" t="s">
        <v>111</v>
      </c>
      <c r="U56" s="130">
        <v>19.309999999999999</v>
      </c>
      <c r="W56" s="133">
        <v>42600</v>
      </c>
      <c r="X56" s="10">
        <v>97.52</v>
      </c>
      <c r="Y56" s="10">
        <v>97.64</v>
      </c>
      <c r="Z56" s="10">
        <v>96.84</v>
      </c>
      <c r="AA56" s="10">
        <v>97.18</v>
      </c>
      <c r="AB56" s="95">
        <v>3192000</v>
      </c>
      <c r="AC56" s="10">
        <v>96.7</v>
      </c>
      <c r="AD56" s="2"/>
      <c r="AE56" s="138">
        <f t="shared" si="0"/>
        <v>-3.8116822911300474E-3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20"/>
        <v>78.912999999999997</v>
      </c>
      <c r="T57" s="93" t="s">
        <v>112</v>
      </c>
      <c r="U57" s="130">
        <v>4.3499999999999996</v>
      </c>
      <c r="W57" s="133">
        <v>42599</v>
      </c>
      <c r="X57" s="10">
        <v>97.4</v>
      </c>
      <c r="Y57" s="10">
        <v>97.72</v>
      </c>
      <c r="Z57" s="10">
        <v>97.16</v>
      </c>
      <c r="AA57" s="10">
        <v>97.55</v>
      </c>
      <c r="AB57" s="95">
        <v>3107200</v>
      </c>
      <c r="AC57" s="10">
        <v>97.07</v>
      </c>
      <c r="AD57" s="2"/>
      <c r="AE57" s="138">
        <f t="shared" si="0"/>
        <v>-1.0300782859506974E-4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20"/>
        <v>78.07350000000001</v>
      </c>
      <c r="T58" s="93" t="s">
        <v>109</v>
      </c>
      <c r="U58" s="130" t="s">
        <v>449</v>
      </c>
      <c r="W58" s="133">
        <v>42598</v>
      </c>
      <c r="X58" s="10">
        <v>97.08</v>
      </c>
      <c r="Y58" s="10">
        <v>97.85</v>
      </c>
      <c r="Z58" s="10">
        <v>96.98</v>
      </c>
      <c r="AA58" s="10">
        <v>97.56</v>
      </c>
      <c r="AB58" s="95">
        <v>3328300</v>
      </c>
      <c r="AC58" s="10">
        <v>97.08</v>
      </c>
      <c r="AD58" s="2"/>
      <c r="AE58" s="138">
        <f t="shared" si="0"/>
        <v>-2.0597322348092639E-4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20"/>
        <v>77.234000000000009</v>
      </c>
      <c r="W59" s="133">
        <v>42597</v>
      </c>
      <c r="X59" s="10">
        <v>97.4</v>
      </c>
      <c r="Y59" s="10">
        <v>97.67</v>
      </c>
      <c r="Z59" s="10">
        <v>97.13</v>
      </c>
      <c r="AA59" s="10">
        <v>97.58</v>
      </c>
      <c r="AB59" s="95">
        <v>2397200</v>
      </c>
      <c r="AC59" s="10">
        <v>97.1</v>
      </c>
      <c r="AD59" s="2"/>
      <c r="AE59" s="138">
        <f t="shared" si="0"/>
        <v>1.5471892728209369E-3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20"/>
        <v>76.394500000000008</v>
      </c>
      <c r="W60" s="133">
        <v>42594</v>
      </c>
      <c r="X60" s="10">
        <v>97.32</v>
      </c>
      <c r="Y60" s="10">
        <v>97.45</v>
      </c>
      <c r="Z60" s="10">
        <v>96.89</v>
      </c>
      <c r="AA60" s="10">
        <v>97.43</v>
      </c>
      <c r="AB60" s="95">
        <v>2362500</v>
      </c>
      <c r="AC60" s="10">
        <v>96.95</v>
      </c>
      <c r="AD60" s="2"/>
      <c r="AE60" s="138">
        <f t="shared" si="0"/>
        <v>4.4550352258601045E-3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20"/>
        <v>75.555000000000007</v>
      </c>
      <c r="W61" s="133">
        <v>42593</v>
      </c>
      <c r="X61" s="10">
        <v>97.38</v>
      </c>
      <c r="Y61" s="10">
        <v>97.67</v>
      </c>
      <c r="Z61" s="10">
        <v>96.8</v>
      </c>
      <c r="AA61" s="10">
        <v>97</v>
      </c>
      <c r="AB61" s="95">
        <v>3870900</v>
      </c>
      <c r="AC61" s="10">
        <v>96.52</v>
      </c>
      <c r="AD61" s="2"/>
      <c r="AE61" s="138">
        <f t="shared" si="0"/>
        <v>-1.1383628272793045E-3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42592</v>
      </c>
      <c r="X62" s="10">
        <v>97.51</v>
      </c>
      <c r="Y62" s="10">
        <v>97.95</v>
      </c>
      <c r="Z62" s="10">
        <v>96.95</v>
      </c>
      <c r="AA62" s="10">
        <v>97.11</v>
      </c>
      <c r="AB62" s="95">
        <v>3784100</v>
      </c>
      <c r="AC62" s="10">
        <v>96.63</v>
      </c>
      <c r="AD62" s="2"/>
      <c r="AE62" s="138">
        <f t="shared" si="0"/>
        <v>-3.5062390430030677E-3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42591</v>
      </c>
      <c r="X63" s="10">
        <v>97.46</v>
      </c>
      <c r="Y63" s="10">
        <v>97.8</v>
      </c>
      <c r="Z63" s="10">
        <v>96.95</v>
      </c>
      <c r="AA63" s="10">
        <v>97.45</v>
      </c>
      <c r="AB63" s="95">
        <v>2465300</v>
      </c>
      <c r="AC63" s="10">
        <v>96.97</v>
      </c>
      <c r="AD63" s="2"/>
      <c r="AE63" s="138">
        <f t="shared" si="0"/>
        <v>2.7921406411581806E-3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42590</v>
      </c>
      <c r="X64" s="10">
        <v>97.37</v>
      </c>
      <c r="Y64" s="10">
        <v>97.62</v>
      </c>
      <c r="Z64" s="10">
        <v>96.85</v>
      </c>
      <c r="AA64" s="10">
        <v>97.18</v>
      </c>
      <c r="AB64" s="95">
        <v>3603400</v>
      </c>
      <c r="AC64" s="10">
        <v>96.7</v>
      </c>
      <c r="AD64" s="2"/>
      <c r="AE64" s="138">
        <f t="shared" si="0"/>
        <v>-1.9609866859324754E-3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42587</v>
      </c>
      <c r="X65" s="10">
        <v>97.38</v>
      </c>
      <c r="Y65" s="10">
        <v>97.91</v>
      </c>
      <c r="Z65" s="10">
        <v>96.92</v>
      </c>
      <c r="AA65" s="10">
        <v>97.37</v>
      </c>
      <c r="AB65" s="95">
        <v>3797700</v>
      </c>
      <c r="AC65" s="10">
        <v>96.89</v>
      </c>
      <c r="AD65" s="2"/>
      <c r="AE65" s="138">
        <f t="shared" si="0"/>
        <v>4.1455073064566861E-3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42586</v>
      </c>
      <c r="X66" s="10">
        <v>97.26</v>
      </c>
      <c r="Y66" s="10">
        <v>97.93</v>
      </c>
      <c r="Z66" s="10">
        <v>96.27</v>
      </c>
      <c r="AA66" s="10">
        <v>96.97</v>
      </c>
      <c r="AB66" s="95">
        <v>4126000</v>
      </c>
      <c r="AC66" s="10">
        <v>96.49</v>
      </c>
      <c r="AD66" s="2"/>
      <c r="AE66" s="138">
        <f t="shared" si="0"/>
        <v>-4.7447137699846431E-3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42585</v>
      </c>
      <c r="X67" s="10">
        <v>97.7</v>
      </c>
      <c r="Y67" s="10">
        <v>97.99</v>
      </c>
      <c r="Z67" s="10">
        <v>96.96</v>
      </c>
      <c r="AA67" s="10">
        <v>97.43</v>
      </c>
      <c r="AB67" s="95">
        <v>6236900</v>
      </c>
      <c r="AC67" s="10">
        <v>96.95</v>
      </c>
      <c r="AD67" s="2"/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42584</v>
      </c>
      <c r="X68" s="10">
        <v>95.75</v>
      </c>
      <c r="Y68" s="10">
        <v>98.66</v>
      </c>
      <c r="Z68" s="10">
        <v>95.62</v>
      </c>
      <c r="AA68" s="10">
        <v>98.06</v>
      </c>
      <c r="AB68" s="95">
        <v>12545900</v>
      </c>
      <c r="AC68" s="10">
        <v>97.58</v>
      </c>
      <c r="AD68" s="2"/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121</v>
      </c>
      <c r="X69" s="10"/>
      <c r="Y69" s="10"/>
      <c r="Z69" s="10"/>
      <c r="AA69" s="10"/>
      <c r="AB69" s="95"/>
      <c r="AC69" s="10"/>
      <c r="AD69" s="2"/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63 H36:H63">
    <cfRule type="expression" dxfId="651" priority="9">
      <formula>F36&gt;0</formula>
    </cfRule>
    <cfRule type="expression" dxfId="650" priority="10">
      <formula>F36&lt;0</formula>
    </cfRule>
  </conditionalFormatting>
  <conditionalFormatting sqref="Q7">
    <cfRule type="expression" dxfId="649" priority="7">
      <formula>Q7&gt;0</formula>
    </cfRule>
    <cfRule type="expression" dxfId="648" priority="8">
      <formula>Q7&lt;0</formula>
    </cfRule>
  </conditionalFormatting>
  <conditionalFormatting sqref="Q8">
    <cfRule type="expression" dxfId="647" priority="5">
      <formula>Q8&gt;0</formula>
    </cfRule>
    <cfRule type="expression" dxfId="646" priority="6">
      <formula>Q8&lt;0</formula>
    </cfRule>
  </conditionalFormatting>
  <conditionalFormatting sqref="F25:F35">
    <cfRule type="expression" dxfId="645" priority="3">
      <formula>F25&gt;0</formula>
    </cfRule>
    <cfRule type="expression" dxfId="644" priority="4">
      <formula>F25&lt;0</formula>
    </cfRule>
  </conditionalFormatting>
  <conditionalFormatting sqref="H25:H35">
    <cfRule type="expression" dxfId="643" priority="1">
      <formula>H25&gt;0</formula>
    </cfRule>
    <cfRule type="expression" dxfId="64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458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2" max="2" width="10.7109375" style="30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5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8.5703125" style="42" bestFit="1" customWidth="1"/>
    <col min="21" max="21" width="35.8554687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127</v>
      </c>
    </row>
    <row r="2" spans="1:41" x14ac:dyDescent="0.25">
      <c r="A2" s="6" t="s">
        <v>50</v>
      </c>
      <c r="B2" s="532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73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C231-H231</f>
        <v>12500</v>
      </c>
      <c r="T2" s="42">
        <v>42620</v>
      </c>
      <c r="U2" s="34" t="s">
        <v>310</v>
      </c>
      <c r="W2" s="133">
        <v>42676</v>
      </c>
      <c r="X2" s="10">
        <v>13.06</v>
      </c>
      <c r="Y2" s="10">
        <v>13.1</v>
      </c>
      <c r="Z2" s="10">
        <v>12.36</v>
      </c>
      <c r="AA2" s="10">
        <v>12.78</v>
      </c>
      <c r="AB2" s="95">
        <v>26048300</v>
      </c>
      <c r="AC2" s="10">
        <v>12.78</v>
      </c>
      <c r="AE2" s="138">
        <f t="shared" ref="AE2:AE14" si="0">AC2/AC3-1</f>
        <v>-3.6925395629238911E-2</v>
      </c>
    </row>
    <row r="3" spans="1:41" x14ac:dyDescent="0.25">
      <c r="A3" s="23" t="s">
        <v>71</v>
      </c>
      <c r="B3" s="532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73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542">
        <f>IF(Q2=0, Q4, (F231-K231-M231)/Q2)</f>
        <v>15.528745519999875</v>
      </c>
      <c r="W3" s="133">
        <v>42675</v>
      </c>
      <c r="X3" s="10">
        <v>13.37</v>
      </c>
      <c r="Y3" s="10">
        <v>13.53</v>
      </c>
      <c r="Z3" s="10">
        <v>12.87</v>
      </c>
      <c r="AA3" s="10">
        <v>13.27</v>
      </c>
      <c r="AB3" s="95">
        <v>16529700</v>
      </c>
      <c r="AC3" s="10">
        <v>13.27</v>
      </c>
      <c r="AE3" s="138">
        <f t="shared" si="0"/>
        <v>6.8285280728375142E-3</v>
      </c>
      <c r="AL3" s="234"/>
      <c r="AO3" s="234"/>
    </row>
    <row r="4" spans="1:41" x14ac:dyDescent="0.25">
      <c r="B4" s="532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73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12.78</v>
      </c>
      <c r="R4" s="527">
        <v>-3.6900000000000002E-2</v>
      </c>
      <c r="W4" s="133">
        <v>42674</v>
      </c>
      <c r="X4" s="10">
        <v>13.65</v>
      </c>
      <c r="Y4" s="10">
        <v>13.68</v>
      </c>
      <c r="Z4" s="10">
        <v>13.14</v>
      </c>
      <c r="AA4" s="10">
        <v>13.18</v>
      </c>
      <c r="AB4" s="95">
        <v>16153800</v>
      </c>
      <c r="AC4" s="10">
        <v>13.18</v>
      </c>
      <c r="AE4" s="138">
        <f t="shared" si="0"/>
        <v>-3.9358600583090486E-2</v>
      </c>
      <c r="AJ4" s="235"/>
      <c r="AL4" s="234"/>
      <c r="AO4" s="234"/>
    </row>
    <row r="5" spans="1:41" x14ac:dyDescent="0.25">
      <c r="B5" s="591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73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s="1">
        <v>42625</v>
      </c>
      <c r="M5" s="44">
        <v>433.9</v>
      </c>
      <c r="O5" s="11" t="s">
        <v>67</v>
      </c>
      <c r="Q5" s="3">
        <f>Q4*Q2</f>
        <v>159750</v>
      </c>
      <c r="T5" s="67"/>
      <c r="W5" s="133">
        <v>42671</v>
      </c>
      <c r="X5" s="10">
        <v>13.88</v>
      </c>
      <c r="Y5" s="10">
        <v>14.23</v>
      </c>
      <c r="Z5" s="10">
        <v>13.65</v>
      </c>
      <c r="AA5" s="10">
        <v>13.72</v>
      </c>
      <c r="AB5" s="95">
        <v>19045800</v>
      </c>
      <c r="AC5" s="10">
        <v>13.72</v>
      </c>
      <c r="AE5" s="138">
        <f t="shared" si="0"/>
        <v>-1.6487455197132572E-2</v>
      </c>
    </row>
    <row r="6" spans="1:41" x14ac:dyDescent="0.25">
      <c r="B6" s="591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73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194109.31899999845</v>
      </c>
      <c r="W6" s="133">
        <v>42670</v>
      </c>
      <c r="X6" s="10">
        <v>14.35</v>
      </c>
      <c r="Y6" s="10">
        <v>14.4</v>
      </c>
      <c r="Z6" s="10">
        <v>13.88</v>
      </c>
      <c r="AA6" s="10">
        <v>13.95</v>
      </c>
      <c r="AB6" s="95">
        <v>18435300</v>
      </c>
      <c r="AC6" s="10">
        <v>13.95</v>
      </c>
      <c r="AE6" s="138">
        <f t="shared" si="0"/>
        <v>-2.1052631578947434E-2</v>
      </c>
    </row>
    <row r="7" spans="1:41" x14ac:dyDescent="0.25">
      <c r="B7" s="591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589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184</v>
      </c>
      <c r="Q7" s="2">
        <f>Q10+Q8</f>
        <v>-34359.318999998504</v>
      </c>
      <c r="R7">
        <v>4478</v>
      </c>
      <c r="U7" s="184"/>
      <c r="W7" s="133">
        <v>42669</v>
      </c>
      <c r="X7" s="10">
        <v>13.99</v>
      </c>
      <c r="Y7" s="10">
        <v>14.39</v>
      </c>
      <c r="Z7" s="10">
        <v>13.9</v>
      </c>
      <c r="AA7" s="10">
        <v>14.25</v>
      </c>
      <c r="AB7" s="95">
        <v>13519800</v>
      </c>
      <c r="AC7" s="10">
        <v>14.25</v>
      </c>
      <c r="AE7" s="138">
        <f t="shared" si="0"/>
        <v>4.9365303244006675E-3</v>
      </c>
    </row>
    <row r="8" spans="1:41" x14ac:dyDescent="0.25">
      <c r="B8" s="591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589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187</v>
      </c>
      <c r="P8" s="34"/>
      <c r="Q8" s="2">
        <f>K231+M231-F231+Q2*Q4</f>
        <v>-34359.318999998504</v>
      </c>
      <c r="W8" s="133">
        <v>42668</v>
      </c>
      <c r="X8" s="10">
        <v>14.45</v>
      </c>
      <c r="Y8" s="10">
        <v>14.65</v>
      </c>
      <c r="Z8" s="10">
        <v>14.15</v>
      </c>
      <c r="AA8" s="10">
        <v>14.18</v>
      </c>
      <c r="AB8" s="95">
        <v>9830500</v>
      </c>
      <c r="AC8" s="10">
        <v>14.18</v>
      </c>
      <c r="AE8" s="138">
        <f t="shared" si="0"/>
        <v>-2.8101439342015144E-2</v>
      </c>
    </row>
    <row r="9" spans="1:41" x14ac:dyDescent="0.25">
      <c r="B9" s="591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73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219</v>
      </c>
      <c r="Q9" s="138">
        <f>IF(Q2=0, 0, Q8/Q6)</f>
        <v>-0.17701014653499855</v>
      </c>
      <c r="W9" s="133">
        <v>42667</v>
      </c>
      <c r="X9" s="10">
        <v>14.59</v>
      </c>
      <c r="Y9" s="10">
        <v>14.77</v>
      </c>
      <c r="Z9" s="10">
        <v>14.26</v>
      </c>
      <c r="AA9" s="10">
        <v>14.59</v>
      </c>
      <c r="AB9" s="95">
        <v>10074900</v>
      </c>
      <c r="AC9" s="10">
        <v>14.59</v>
      </c>
      <c r="AE9" s="138">
        <f t="shared" si="0"/>
        <v>-3.415300546448119E-3</v>
      </c>
    </row>
    <row r="10" spans="1:41" ht="15" customHeight="1" x14ac:dyDescent="0.25">
      <c r="B10" s="532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590" t="s">
        <v>142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218</v>
      </c>
      <c r="P10" s="34"/>
      <c r="Q10" s="2">
        <f>M30</f>
        <v>0</v>
      </c>
      <c r="W10" s="133">
        <v>42664</v>
      </c>
      <c r="X10" s="10">
        <v>14.57</v>
      </c>
      <c r="Y10" s="10">
        <v>14.75</v>
      </c>
      <c r="Z10" s="10">
        <v>14.5</v>
      </c>
      <c r="AA10" s="10">
        <v>14.64</v>
      </c>
      <c r="AB10" s="95">
        <v>8355000</v>
      </c>
      <c r="AC10" s="10">
        <v>14.64</v>
      </c>
      <c r="AE10" s="138">
        <f t="shared" si="0"/>
        <v>-4.0816326530611624E-3</v>
      </c>
    </row>
    <row r="11" spans="1:41" x14ac:dyDescent="0.25">
      <c r="B11" s="532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590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181</v>
      </c>
      <c r="P11" s="34"/>
      <c r="Q11" s="138">
        <f>VALUE(TRIM(CLEAN(MID(U58, FIND("(", U58)+1, 5))))</f>
        <v>1.46E-2</v>
      </c>
      <c r="W11" s="133">
        <v>42663</v>
      </c>
      <c r="X11" s="10">
        <v>14.47</v>
      </c>
      <c r="Y11" s="10">
        <v>14.7</v>
      </c>
      <c r="Z11" s="10">
        <v>14.27</v>
      </c>
      <c r="AA11" s="10">
        <v>14.7</v>
      </c>
      <c r="AB11" s="95">
        <v>12850500</v>
      </c>
      <c r="AC11" s="10">
        <v>14.7</v>
      </c>
      <c r="AE11" s="138">
        <f t="shared" si="0"/>
        <v>3.4129692832762792E-3</v>
      </c>
    </row>
    <row r="12" spans="1:41" x14ac:dyDescent="0.25">
      <c r="B12" s="532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590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42662</v>
      </c>
      <c r="X12" s="10">
        <v>14.35</v>
      </c>
      <c r="Y12" s="10">
        <v>14.86</v>
      </c>
      <c r="Z12" s="10">
        <v>14.31</v>
      </c>
      <c r="AA12" s="10">
        <v>14.65</v>
      </c>
      <c r="AB12" s="95">
        <v>15798500</v>
      </c>
      <c r="AC12" s="10">
        <v>14.65</v>
      </c>
      <c r="AE12" s="138">
        <f t="shared" si="0"/>
        <v>3.1690140845070491E-2</v>
      </c>
    </row>
    <row r="13" spans="1:41" x14ac:dyDescent="0.25">
      <c r="B13" s="532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590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42661</v>
      </c>
      <c r="X13" s="10">
        <v>14.4</v>
      </c>
      <c r="Y13" s="10">
        <v>14.42</v>
      </c>
      <c r="Z13" s="10">
        <v>14.01</v>
      </c>
      <c r="AA13" s="10">
        <v>14.2</v>
      </c>
      <c r="AB13" s="95">
        <v>15738400</v>
      </c>
      <c r="AC13" s="10">
        <v>14.2</v>
      </c>
      <c r="AE13" s="138">
        <f t="shared" si="0"/>
        <v>1.4104372355430161E-3</v>
      </c>
    </row>
    <row r="14" spans="1:41" x14ac:dyDescent="0.25">
      <c r="B14" s="532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590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42660</v>
      </c>
      <c r="X14" s="10">
        <v>14.39</v>
      </c>
      <c r="Y14" s="10">
        <v>14.56</v>
      </c>
      <c r="Z14" s="10">
        <v>14.03</v>
      </c>
      <c r="AA14" s="10">
        <v>14.18</v>
      </c>
      <c r="AB14" s="95">
        <v>13373600</v>
      </c>
      <c r="AC14" s="10">
        <v>14.18</v>
      </c>
      <c r="AE14" s="138">
        <f t="shared" si="0"/>
        <v>-2.7434842249657088E-2</v>
      </c>
    </row>
    <row r="15" spans="1:41" x14ac:dyDescent="0.25">
      <c r="B15" s="532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590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42657</v>
      </c>
      <c r="X15" s="10">
        <v>14.87</v>
      </c>
      <c r="Y15" s="10">
        <v>14.94</v>
      </c>
      <c r="Z15" s="10">
        <v>14.54</v>
      </c>
      <c r="AA15" s="10">
        <v>14.58</v>
      </c>
      <c r="AB15" s="95">
        <v>11115800</v>
      </c>
      <c r="AC15" s="10">
        <v>14.58</v>
      </c>
      <c r="AE15" s="138">
        <f>AC15/AC16-1</f>
        <v>-1.3531799729363914E-2</v>
      </c>
    </row>
    <row r="16" spans="1:41" x14ac:dyDescent="0.25">
      <c r="B16" s="532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590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42656</v>
      </c>
      <c r="X16" s="10">
        <v>14.77</v>
      </c>
      <c r="Y16" s="10">
        <v>14.93</v>
      </c>
      <c r="Z16" s="10">
        <v>14.52</v>
      </c>
      <c r="AA16" s="10">
        <v>14.78</v>
      </c>
      <c r="AB16" s="95">
        <v>12611400</v>
      </c>
      <c r="AC16" s="10">
        <v>14.78</v>
      </c>
      <c r="AE16" s="138">
        <f t="shared" ref="AE16:AE67" si="4">AC16/AC17-1</f>
        <v>-1.0709504685408322E-2</v>
      </c>
    </row>
    <row r="17" spans="1:31" x14ac:dyDescent="0.25">
      <c r="A17" s="2"/>
      <c r="B17" s="532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590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42655</v>
      </c>
      <c r="X17" s="10">
        <v>15</v>
      </c>
      <c r="Y17" s="10">
        <v>15.06</v>
      </c>
      <c r="Z17" s="10">
        <v>14.78</v>
      </c>
      <c r="AA17" s="10">
        <v>14.94</v>
      </c>
      <c r="AB17" s="95">
        <v>11786000</v>
      </c>
      <c r="AC17" s="10">
        <v>14.94</v>
      </c>
      <c r="AE17" s="138">
        <f t="shared" si="4"/>
        <v>-9.2838196286472163E-3</v>
      </c>
    </row>
    <row r="18" spans="1:31" x14ac:dyDescent="0.25">
      <c r="B18" s="532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73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42654</v>
      </c>
      <c r="X18" s="10">
        <v>15.6</v>
      </c>
      <c r="Y18" s="10">
        <v>15.65</v>
      </c>
      <c r="Z18" s="10">
        <v>14.92</v>
      </c>
      <c r="AA18" s="10">
        <v>15.08</v>
      </c>
      <c r="AB18" s="95">
        <v>15994700</v>
      </c>
      <c r="AC18" s="10">
        <v>15.08</v>
      </c>
      <c r="AE18" s="138">
        <f t="shared" si="4"/>
        <v>-4.0712468193384255E-2</v>
      </c>
    </row>
    <row r="19" spans="1:31" x14ac:dyDescent="0.25">
      <c r="A19" s="2"/>
      <c r="B19" s="532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73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42653</v>
      </c>
      <c r="X19" s="10">
        <v>15.84</v>
      </c>
      <c r="Y19" s="10">
        <v>15.95</v>
      </c>
      <c r="Z19" s="10">
        <v>15.61</v>
      </c>
      <c r="AA19" s="10">
        <v>15.72</v>
      </c>
      <c r="AB19" s="95">
        <v>10553600</v>
      </c>
      <c r="AC19" s="10">
        <v>15.72</v>
      </c>
      <c r="AE19" s="138">
        <f t="shared" si="4"/>
        <v>1.0282776349614497E-2</v>
      </c>
    </row>
    <row r="20" spans="1:31" x14ac:dyDescent="0.25">
      <c r="B20" s="532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73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42650</v>
      </c>
      <c r="X20" s="10">
        <v>16.11</v>
      </c>
      <c r="Y20" s="10">
        <v>16.18</v>
      </c>
      <c r="Z20" s="10">
        <v>15.5</v>
      </c>
      <c r="AA20" s="10">
        <v>15.56</v>
      </c>
      <c r="AB20" s="95">
        <v>16881100</v>
      </c>
      <c r="AC20" s="10">
        <v>15.56</v>
      </c>
      <c r="AE20" s="138">
        <f t="shared" si="4"/>
        <v>-3.2338308457711351E-2</v>
      </c>
    </row>
    <row r="21" spans="1:31" x14ac:dyDescent="0.25">
      <c r="B21" s="532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73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42649</v>
      </c>
      <c r="X21" s="10">
        <v>16.27</v>
      </c>
      <c r="Y21" s="10">
        <v>16.34</v>
      </c>
      <c r="Z21" s="10">
        <v>15.82</v>
      </c>
      <c r="AA21" s="10">
        <v>16.079999999999998</v>
      </c>
      <c r="AB21" s="95">
        <v>13514900</v>
      </c>
      <c r="AC21" s="10">
        <v>16.079999999999998</v>
      </c>
      <c r="AE21" s="138">
        <f t="shared" si="4"/>
        <v>-2.4813895781639062E-3</v>
      </c>
    </row>
    <row r="22" spans="1:31" x14ac:dyDescent="0.25">
      <c r="B22" s="532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73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42648</v>
      </c>
      <c r="X22" s="10">
        <v>15.93</v>
      </c>
      <c r="Y22" s="10">
        <v>16.399999999999999</v>
      </c>
      <c r="Z22" s="10">
        <v>15.87</v>
      </c>
      <c r="AA22" s="10">
        <v>16.12</v>
      </c>
      <c r="AB22" s="95">
        <v>17660800</v>
      </c>
      <c r="AC22" s="10">
        <v>16.12</v>
      </c>
      <c r="AE22" s="138">
        <f t="shared" si="4"/>
        <v>3.1349968010236706E-2</v>
      </c>
    </row>
    <row r="23" spans="1:31" x14ac:dyDescent="0.25">
      <c r="B23" s="532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73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42647</v>
      </c>
      <c r="X23" s="10">
        <v>16.02</v>
      </c>
      <c r="Y23" s="10">
        <v>16.14</v>
      </c>
      <c r="Z23" s="10">
        <v>15.52</v>
      </c>
      <c r="AA23" s="10">
        <v>15.63</v>
      </c>
      <c r="AB23" s="95">
        <v>13750500</v>
      </c>
      <c r="AC23" s="10">
        <v>15.63</v>
      </c>
      <c r="AE23" s="138">
        <f t="shared" si="4"/>
        <v>-2.1902377972465525E-2</v>
      </c>
    </row>
    <row r="24" spans="1:31" x14ac:dyDescent="0.25">
      <c r="B24" s="532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73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42646</v>
      </c>
      <c r="X24" s="10">
        <v>15.89</v>
      </c>
      <c r="Y24" s="10">
        <v>16.09</v>
      </c>
      <c r="Z24" s="10">
        <v>15.61</v>
      </c>
      <c r="AA24" s="10">
        <v>15.98</v>
      </c>
      <c r="AB24" s="95">
        <v>10465300</v>
      </c>
      <c r="AC24" s="10">
        <v>15.98</v>
      </c>
      <c r="AE24" s="138">
        <f t="shared" si="4"/>
        <v>1.0752688172043001E-2</v>
      </c>
    </row>
    <row r="25" spans="1:31" x14ac:dyDescent="0.25">
      <c r="B25" s="532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73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42643</v>
      </c>
      <c r="X25" s="10">
        <v>15.95</v>
      </c>
      <c r="Y25" s="10">
        <v>16.16</v>
      </c>
      <c r="Z25" s="10">
        <v>15.76</v>
      </c>
      <c r="AA25" s="10">
        <v>15.81</v>
      </c>
      <c r="AB25" s="95">
        <v>19307900</v>
      </c>
      <c r="AC25" s="10">
        <v>15.81</v>
      </c>
      <c r="AE25" s="138">
        <f t="shared" si="4"/>
        <v>-5.6603773584905648E-3</v>
      </c>
    </row>
    <row r="26" spans="1:31" x14ac:dyDescent="0.25">
      <c r="B26" s="532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73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42642</v>
      </c>
      <c r="X26" s="10">
        <v>15.28</v>
      </c>
      <c r="Y26" s="10">
        <v>16.25</v>
      </c>
      <c r="Z26" s="10">
        <v>15.28</v>
      </c>
      <c r="AA26" s="10">
        <v>15.9</v>
      </c>
      <c r="AB26" s="95">
        <v>34965500</v>
      </c>
      <c r="AC26" s="10">
        <v>15.9</v>
      </c>
      <c r="AE26" s="138">
        <f t="shared" si="4"/>
        <v>4.743083003952564E-2</v>
      </c>
    </row>
    <row r="27" spans="1:31" x14ac:dyDescent="0.25">
      <c r="B27" s="532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73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42641</v>
      </c>
      <c r="X27" s="10">
        <v>14.21</v>
      </c>
      <c r="Y27" s="10">
        <v>15.24</v>
      </c>
      <c r="Z27" s="10">
        <v>13.84</v>
      </c>
      <c r="AA27" s="10">
        <v>15.18</v>
      </c>
      <c r="AB27" s="95">
        <v>30979900</v>
      </c>
      <c r="AC27" s="10">
        <v>15.18</v>
      </c>
      <c r="AE27" s="138">
        <f t="shared" si="4"/>
        <v>7.9658605974395336E-2</v>
      </c>
    </row>
    <row r="28" spans="1:31" x14ac:dyDescent="0.25">
      <c r="B28" s="532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73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42640</v>
      </c>
      <c r="X28" s="10">
        <v>14.16</v>
      </c>
      <c r="Y28" s="10">
        <v>14.22</v>
      </c>
      <c r="Z28" s="10">
        <v>13.9</v>
      </c>
      <c r="AA28" s="10">
        <v>14.06</v>
      </c>
      <c r="AB28" s="95">
        <v>16028700</v>
      </c>
      <c r="AC28" s="10">
        <v>14.06</v>
      </c>
      <c r="AE28" s="138">
        <f t="shared" si="4"/>
        <v>-2.4288688410825765E-2</v>
      </c>
    </row>
    <row r="29" spans="1:31" x14ac:dyDescent="0.25">
      <c r="B29" s="532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73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42639</v>
      </c>
      <c r="X29" s="10">
        <v>14.55</v>
      </c>
      <c r="Y29" s="10">
        <v>14.85</v>
      </c>
      <c r="Z29" s="10">
        <v>14.38</v>
      </c>
      <c r="AA29" s="10">
        <v>14.41</v>
      </c>
      <c r="AB29" s="95">
        <v>11913000</v>
      </c>
      <c r="AC29" s="10">
        <v>14.41</v>
      </c>
      <c r="AE29" s="138">
        <f t="shared" si="4"/>
        <v>-5.52104899930983E-3</v>
      </c>
    </row>
    <row r="30" spans="1:31" x14ac:dyDescent="0.25">
      <c r="B30" s="532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73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42636</v>
      </c>
      <c r="X30" s="10">
        <v>14.71</v>
      </c>
      <c r="Y30" s="10">
        <v>15.1</v>
      </c>
      <c r="Z30" s="10">
        <v>14.26</v>
      </c>
      <c r="AA30" s="10">
        <v>14.49</v>
      </c>
      <c r="AB30" s="95">
        <v>22031500</v>
      </c>
      <c r="AC30" s="10">
        <v>14.49</v>
      </c>
      <c r="AE30" s="138">
        <f t="shared" si="4"/>
        <v>-2.5554808338937418E-2</v>
      </c>
    </row>
    <row r="31" spans="1:31" x14ac:dyDescent="0.25">
      <c r="B31" s="532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73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42635</v>
      </c>
      <c r="X31" s="10">
        <v>14.8</v>
      </c>
      <c r="Y31" s="10">
        <v>15.23</v>
      </c>
      <c r="Z31" s="10">
        <v>14.74</v>
      </c>
      <c r="AA31" s="10">
        <v>14.87</v>
      </c>
      <c r="AB31" s="95">
        <v>17035300</v>
      </c>
      <c r="AC31" s="10">
        <v>14.87</v>
      </c>
      <c r="AE31" s="138">
        <f t="shared" si="4"/>
        <v>1.5017064846416295E-2</v>
      </c>
    </row>
    <row r="32" spans="1:31" x14ac:dyDescent="0.25">
      <c r="B32" s="532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73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42634</v>
      </c>
      <c r="X32" s="10">
        <v>14.11</v>
      </c>
      <c r="Y32" s="10">
        <v>14.68</v>
      </c>
      <c r="Z32" s="10">
        <v>14.07</v>
      </c>
      <c r="AA32" s="10">
        <v>14.65</v>
      </c>
      <c r="AB32" s="95">
        <v>18859300</v>
      </c>
      <c r="AC32" s="10">
        <v>14.65</v>
      </c>
      <c r="AE32" s="138">
        <f t="shared" si="4"/>
        <v>5.6236481614996503E-2</v>
      </c>
    </row>
    <row r="33" spans="2:31" x14ac:dyDescent="0.25">
      <c r="B33" s="532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26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42633</v>
      </c>
      <c r="X33" s="10">
        <v>14.02</v>
      </c>
      <c r="Y33" s="10">
        <v>14.31</v>
      </c>
      <c r="Z33" s="10">
        <v>13.8</v>
      </c>
      <c r="AA33" s="10">
        <v>13.87</v>
      </c>
      <c r="AB33" s="95">
        <v>15967200</v>
      </c>
      <c r="AC33" s="10">
        <v>13.87</v>
      </c>
      <c r="AE33" s="138">
        <f t="shared" si="4"/>
        <v>-1.5613910574875822E-2</v>
      </c>
    </row>
    <row r="34" spans="2:31" x14ac:dyDescent="0.25">
      <c r="B34" s="532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73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42632</v>
      </c>
      <c r="X34" s="10">
        <v>14.5</v>
      </c>
      <c r="Y34" s="10">
        <v>14.63</v>
      </c>
      <c r="Z34" s="10">
        <v>14.08</v>
      </c>
      <c r="AA34" s="10">
        <v>14.09</v>
      </c>
      <c r="AB34" s="95">
        <v>12868800</v>
      </c>
      <c r="AC34" s="10">
        <v>14.09</v>
      </c>
      <c r="AE34" s="138">
        <f t="shared" si="4"/>
        <v>-1.0533707865168607E-2</v>
      </c>
    </row>
    <row r="35" spans="2:31" x14ac:dyDescent="0.25">
      <c r="B35" s="532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73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42629</v>
      </c>
      <c r="X35" s="10">
        <v>13.95</v>
      </c>
      <c r="Y35" s="10">
        <v>14.28</v>
      </c>
      <c r="Z35" s="10">
        <v>13.9</v>
      </c>
      <c r="AA35" s="10">
        <v>14.24</v>
      </c>
      <c r="AB35" s="95">
        <v>12956500</v>
      </c>
      <c r="AC35" s="10">
        <v>14.24</v>
      </c>
      <c r="AE35" s="138">
        <f t="shared" si="4"/>
        <v>-1.4025245441794398E-3</v>
      </c>
    </row>
    <row r="36" spans="2:31" x14ac:dyDescent="0.25">
      <c r="B36" s="532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73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42628</v>
      </c>
      <c r="X36" s="10">
        <v>14.12</v>
      </c>
      <c r="Y36" s="10">
        <v>14.5</v>
      </c>
      <c r="Z36" s="10">
        <v>14.08</v>
      </c>
      <c r="AA36" s="10">
        <v>14.26</v>
      </c>
      <c r="AB36" s="95">
        <v>12191200</v>
      </c>
      <c r="AC36" s="10">
        <v>14.26</v>
      </c>
      <c r="AE36" s="138">
        <f t="shared" si="4"/>
        <v>1.7844396859386213E-2</v>
      </c>
    </row>
    <row r="37" spans="2:31" x14ac:dyDescent="0.25">
      <c r="B37" s="532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73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42627</v>
      </c>
      <c r="X37" s="10">
        <v>14.3</v>
      </c>
      <c r="Y37" s="10">
        <v>14.58</v>
      </c>
      <c r="Z37" s="10">
        <v>13.95</v>
      </c>
      <c r="AA37" s="10">
        <v>14.01</v>
      </c>
      <c r="AB37" s="95">
        <v>18840400</v>
      </c>
      <c r="AC37" s="10">
        <v>14.01</v>
      </c>
      <c r="AE37" s="138">
        <f t="shared" si="4"/>
        <v>-2.3012552301255207E-2</v>
      </c>
    </row>
    <row r="38" spans="2:31" x14ac:dyDescent="0.25">
      <c r="B38" s="532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73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42626</v>
      </c>
      <c r="X38" s="10">
        <v>15.09</v>
      </c>
      <c r="Y38" s="10">
        <v>15.1</v>
      </c>
      <c r="Z38" s="10">
        <v>14.23</v>
      </c>
      <c r="AA38" s="10">
        <v>14.34</v>
      </c>
      <c r="AB38" s="95">
        <v>28846500</v>
      </c>
      <c r="AC38" s="10">
        <v>14.34</v>
      </c>
      <c r="AE38" s="138">
        <f t="shared" si="4"/>
        <v>-7.3044602456367236E-2</v>
      </c>
    </row>
    <row r="39" spans="2:31" x14ac:dyDescent="0.25">
      <c r="B39" s="532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73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42625</v>
      </c>
      <c r="X39" s="10">
        <v>15.4</v>
      </c>
      <c r="Y39" s="10">
        <v>15.74</v>
      </c>
      <c r="Z39" s="10">
        <v>15.07</v>
      </c>
      <c r="AA39" s="10">
        <v>15.47</v>
      </c>
      <c r="AB39" s="95">
        <v>18951200</v>
      </c>
      <c r="AC39" s="10">
        <v>15.47</v>
      </c>
      <c r="AE39" s="138">
        <f t="shared" si="4"/>
        <v>-1.276324186343325E-2</v>
      </c>
    </row>
    <row r="40" spans="2:31" x14ac:dyDescent="0.25">
      <c r="B40" s="532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73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42622</v>
      </c>
      <c r="X40" s="10">
        <v>16.440000000000001</v>
      </c>
      <c r="Y40" s="10">
        <v>16.61</v>
      </c>
      <c r="Z40" s="10">
        <v>15.67</v>
      </c>
      <c r="AA40" s="10">
        <v>15.67</v>
      </c>
      <c r="AB40" s="95">
        <v>17156500</v>
      </c>
      <c r="AC40" s="10">
        <v>15.67</v>
      </c>
      <c r="AE40" s="138">
        <f t="shared" si="4"/>
        <v>-6.3918757467144482E-2</v>
      </c>
    </row>
    <row r="41" spans="2:31" ht="20.25" thickBot="1" x14ac:dyDescent="0.35">
      <c r="B41" s="591">
        <v>42306</v>
      </c>
      <c r="C41" s="7">
        <v>660</v>
      </c>
      <c r="D41" s="79">
        <v>17.8</v>
      </c>
      <c r="E41" s="44">
        <v>0</v>
      </c>
      <c r="F41" s="44">
        <f t="shared" si="1"/>
        <v>11748</v>
      </c>
      <c r="G41" s="473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588" t="s">
        <v>78</v>
      </c>
      <c r="P41" s="588"/>
      <c r="W41" s="133">
        <v>42621</v>
      </c>
      <c r="X41" s="10">
        <v>15.89</v>
      </c>
      <c r="Y41" s="10">
        <v>16.899999999999999</v>
      </c>
      <c r="Z41" s="10">
        <v>15.77</v>
      </c>
      <c r="AA41" s="10">
        <v>16.739999999999998</v>
      </c>
      <c r="AB41" s="95">
        <v>26230500</v>
      </c>
      <c r="AC41" s="10">
        <v>16.739999999999998</v>
      </c>
      <c r="AE41" s="138">
        <f t="shared" si="4"/>
        <v>6.6921606118546695E-2</v>
      </c>
    </row>
    <row r="42" spans="2:31" ht="21" thickTop="1" thickBot="1" x14ac:dyDescent="0.35">
      <c r="B42" s="591"/>
      <c r="C42" s="7">
        <v>340</v>
      </c>
      <c r="D42" s="79">
        <v>17.8</v>
      </c>
      <c r="E42" s="44">
        <v>0</v>
      </c>
      <c r="F42" s="44">
        <f t="shared" si="1"/>
        <v>6052</v>
      </c>
      <c r="G42" s="594" t="s">
        <v>188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15.5916</v>
      </c>
      <c r="T42" s="134" t="s">
        <v>92</v>
      </c>
      <c r="W42" s="133">
        <v>42620</v>
      </c>
      <c r="X42" s="10">
        <v>15.8</v>
      </c>
      <c r="Y42" s="10">
        <v>15.93</v>
      </c>
      <c r="Z42" s="10">
        <v>15.47</v>
      </c>
      <c r="AA42" s="10">
        <v>15.69</v>
      </c>
      <c r="AB42" s="95">
        <v>12819100</v>
      </c>
      <c r="AC42" s="10">
        <v>15.69</v>
      </c>
      <c r="AE42" s="138">
        <f t="shared" si="4"/>
        <v>3.1969309462915874E-3</v>
      </c>
    </row>
    <row r="43" spans="2:31" ht="15.75" thickTop="1" x14ac:dyDescent="0.25">
      <c r="B43" s="532">
        <v>42312</v>
      </c>
      <c r="C43" s="429">
        <v>500</v>
      </c>
      <c r="D43" s="212">
        <v>17.559999999999999</v>
      </c>
      <c r="E43" s="46">
        <v>6.95</v>
      </c>
      <c r="F43" s="46">
        <f t="shared" si="1"/>
        <v>8786.9500000000007</v>
      </c>
      <c r="G43" s="594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15.463799999999999</v>
      </c>
      <c r="T43" s="135" t="s">
        <v>98</v>
      </c>
      <c r="U43" s="129">
        <v>13.27</v>
      </c>
      <c r="W43" s="133">
        <v>42619</v>
      </c>
      <c r="X43" s="10">
        <v>15.57</v>
      </c>
      <c r="Y43" s="10">
        <v>15.71</v>
      </c>
      <c r="Z43" s="10">
        <v>15.28</v>
      </c>
      <c r="AA43" s="10">
        <v>15.64</v>
      </c>
      <c r="AB43" s="95">
        <v>10021700</v>
      </c>
      <c r="AC43" s="10">
        <v>15.64</v>
      </c>
      <c r="AE43" s="138">
        <f t="shared" si="4"/>
        <v>9.6836668818591765E-3</v>
      </c>
    </row>
    <row r="44" spans="2:31" x14ac:dyDescent="0.25">
      <c r="B44" s="532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594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15.335999999999999</v>
      </c>
      <c r="T44" s="136" t="s">
        <v>99</v>
      </c>
      <c r="U44" s="130">
        <v>13.06</v>
      </c>
      <c r="W44" s="133">
        <v>42615</v>
      </c>
      <c r="X44" s="10">
        <v>15.37</v>
      </c>
      <c r="Y44" s="10">
        <v>15.69</v>
      </c>
      <c r="Z44" s="10">
        <v>15.35</v>
      </c>
      <c r="AA44" s="10">
        <v>15.49</v>
      </c>
      <c r="AB44" s="95">
        <v>12584600</v>
      </c>
      <c r="AC44" s="10">
        <v>15.49</v>
      </c>
      <c r="AE44" s="138">
        <f t="shared" si="4"/>
        <v>2.5148908007941895E-2</v>
      </c>
    </row>
    <row r="45" spans="2:31" x14ac:dyDescent="0.25">
      <c r="B45" s="532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594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15.208199999999998</v>
      </c>
      <c r="T45" s="136" t="s">
        <v>100</v>
      </c>
      <c r="U45" s="130" t="s">
        <v>624</v>
      </c>
      <c r="W45" s="133">
        <v>42614</v>
      </c>
      <c r="X45" s="10">
        <v>14.96</v>
      </c>
      <c r="Y45" s="10">
        <v>15.26</v>
      </c>
      <c r="Z45" s="10">
        <v>14.82</v>
      </c>
      <c r="AA45" s="10">
        <v>15.11</v>
      </c>
      <c r="AB45" s="95">
        <v>14881800</v>
      </c>
      <c r="AC45" s="10">
        <v>15.11</v>
      </c>
      <c r="AE45" s="138">
        <f t="shared" si="4"/>
        <v>5.9920106524633532E-3</v>
      </c>
    </row>
    <row r="46" spans="2:31" x14ac:dyDescent="0.25">
      <c r="B46" s="532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73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15.080399999999999</v>
      </c>
      <c r="T46" s="136" t="s">
        <v>101</v>
      </c>
      <c r="U46" s="130" t="s">
        <v>625</v>
      </c>
      <c r="W46" s="133">
        <v>42613</v>
      </c>
      <c r="X46" s="10">
        <v>15.4</v>
      </c>
      <c r="Y46" s="10">
        <v>15.51</v>
      </c>
      <c r="Z46" s="10">
        <v>14.92</v>
      </c>
      <c r="AA46" s="10">
        <v>15.02</v>
      </c>
      <c r="AB46" s="95">
        <v>17317200</v>
      </c>
      <c r="AC46" s="10">
        <v>15.02</v>
      </c>
      <c r="AE46" s="138">
        <f t="shared" si="4"/>
        <v>-3.4083601286173715E-2</v>
      </c>
    </row>
    <row r="47" spans="2:31" x14ac:dyDescent="0.25">
      <c r="B47" s="532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73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14.952599999999999</v>
      </c>
      <c r="T47" s="136" t="s">
        <v>102</v>
      </c>
      <c r="U47" s="130">
        <v>18.04</v>
      </c>
      <c r="W47" s="133">
        <v>42612</v>
      </c>
      <c r="X47" s="10">
        <v>15.99</v>
      </c>
      <c r="Y47" s="10">
        <v>16.16</v>
      </c>
      <c r="Z47" s="10">
        <v>15.42</v>
      </c>
      <c r="AA47" s="10">
        <v>15.55</v>
      </c>
      <c r="AB47" s="95">
        <v>15529300</v>
      </c>
      <c r="AC47" s="10">
        <v>15.55</v>
      </c>
      <c r="AE47" s="138">
        <f t="shared" si="4"/>
        <v>-2.7517198248905528E-2</v>
      </c>
    </row>
    <row r="48" spans="2:31" x14ac:dyDescent="0.25">
      <c r="B48" s="532">
        <v>42328</v>
      </c>
      <c r="C48" s="4">
        <v>3078</v>
      </c>
      <c r="D48" s="240">
        <v>17.47</v>
      </c>
      <c r="E48" s="3">
        <v>0</v>
      </c>
      <c r="F48" s="3">
        <f t="shared" si="1"/>
        <v>53772.659999999996</v>
      </c>
      <c r="G48" s="473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14.824799999999998</v>
      </c>
      <c r="T48" s="136" t="s">
        <v>103</v>
      </c>
      <c r="U48" s="130">
        <v>2.3179099999999999</v>
      </c>
      <c r="W48" s="133">
        <v>42611</v>
      </c>
      <c r="X48" s="10">
        <v>15.84</v>
      </c>
      <c r="Y48" s="10">
        <v>16.079999999999998</v>
      </c>
      <c r="Z48" s="10">
        <v>15.73</v>
      </c>
      <c r="AA48" s="10">
        <v>15.99</v>
      </c>
      <c r="AB48" s="95">
        <v>9884400</v>
      </c>
      <c r="AC48" s="10">
        <v>15.99</v>
      </c>
      <c r="AE48" s="138">
        <f t="shared" si="4"/>
        <v>2.5078369905957576E-3</v>
      </c>
    </row>
    <row r="49" spans="2:31" x14ac:dyDescent="0.25">
      <c r="B49" s="532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73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14.696999999999997</v>
      </c>
      <c r="T49" s="136" t="s">
        <v>104</v>
      </c>
      <c r="U49" s="130" t="s">
        <v>353</v>
      </c>
      <c r="W49" s="133">
        <v>42608</v>
      </c>
      <c r="X49" s="10">
        <v>16.07</v>
      </c>
      <c r="Y49" s="10">
        <v>16.32</v>
      </c>
      <c r="Z49" s="10">
        <v>15.75</v>
      </c>
      <c r="AA49" s="10">
        <v>15.95</v>
      </c>
      <c r="AB49" s="95">
        <v>15538800</v>
      </c>
      <c r="AC49" s="10">
        <v>15.95</v>
      </c>
      <c r="AE49" s="138">
        <f t="shared" si="4"/>
        <v>-3.7476577139289313E-3</v>
      </c>
    </row>
    <row r="50" spans="2:31" x14ac:dyDescent="0.25">
      <c r="B50" s="532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473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14.569199999999999</v>
      </c>
      <c r="T50" s="136"/>
      <c r="U50" s="130"/>
      <c r="W50" s="133">
        <v>42607</v>
      </c>
      <c r="X50" s="10">
        <v>16.02</v>
      </c>
      <c r="Y50" s="10">
        <v>16.28</v>
      </c>
      <c r="Z50" s="10">
        <v>15.91</v>
      </c>
      <c r="AA50" s="10">
        <v>16.010000000000002</v>
      </c>
      <c r="AB50" s="95">
        <v>11531900</v>
      </c>
      <c r="AC50" s="10">
        <v>16.010000000000002</v>
      </c>
      <c r="AE50" s="138">
        <f t="shared" si="4"/>
        <v>-3.1133250311330407E-3</v>
      </c>
    </row>
    <row r="51" spans="2:31" x14ac:dyDescent="0.25">
      <c r="B51" s="532">
        <v>42345</v>
      </c>
      <c r="C51" s="4">
        <v>100</v>
      </c>
      <c r="D51" s="240">
        <v>16.7</v>
      </c>
      <c r="E51" s="3">
        <v>0</v>
      </c>
      <c r="F51" s="3">
        <f t="shared" si="1"/>
        <v>1670</v>
      </c>
      <c r="G51" s="473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14.441399999999998</v>
      </c>
      <c r="T51" s="136" t="s">
        <v>105</v>
      </c>
      <c r="U51" s="130" t="s">
        <v>626</v>
      </c>
      <c r="W51" s="133">
        <v>42606</v>
      </c>
      <c r="X51" s="10">
        <v>16.34</v>
      </c>
      <c r="Y51" s="10">
        <v>16.53</v>
      </c>
      <c r="Z51" s="10">
        <v>15.97</v>
      </c>
      <c r="AA51" s="10">
        <v>16.059999999999999</v>
      </c>
      <c r="AB51" s="95">
        <v>16495700</v>
      </c>
      <c r="AC51" s="10">
        <v>16.059999999999999</v>
      </c>
      <c r="AE51" s="138">
        <f t="shared" si="4"/>
        <v>-2.251978088861839E-2</v>
      </c>
    </row>
    <row r="52" spans="2:31" x14ac:dyDescent="0.25">
      <c r="B52" s="532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473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14.313600000000001</v>
      </c>
      <c r="T52" s="136" t="s">
        <v>106</v>
      </c>
      <c r="U52" s="130" t="s">
        <v>627</v>
      </c>
      <c r="W52" s="133">
        <v>42605</v>
      </c>
      <c r="X52" s="10">
        <v>15.73</v>
      </c>
      <c r="Y52" s="10">
        <v>16.55</v>
      </c>
      <c r="Z52" s="10">
        <v>15.67</v>
      </c>
      <c r="AA52" s="10">
        <v>16.43</v>
      </c>
      <c r="AB52" s="95">
        <v>29790900</v>
      </c>
      <c r="AC52" s="10">
        <v>16.43</v>
      </c>
      <c r="AE52" s="138">
        <f t="shared" si="4"/>
        <v>5.0511508951406547E-2</v>
      </c>
    </row>
    <row r="53" spans="2:31" ht="15" customHeight="1" x14ac:dyDescent="0.25">
      <c r="B53" s="532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590" t="s">
        <v>190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14.1858</v>
      </c>
      <c r="T53" s="136" t="s">
        <v>107</v>
      </c>
      <c r="U53" s="131">
        <v>26197426</v>
      </c>
      <c r="W53" s="133">
        <v>42604</v>
      </c>
      <c r="X53" s="10">
        <v>16.2</v>
      </c>
      <c r="Y53" s="10">
        <v>16.25</v>
      </c>
      <c r="Z53" s="10">
        <v>15.45</v>
      </c>
      <c r="AA53" s="10">
        <v>15.64</v>
      </c>
      <c r="AB53" s="95">
        <v>26338000</v>
      </c>
      <c r="AC53" s="10">
        <v>15.64</v>
      </c>
      <c r="AE53" s="138">
        <f t="shared" si="4"/>
        <v>-6.9047619047619024E-2</v>
      </c>
    </row>
    <row r="54" spans="2:31" x14ac:dyDescent="0.25">
      <c r="B54" s="532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590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14.058</v>
      </c>
      <c r="T54" s="136" t="s">
        <v>110</v>
      </c>
      <c r="U54" s="131">
        <v>16562400</v>
      </c>
      <c r="W54" s="133">
        <v>42601</v>
      </c>
      <c r="X54" s="10">
        <v>16.52</v>
      </c>
      <c r="Y54" s="10">
        <v>16.850000000000001</v>
      </c>
      <c r="Z54" s="10">
        <v>16.48</v>
      </c>
      <c r="AA54" s="10">
        <v>16.8</v>
      </c>
      <c r="AB54" s="95">
        <v>16932800</v>
      </c>
      <c r="AC54" s="10">
        <v>16.8</v>
      </c>
      <c r="AE54" s="138">
        <f t="shared" si="4"/>
        <v>7.194244604316502E-3</v>
      </c>
    </row>
    <row r="55" spans="2:31" x14ac:dyDescent="0.25">
      <c r="B55" s="532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590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13.930200000000001</v>
      </c>
      <c r="T55" s="136" t="s">
        <v>108</v>
      </c>
      <c r="U55" s="130" t="s">
        <v>628</v>
      </c>
      <c r="W55" s="133">
        <v>42600</v>
      </c>
      <c r="X55" s="10">
        <v>15.87</v>
      </c>
      <c r="Y55" s="10">
        <v>16.73</v>
      </c>
      <c r="Z55" s="10">
        <v>15.8</v>
      </c>
      <c r="AA55" s="10">
        <v>16.68</v>
      </c>
      <c r="AB55" s="95">
        <v>26906000</v>
      </c>
      <c r="AC55" s="10">
        <v>16.68</v>
      </c>
      <c r="AE55" s="138">
        <f t="shared" si="4"/>
        <v>6.2420382165605082E-2</v>
      </c>
    </row>
    <row r="56" spans="2:31" x14ac:dyDescent="0.25">
      <c r="B56" s="532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73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13.8024</v>
      </c>
      <c r="T56" s="136" t="s">
        <v>111</v>
      </c>
      <c r="U56" s="130" t="s">
        <v>129</v>
      </c>
      <c r="W56" s="133">
        <v>42599</v>
      </c>
      <c r="X56" s="10">
        <v>15.07</v>
      </c>
      <c r="Y56" s="10">
        <v>15.75</v>
      </c>
      <c r="Z56" s="10">
        <v>14.93</v>
      </c>
      <c r="AA56" s="10">
        <v>15.7</v>
      </c>
      <c r="AB56" s="95">
        <v>20862600</v>
      </c>
      <c r="AC56" s="10">
        <v>15.7</v>
      </c>
      <c r="AE56" s="138">
        <f t="shared" si="4"/>
        <v>3.4937376400790976E-2</v>
      </c>
    </row>
    <row r="57" spans="2:31" x14ac:dyDescent="0.25">
      <c r="B57" s="532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73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13.6746</v>
      </c>
      <c r="T57" s="136" t="s">
        <v>112</v>
      </c>
      <c r="U57" s="130">
        <v>-2.89</v>
      </c>
      <c r="W57" s="133">
        <v>42598</v>
      </c>
      <c r="X57" s="10">
        <v>15.12</v>
      </c>
      <c r="Y57" s="10">
        <v>15.25</v>
      </c>
      <c r="Z57" s="10">
        <v>14.71</v>
      </c>
      <c r="AA57" s="10">
        <v>15.17</v>
      </c>
      <c r="AB57" s="95">
        <v>18354900</v>
      </c>
      <c r="AC57" s="10">
        <v>15.17</v>
      </c>
      <c r="AE57" s="138">
        <f t="shared" si="4"/>
        <v>1.8120805369127524E-2</v>
      </c>
    </row>
    <row r="58" spans="2:31" x14ac:dyDescent="0.25">
      <c r="B58" s="532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73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13.546799999999999</v>
      </c>
      <c r="T58" s="136" t="s">
        <v>109</v>
      </c>
      <c r="U58" s="130" t="s">
        <v>450</v>
      </c>
      <c r="W58" s="133">
        <v>42597</v>
      </c>
      <c r="X58" s="10">
        <v>14.94</v>
      </c>
      <c r="Y58" s="10">
        <v>15.06</v>
      </c>
      <c r="Z58" s="10">
        <v>14.78</v>
      </c>
      <c r="AA58" s="10">
        <v>14.9</v>
      </c>
      <c r="AB58" s="95">
        <v>12045700</v>
      </c>
      <c r="AC58" s="10">
        <v>14.9</v>
      </c>
      <c r="AE58" s="138" t="e">
        <f t="shared" si="4"/>
        <v>#DIV/0!</v>
      </c>
    </row>
    <row r="59" spans="2:31" x14ac:dyDescent="0.25">
      <c r="B59" s="532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73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13.419</v>
      </c>
      <c r="W59" s="133">
        <v>42597</v>
      </c>
      <c r="X59" s="10" t="s">
        <v>157</v>
      </c>
      <c r="Y59" s="10"/>
      <c r="Z59" s="10"/>
      <c r="AA59" s="10"/>
      <c r="AB59" s="95"/>
      <c r="AC59" s="10"/>
      <c r="AE59" s="138">
        <f t="shared" si="4"/>
        <v>-1</v>
      </c>
    </row>
    <row r="60" spans="2:31" x14ac:dyDescent="0.25">
      <c r="B60" s="532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73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13.2912</v>
      </c>
      <c r="W60" s="133">
        <v>42594</v>
      </c>
      <c r="X60" s="10">
        <v>14.6</v>
      </c>
      <c r="Y60" s="10">
        <v>14.92</v>
      </c>
      <c r="Z60" s="10">
        <v>14.55</v>
      </c>
      <c r="AA60" s="10">
        <v>14.72</v>
      </c>
      <c r="AB60" s="95">
        <v>13455700</v>
      </c>
      <c r="AC60" s="10">
        <v>14.67</v>
      </c>
      <c r="AE60" s="138">
        <f t="shared" si="4"/>
        <v>1.8750000000000044E-2</v>
      </c>
    </row>
    <row r="61" spans="2:31" x14ac:dyDescent="0.25">
      <c r="B61" s="532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73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13.163399999999999</v>
      </c>
      <c r="W61" s="133">
        <v>42593</v>
      </c>
      <c r="X61" s="10">
        <v>14.15</v>
      </c>
      <c r="Y61" s="10">
        <v>14.63</v>
      </c>
      <c r="Z61" s="10">
        <v>14.01</v>
      </c>
      <c r="AA61" s="10">
        <v>14.45</v>
      </c>
      <c r="AB61" s="95">
        <v>13615900</v>
      </c>
      <c r="AC61" s="10">
        <v>14.4</v>
      </c>
      <c r="AE61" s="138">
        <f t="shared" si="4"/>
        <v>3.3740129217516124E-2</v>
      </c>
    </row>
    <row r="62" spans="2:31" x14ac:dyDescent="0.25">
      <c r="B62" s="532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589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13.035599999999999</v>
      </c>
      <c r="W62" s="133">
        <v>42592</v>
      </c>
      <c r="X62" s="10">
        <v>14.48</v>
      </c>
      <c r="Y62" s="10">
        <v>14.59</v>
      </c>
      <c r="Z62" s="10">
        <v>13.95</v>
      </c>
      <c r="AA62" s="10">
        <v>13.98</v>
      </c>
      <c r="AB62" s="95">
        <v>13540000</v>
      </c>
      <c r="AC62" s="10">
        <v>13.93</v>
      </c>
      <c r="AE62" s="138">
        <f t="shared" si="4"/>
        <v>-3.0619345859429381E-2</v>
      </c>
    </row>
    <row r="63" spans="2:31" x14ac:dyDescent="0.25">
      <c r="B63" s="532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589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12.9078</v>
      </c>
      <c r="W63" s="133">
        <v>42591</v>
      </c>
      <c r="X63" s="10">
        <v>14.35</v>
      </c>
      <c r="Y63" s="10">
        <v>14.52</v>
      </c>
      <c r="Z63" s="10">
        <v>14.22</v>
      </c>
      <c r="AA63" s="10">
        <v>14.42</v>
      </c>
      <c r="AB63" s="95">
        <v>15450800</v>
      </c>
      <c r="AC63" s="10">
        <v>14.37</v>
      </c>
      <c r="AE63" s="138">
        <f t="shared" si="4"/>
        <v>1.1971830985915588E-2</v>
      </c>
    </row>
    <row r="64" spans="2:31" x14ac:dyDescent="0.25">
      <c r="B64" s="532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73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12.78</v>
      </c>
      <c r="W64" s="133">
        <v>42590</v>
      </c>
      <c r="X64" s="10">
        <v>14.1</v>
      </c>
      <c r="Y64" s="10">
        <v>14.68</v>
      </c>
      <c r="Z64" s="10">
        <v>14.1</v>
      </c>
      <c r="AA64" s="10">
        <v>14.25</v>
      </c>
      <c r="AB64" s="95">
        <v>18392000</v>
      </c>
      <c r="AC64" s="10">
        <v>14.2</v>
      </c>
      <c r="AE64" s="138">
        <f t="shared" si="4"/>
        <v>2.7496382054992718E-2</v>
      </c>
    </row>
    <row r="65" spans="1:31" x14ac:dyDescent="0.25">
      <c r="B65" s="532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73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12.652199999999999</v>
      </c>
      <c r="W65" s="133">
        <v>42587</v>
      </c>
      <c r="X65" s="10">
        <v>13.47</v>
      </c>
      <c r="Y65" s="10">
        <v>13.94</v>
      </c>
      <c r="Z65" s="10">
        <v>13.3</v>
      </c>
      <c r="AA65" s="10">
        <v>13.87</v>
      </c>
      <c r="AB65" s="95">
        <v>16909700</v>
      </c>
      <c r="AC65" s="10">
        <v>13.82</v>
      </c>
      <c r="AE65" s="138">
        <f t="shared" si="4"/>
        <v>3.4431137724550975E-2</v>
      </c>
    </row>
    <row r="66" spans="1:31" x14ac:dyDescent="0.25">
      <c r="B66" s="532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73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12.5244</v>
      </c>
      <c r="W66" s="133">
        <v>42586</v>
      </c>
      <c r="X66" s="10">
        <v>13.6</v>
      </c>
      <c r="Y66" s="10">
        <v>13.9</v>
      </c>
      <c r="Z66" s="10">
        <v>13.05</v>
      </c>
      <c r="AA66" s="10">
        <v>13.41</v>
      </c>
      <c r="AB66" s="95">
        <v>24445600</v>
      </c>
      <c r="AC66" s="10">
        <v>13.36</v>
      </c>
      <c r="AE66" s="138">
        <f t="shared" si="4"/>
        <v>-7.4794315632009667E-4</v>
      </c>
    </row>
    <row r="67" spans="1:31" x14ac:dyDescent="0.25">
      <c r="B67" s="533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73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12.396599999999999</v>
      </c>
      <c r="W67" s="133">
        <v>42585</v>
      </c>
      <c r="X67" s="10">
        <v>12.97</v>
      </c>
      <c r="Y67" s="10">
        <v>13.42</v>
      </c>
      <c r="Z67" s="10">
        <v>12.67</v>
      </c>
      <c r="AA67" s="10">
        <v>13.42</v>
      </c>
      <c r="AB67" s="95">
        <v>17171100</v>
      </c>
      <c r="AC67" s="10">
        <v>13.37</v>
      </c>
      <c r="AE67" s="138">
        <f t="shared" si="4"/>
        <v>3.9657853810264321E-2</v>
      </c>
    </row>
    <row r="68" spans="1:31" x14ac:dyDescent="0.25">
      <c r="B68" s="532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73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12.268799999999999</v>
      </c>
      <c r="W68" s="133">
        <v>42584</v>
      </c>
      <c r="X68" s="10">
        <v>13.12</v>
      </c>
      <c r="Y68" s="10">
        <v>13.23</v>
      </c>
      <c r="Z68" s="10">
        <v>12.47</v>
      </c>
      <c r="AA68" s="10">
        <v>12.9</v>
      </c>
      <c r="AB68" s="95">
        <v>17163600</v>
      </c>
      <c r="AC68" s="10">
        <v>12.86</v>
      </c>
      <c r="AE68" s="138" t="e">
        <f>AC68/AC69-1</f>
        <v>#DIV/0!</v>
      </c>
    </row>
    <row r="69" spans="1:31" x14ac:dyDescent="0.25">
      <c r="B69" s="532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73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12.140999999999998</v>
      </c>
      <c r="W69" s="133" t="s">
        <v>121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32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73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12.013199999999999</v>
      </c>
    </row>
    <row r="71" spans="1:31" x14ac:dyDescent="0.25">
      <c r="B71" s="532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73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11.885400000000001</v>
      </c>
    </row>
    <row r="72" spans="1:31" x14ac:dyDescent="0.25">
      <c r="B72" s="532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73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11.7576</v>
      </c>
    </row>
    <row r="73" spans="1:31" x14ac:dyDescent="0.25">
      <c r="B73" s="532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589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11.629799999999999</v>
      </c>
    </row>
    <row r="74" spans="1:31" ht="15" customHeight="1" x14ac:dyDescent="0.25">
      <c r="B74" s="593" t="s">
        <v>185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589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11.501999999999999</v>
      </c>
    </row>
    <row r="75" spans="1:31" x14ac:dyDescent="0.25">
      <c r="B75" s="593"/>
      <c r="C75" s="7">
        <v>500</v>
      </c>
      <c r="D75" s="79">
        <v>6.75</v>
      </c>
      <c r="E75" s="44">
        <v>0</v>
      </c>
      <c r="F75" s="44">
        <f t="shared" si="10"/>
        <v>3375</v>
      </c>
      <c r="G75" s="473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11.3742</v>
      </c>
    </row>
    <row r="76" spans="1:31" x14ac:dyDescent="0.25">
      <c r="B76" s="593"/>
      <c r="C76" s="7">
        <v>300</v>
      </c>
      <c r="D76" s="79">
        <v>6.75</v>
      </c>
      <c r="E76" s="44">
        <v>0</v>
      </c>
      <c r="F76" s="44">
        <f t="shared" si="10"/>
        <v>2025</v>
      </c>
      <c r="G76" s="473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11.2464</v>
      </c>
    </row>
    <row r="77" spans="1:31" x14ac:dyDescent="0.25">
      <c r="B77" s="532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73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11.118599999999999</v>
      </c>
    </row>
    <row r="78" spans="1:31" x14ac:dyDescent="0.25">
      <c r="B78" s="532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73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10.9908</v>
      </c>
    </row>
    <row r="79" spans="1:31" x14ac:dyDescent="0.25">
      <c r="B79" s="532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73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10.863</v>
      </c>
    </row>
    <row r="80" spans="1:31" x14ac:dyDescent="0.25">
      <c r="A80" s="2"/>
      <c r="B80" s="532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73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32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73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32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73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32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73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32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73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32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73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32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73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32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73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32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73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591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73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592"/>
      <c r="C90" s="7">
        <v>500</v>
      </c>
      <c r="D90" s="79">
        <v>11.42</v>
      </c>
      <c r="E90" s="44">
        <v>0</v>
      </c>
      <c r="F90" s="44">
        <f t="shared" si="10"/>
        <v>5710</v>
      </c>
      <c r="G90" s="473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32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73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32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73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32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73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591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73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591"/>
      <c r="C95" s="7">
        <v>350</v>
      </c>
      <c r="D95" s="79">
        <v>11.22</v>
      </c>
      <c r="E95" s="44">
        <v>0</v>
      </c>
      <c r="F95" s="44">
        <f t="shared" si="10"/>
        <v>3927</v>
      </c>
      <c r="G95" s="473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593" t="s">
        <v>200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73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593"/>
      <c r="C97" s="7">
        <v>500</v>
      </c>
      <c r="D97" s="79">
        <v>11.01</v>
      </c>
      <c r="E97" s="44">
        <v>0</v>
      </c>
      <c r="F97" s="44">
        <f t="shared" si="10"/>
        <v>5505</v>
      </c>
      <c r="G97" s="473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593"/>
      <c r="C98" s="7">
        <v>500</v>
      </c>
      <c r="D98" s="79">
        <v>10.75</v>
      </c>
      <c r="E98" s="44">
        <v>0</v>
      </c>
      <c r="F98" s="44">
        <f t="shared" si="10"/>
        <v>5375</v>
      </c>
      <c r="G98" s="473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593"/>
      <c r="C99" s="7">
        <v>1000</v>
      </c>
      <c r="D99" s="79">
        <v>10.4</v>
      </c>
      <c r="E99" s="44">
        <v>0</v>
      </c>
      <c r="F99" s="44">
        <f t="shared" si="10"/>
        <v>10400</v>
      </c>
      <c r="G99" s="473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593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73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32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73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32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73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32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600" t="s">
        <v>240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32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600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32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600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32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73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32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73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32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72"/>
      <c r="H108" s="82"/>
      <c r="I108" s="79"/>
      <c r="J108" s="44"/>
      <c r="K108" s="44"/>
    </row>
    <row r="109" spans="2:14" x14ac:dyDescent="0.25">
      <c r="B109" s="532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72"/>
      <c r="H109" s="82"/>
      <c r="I109" s="79"/>
      <c r="J109" s="44"/>
      <c r="K109" s="44"/>
    </row>
    <row r="110" spans="2:14" x14ac:dyDescent="0.25">
      <c r="B110" s="532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72"/>
      <c r="H110" s="82"/>
      <c r="I110" s="79"/>
      <c r="J110" s="44"/>
      <c r="K110" s="44"/>
      <c r="N110" s="72"/>
    </row>
    <row r="111" spans="2:14" x14ac:dyDescent="0.25">
      <c r="B111" s="532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72"/>
      <c r="H111" s="82"/>
      <c r="I111" s="79"/>
      <c r="J111" s="44"/>
      <c r="K111" s="44"/>
    </row>
    <row r="112" spans="2:14" x14ac:dyDescent="0.25">
      <c r="B112" s="532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72"/>
      <c r="H112" s="82"/>
      <c r="I112" s="79"/>
      <c r="J112" s="44"/>
      <c r="K112" s="44"/>
    </row>
    <row r="113" spans="1:11" x14ac:dyDescent="0.25">
      <c r="A113" s="597" t="s">
        <v>206</v>
      </c>
      <c r="B113" s="532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72"/>
      <c r="H113" s="82"/>
      <c r="I113" s="79"/>
      <c r="J113" s="44"/>
      <c r="K113" s="44"/>
    </row>
    <row r="114" spans="1:11" x14ac:dyDescent="0.25">
      <c r="A114" s="597"/>
      <c r="B114" s="532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72"/>
      <c r="H114" s="82"/>
      <c r="I114" s="79"/>
      <c r="J114" s="44"/>
      <c r="K114" s="44"/>
    </row>
    <row r="115" spans="1:11" x14ac:dyDescent="0.25">
      <c r="A115" s="597"/>
      <c r="B115" s="532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72"/>
      <c r="H115" s="82"/>
      <c r="I115" s="79"/>
      <c r="J115" s="44"/>
      <c r="K115" s="44"/>
    </row>
    <row r="116" spans="1:11" x14ac:dyDescent="0.25">
      <c r="A116" s="597"/>
      <c r="B116" s="532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72"/>
      <c r="H116" s="82"/>
      <c r="I116" s="79"/>
      <c r="J116" s="44"/>
      <c r="K116" s="44"/>
    </row>
    <row r="117" spans="1:11" x14ac:dyDescent="0.25">
      <c r="B117" s="532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72"/>
      <c r="H117" s="82"/>
      <c r="I117" s="79"/>
      <c r="J117" s="44"/>
      <c r="K117" s="44"/>
    </row>
    <row r="118" spans="1:11" x14ac:dyDescent="0.25">
      <c r="B118" s="532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72"/>
      <c r="H118" s="82"/>
      <c r="I118" s="79"/>
      <c r="J118" s="44"/>
      <c r="K118" s="44"/>
    </row>
    <row r="119" spans="1:11" x14ac:dyDescent="0.25">
      <c r="B119" s="532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72"/>
      <c r="H119" s="82"/>
      <c r="I119" s="79"/>
      <c r="J119" s="44"/>
      <c r="K119" s="44"/>
    </row>
    <row r="120" spans="1:11" x14ac:dyDescent="0.25">
      <c r="A120" s="598" t="s">
        <v>211</v>
      </c>
      <c r="B120" s="532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72"/>
      <c r="H120" s="82"/>
      <c r="I120" s="79"/>
      <c r="J120" s="44"/>
      <c r="K120" s="44"/>
    </row>
    <row r="121" spans="1:11" x14ac:dyDescent="0.25">
      <c r="A121" s="598"/>
      <c r="B121" s="532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72"/>
      <c r="H121" s="82"/>
      <c r="I121" s="79"/>
      <c r="J121" s="44"/>
      <c r="K121" s="44"/>
    </row>
    <row r="122" spans="1:11" x14ac:dyDescent="0.25">
      <c r="A122" s="598"/>
      <c r="B122" s="532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72"/>
      <c r="H122" s="82"/>
      <c r="I122" s="79"/>
      <c r="J122" s="44"/>
      <c r="K122" s="44"/>
    </row>
    <row r="123" spans="1:11" x14ac:dyDescent="0.25">
      <c r="B123" s="532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72"/>
      <c r="H123" s="82"/>
      <c r="I123" s="79"/>
      <c r="J123" s="44"/>
      <c r="K123" s="44"/>
    </row>
    <row r="124" spans="1:11" x14ac:dyDescent="0.25">
      <c r="B124" s="532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72"/>
      <c r="H124" s="82"/>
      <c r="I124" s="79"/>
      <c r="J124" s="44"/>
      <c r="K124" s="44"/>
    </row>
    <row r="125" spans="1:11" x14ac:dyDescent="0.25">
      <c r="B125" s="532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72"/>
      <c r="H125" s="82"/>
      <c r="I125" s="79"/>
      <c r="J125" s="44"/>
      <c r="K125" s="44"/>
    </row>
    <row r="126" spans="1:11" x14ac:dyDescent="0.25">
      <c r="A126" s="597" t="s">
        <v>214</v>
      </c>
      <c r="B126" s="532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72"/>
      <c r="H126" s="82"/>
      <c r="I126" s="79"/>
      <c r="J126" s="44"/>
      <c r="K126" s="44"/>
    </row>
    <row r="127" spans="1:11" x14ac:dyDescent="0.25">
      <c r="A127" s="597"/>
      <c r="B127" s="532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72"/>
      <c r="H127" s="82"/>
      <c r="I127" s="79"/>
      <c r="J127" s="44"/>
      <c r="K127" s="44"/>
    </row>
    <row r="128" spans="1:11" x14ac:dyDescent="0.25">
      <c r="A128" s="597"/>
      <c r="B128" s="532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72"/>
      <c r="H128" s="82"/>
      <c r="I128" s="79"/>
      <c r="J128" s="44"/>
      <c r="K128" s="44"/>
    </row>
    <row r="129" spans="2:11" x14ac:dyDescent="0.25">
      <c r="B129" s="532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72"/>
      <c r="H129" s="82"/>
      <c r="I129" s="79"/>
      <c r="J129" s="44"/>
      <c r="K129" s="44"/>
    </row>
    <row r="130" spans="2:11" x14ac:dyDescent="0.25">
      <c r="B130" s="532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72"/>
      <c r="H130" s="82"/>
      <c r="I130" s="79"/>
      <c r="J130" s="44"/>
      <c r="K130" s="44"/>
    </row>
    <row r="131" spans="2:11" x14ac:dyDescent="0.25">
      <c r="B131" s="532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72"/>
      <c r="H131" s="82"/>
      <c r="I131" s="79"/>
      <c r="J131" s="44"/>
      <c r="K131" s="44"/>
    </row>
    <row r="132" spans="2:11" x14ac:dyDescent="0.25">
      <c r="B132" s="532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72"/>
      <c r="H132" s="82"/>
      <c r="I132" s="79"/>
      <c r="J132" s="44"/>
      <c r="K132" s="44"/>
    </row>
    <row r="133" spans="2:11" x14ac:dyDescent="0.25">
      <c r="B133" s="532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72"/>
      <c r="H133" s="82"/>
      <c r="I133" s="79"/>
      <c r="J133" s="44"/>
      <c r="K133" s="44"/>
    </row>
    <row r="134" spans="2:11" x14ac:dyDescent="0.25">
      <c r="B134" s="532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72"/>
      <c r="H134" s="82"/>
      <c r="I134" s="79"/>
      <c r="J134" s="44"/>
      <c r="K134" s="44"/>
    </row>
    <row r="135" spans="2:11" x14ac:dyDescent="0.25">
      <c r="B135" s="532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72"/>
      <c r="H135" s="82"/>
      <c r="I135" s="79"/>
      <c r="J135" s="44"/>
      <c r="K135" s="44"/>
    </row>
    <row r="136" spans="2:11" x14ac:dyDescent="0.25">
      <c r="B136" s="532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72"/>
      <c r="H136" s="82"/>
      <c r="I136" s="79"/>
      <c r="J136" s="44"/>
      <c r="K136" s="44"/>
    </row>
    <row r="137" spans="2:11" ht="15" customHeight="1" x14ac:dyDescent="0.25">
      <c r="B137" s="532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72"/>
      <c r="H137" s="82"/>
      <c r="I137" s="79"/>
      <c r="J137" s="44"/>
      <c r="K137" s="44"/>
    </row>
    <row r="138" spans="2:11" x14ac:dyDescent="0.25">
      <c r="B138" s="532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72"/>
      <c r="H138" s="82"/>
      <c r="I138" s="79"/>
      <c r="J138" s="44"/>
      <c r="K138" s="44"/>
    </row>
    <row r="139" spans="2:11" x14ac:dyDescent="0.25">
      <c r="B139" s="532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72"/>
      <c r="H139" s="82"/>
      <c r="I139" s="79"/>
      <c r="J139" s="44"/>
      <c r="K139" s="44"/>
    </row>
    <row r="140" spans="2:11" x14ac:dyDescent="0.25">
      <c r="B140" s="532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72"/>
      <c r="H140" s="82"/>
      <c r="I140" s="79"/>
      <c r="J140" s="44"/>
      <c r="K140" s="44"/>
    </row>
    <row r="141" spans="2:11" x14ac:dyDescent="0.25">
      <c r="B141" s="532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72"/>
      <c r="H141" s="82"/>
      <c r="I141" s="79"/>
      <c r="J141" s="44"/>
      <c r="K141" s="44"/>
    </row>
    <row r="142" spans="2:11" x14ac:dyDescent="0.25">
      <c r="B142" s="532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73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32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72"/>
      <c r="H143" s="82"/>
      <c r="I143" s="79"/>
      <c r="J143" s="44"/>
      <c r="K143" s="44"/>
    </row>
    <row r="144" spans="2:11" x14ac:dyDescent="0.25">
      <c r="B144" s="532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72"/>
      <c r="H144" s="82"/>
      <c r="I144" s="79"/>
      <c r="J144" s="44"/>
      <c r="K144" s="44"/>
    </row>
    <row r="145" spans="1:14" x14ac:dyDescent="0.25">
      <c r="B145" s="532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72"/>
      <c r="H145" s="82"/>
      <c r="I145" s="79"/>
      <c r="J145" s="44"/>
      <c r="K145" s="44"/>
    </row>
    <row r="146" spans="1:14" x14ac:dyDescent="0.25">
      <c r="B146" s="532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73">
        <v>42549</v>
      </c>
      <c r="H146" s="82">
        <v>1100</v>
      </c>
      <c r="I146" s="79">
        <v>14.68</v>
      </c>
      <c r="J146" s="44">
        <v>0.35</v>
      </c>
      <c r="K146" s="44">
        <f t="shared" ref="K146:K197" si="13">H146*I146-J146</f>
        <v>16147.65</v>
      </c>
    </row>
    <row r="147" spans="1:14" x14ac:dyDescent="0.25">
      <c r="B147" s="532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594" t="s">
        <v>255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32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594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32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594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34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594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27"/>
      <c r="B151" s="534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73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27"/>
      <c r="B152" s="532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73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27"/>
      <c r="B153" s="532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73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32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73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32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73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32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73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32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73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32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73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32">
        <v>42578</v>
      </c>
      <c r="C159" s="7">
        <v>200</v>
      </c>
      <c r="D159" s="79">
        <v>13.18</v>
      </c>
      <c r="E159" s="44">
        <v>0</v>
      </c>
      <c r="F159" s="44">
        <f t="shared" ref="F159:F161" si="16">C159*D159+E159</f>
        <v>2636</v>
      </c>
      <c r="G159" s="473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32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73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2" x14ac:dyDescent="0.25">
      <c r="B161" s="532">
        <v>42583</v>
      </c>
      <c r="C161" s="429">
        <v>20</v>
      </c>
      <c r="D161" s="79">
        <v>13.02</v>
      </c>
      <c r="E161" s="44">
        <v>0</v>
      </c>
      <c r="F161" s="44">
        <f t="shared" si="16"/>
        <v>260.39999999999998</v>
      </c>
      <c r="G161" s="473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2" x14ac:dyDescent="0.25">
      <c r="B162" s="532">
        <v>42583</v>
      </c>
      <c r="C162" s="7">
        <v>180</v>
      </c>
      <c r="D162" s="79">
        <v>13.02</v>
      </c>
      <c r="E162" s="44">
        <v>0</v>
      </c>
      <c r="F162" s="44">
        <f t="shared" ref="F162" si="17">C162*D162+E162</f>
        <v>2343.6</v>
      </c>
      <c r="G162" s="473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2" x14ac:dyDescent="0.25">
      <c r="B163" s="532">
        <v>42584</v>
      </c>
      <c r="C163" s="7">
        <v>120</v>
      </c>
      <c r="D163" s="79">
        <v>12.68</v>
      </c>
      <c r="E163" s="44">
        <v>0</v>
      </c>
      <c r="F163" s="44">
        <f t="shared" ref="F163:F164" si="18">C163*D163+E163</f>
        <v>1521.6</v>
      </c>
      <c r="G163" s="473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2" x14ac:dyDescent="0.25">
      <c r="B164" s="532">
        <v>42584</v>
      </c>
      <c r="C164" s="7">
        <v>80</v>
      </c>
      <c r="D164" s="79">
        <v>12.68</v>
      </c>
      <c r="E164" s="44">
        <v>0</v>
      </c>
      <c r="F164" s="44">
        <f t="shared" si="18"/>
        <v>1014.4</v>
      </c>
      <c r="G164" s="473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2" x14ac:dyDescent="0.25">
      <c r="B165" s="532">
        <v>42585</v>
      </c>
      <c r="C165" s="7">
        <v>242</v>
      </c>
      <c r="D165" s="79">
        <v>13.38</v>
      </c>
      <c r="E165" s="44">
        <v>0</v>
      </c>
      <c r="F165" s="44">
        <f t="shared" ref="F165:F171" si="19">C165*D165+E165</f>
        <v>3237.96</v>
      </c>
      <c r="G165" s="473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2" x14ac:dyDescent="0.25">
      <c r="B166" s="532">
        <v>42585</v>
      </c>
      <c r="C166" s="7">
        <v>158</v>
      </c>
      <c r="D166" s="79">
        <v>13.38</v>
      </c>
      <c r="E166" s="44">
        <v>0</v>
      </c>
      <c r="F166" s="44">
        <f t="shared" si="19"/>
        <v>2114.04</v>
      </c>
      <c r="G166" s="473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2" x14ac:dyDescent="0.25">
      <c r="B167" s="532">
        <v>42594</v>
      </c>
      <c r="C167" s="7">
        <v>500</v>
      </c>
      <c r="D167" s="79">
        <v>14.65</v>
      </c>
      <c r="E167" s="44">
        <v>0</v>
      </c>
      <c r="F167" s="44">
        <f t="shared" si="19"/>
        <v>7325</v>
      </c>
      <c r="G167" s="596" t="s">
        <v>303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2" x14ac:dyDescent="0.25">
      <c r="B168" s="532">
        <v>42599</v>
      </c>
      <c r="C168" s="7">
        <v>242</v>
      </c>
      <c r="D168" s="79">
        <v>14.95</v>
      </c>
      <c r="E168" s="44">
        <v>0</v>
      </c>
      <c r="F168" s="44">
        <f t="shared" si="19"/>
        <v>3617.8999999999996</v>
      </c>
      <c r="G168" s="596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2" x14ac:dyDescent="0.25">
      <c r="B169" s="532">
        <v>42599</v>
      </c>
      <c r="C169" s="7">
        <v>200</v>
      </c>
      <c r="D169" s="79">
        <v>14.95</v>
      </c>
      <c r="E169" s="44">
        <v>0</v>
      </c>
      <c r="F169" s="44">
        <f t="shared" si="19"/>
        <v>2990</v>
      </c>
      <c r="G169" s="596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2" x14ac:dyDescent="0.25">
      <c r="B170" s="532">
        <v>42599</v>
      </c>
      <c r="C170" s="7">
        <v>36</v>
      </c>
      <c r="D170" s="79">
        <v>14.95</v>
      </c>
      <c r="E170" s="44">
        <v>0</v>
      </c>
      <c r="F170" s="44">
        <f t="shared" si="19"/>
        <v>538.19999999999993</v>
      </c>
      <c r="G170" s="596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2" x14ac:dyDescent="0.25">
      <c r="B171" s="532">
        <v>42599</v>
      </c>
      <c r="C171" s="7">
        <v>22</v>
      </c>
      <c r="D171" s="79">
        <v>14.95</v>
      </c>
      <c r="E171" s="44">
        <v>0</v>
      </c>
      <c r="F171" s="44">
        <f t="shared" si="19"/>
        <v>328.9</v>
      </c>
      <c r="G171" s="473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2" x14ac:dyDescent="0.25">
      <c r="B172" s="532">
        <v>42604</v>
      </c>
      <c r="C172" s="7">
        <v>1000</v>
      </c>
      <c r="D172" s="79">
        <v>15.68</v>
      </c>
      <c r="E172" s="44">
        <v>0</v>
      </c>
      <c r="F172" s="44">
        <f t="shared" ref="F172:F218" si="20">C172*D172+E172</f>
        <v>15680</v>
      </c>
      <c r="G172" s="473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2" x14ac:dyDescent="0.25">
      <c r="B173" s="532">
        <v>42604</v>
      </c>
      <c r="C173" s="4">
        <v>500</v>
      </c>
      <c r="D173" s="240">
        <v>15.48</v>
      </c>
      <c r="E173" s="3">
        <v>0</v>
      </c>
      <c r="F173" s="3">
        <f t="shared" si="20"/>
        <v>7740</v>
      </c>
      <c r="G173" s="473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2" x14ac:dyDescent="0.25">
      <c r="B174" s="532">
        <v>42606</v>
      </c>
      <c r="C174" s="7">
        <v>178</v>
      </c>
      <c r="D174" s="79">
        <v>16.059999999999999</v>
      </c>
      <c r="E174" s="44">
        <v>0</v>
      </c>
      <c r="F174" s="44">
        <f t="shared" si="20"/>
        <v>2858.68</v>
      </c>
      <c r="G174" s="473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2" x14ac:dyDescent="0.25">
      <c r="B175" s="532">
        <v>42608</v>
      </c>
      <c r="C175" s="4">
        <v>500</v>
      </c>
      <c r="D175" s="240">
        <v>15.98</v>
      </c>
      <c r="E175" s="3">
        <v>0</v>
      </c>
      <c r="F175" s="3">
        <f t="shared" si="20"/>
        <v>7990</v>
      </c>
      <c r="G175" s="473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2" x14ac:dyDescent="0.25">
      <c r="B176" s="532">
        <v>42608</v>
      </c>
      <c r="C176" s="4">
        <v>500</v>
      </c>
      <c r="D176" s="240">
        <v>15.85</v>
      </c>
      <c r="E176" s="3">
        <v>0</v>
      </c>
      <c r="F176" s="3">
        <f t="shared" si="20"/>
        <v>7925</v>
      </c>
      <c r="G176" s="473">
        <v>42621</v>
      </c>
      <c r="H176" s="82">
        <v>500</v>
      </c>
      <c r="I176" s="79">
        <v>16.72</v>
      </c>
      <c r="J176" s="44">
        <v>0.18</v>
      </c>
      <c r="K176" s="44">
        <f t="shared" si="13"/>
        <v>8359.82</v>
      </c>
      <c r="L176" s="595" t="s">
        <v>329</v>
      </c>
    </row>
    <row r="177" spans="1:15" x14ac:dyDescent="0.25">
      <c r="B177" s="532">
        <v>42612</v>
      </c>
      <c r="C177" s="4">
        <v>500</v>
      </c>
      <c r="D177" s="240">
        <v>15.68</v>
      </c>
      <c r="E177" s="3">
        <v>0</v>
      </c>
      <c r="F177" s="3">
        <f t="shared" si="20"/>
        <v>7840</v>
      </c>
      <c r="G177" s="473">
        <v>42621</v>
      </c>
      <c r="H177" s="82">
        <v>500</v>
      </c>
      <c r="I177" s="79">
        <v>16.28</v>
      </c>
      <c r="J177" s="44">
        <v>0.18</v>
      </c>
      <c r="K177" s="44">
        <f t="shared" si="13"/>
        <v>8139.8200000000006</v>
      </c>
      <c r="L177" s="595"/>
    </row>
    <row r="178" spans="1:15" x14ac:dyDescent="0.25">
      <c r="B178" s="532">
        <v>42612</v>
      </c>
      <c r="C178" s="4">
        <v>500</v>
      </c>
      <c r="D178" s="240">
        <v>15.55</v>
      </c>
      <c r="E178" s="3">
        <v>0</v>
      </c>
      <c r="F178" s="3">
        <f t="shared" si="20"/>
        <v>7775</v>
      </c>
      <c r="G178" s="473">
        <v>42621</v>
      </c>
      <c r="H178" s="82">
        <v>220</v>
      </c>
      <c r="I178" s="79">
        <v>16.77</v>
      </c>
      <c r="J178" s="44">
        <v>0.08</v>
      </c>
      <c r="K178" s="44">
        <f t="shared" si="13"/>
        <v>3689.32</v>
      </c>
      <c r="L178" s="595"/>
      <c r="O178" s="2"/>
    </row>
    <row r="179" spans="1:15" x14ac:dyDescent="0.25">
      <c r="B179" s="532">
        <v>42613</v>
      </c>
      <c r="C179" s="4">
        <v>500</v>
      </c>
      <c r="D179" s="240">
        <v>15.244999999999999</v>
      </c>
      <c r="E179" s="3">
        <v>0</v>
      </c>
      <c r="F179" s="3">
        <f t="shared" si="20"/>
        <v>7622.5</v>
      </c>
      <c r="G179" s="473">
        <v>42625</v>
      </c>
      <c r="H179" s="82">
        <v>500</v>
      </c>
      <c r="I179" s="79">
        <v>15.5</v>
      </c>
      <c r="J179" s="44">
        <v>0.17</v>
      </c>
      <c r="K179" s="44">
        <f t="shared" si="13"/>
        <v>7749.83</v>
      </c>
    </row>
    <row r="180" spans="1:15" ht="15" customHeight="1" x14ac:dyDescent="0.25">
      <c r="B180" s="532">
        <v>42613</v>
      </c>
      <c r="C180" s="4">
        <v>500</v>
      </c>
      <c r="D180" s="240">
        <v>15.08</v>
      </c>
      <c r="E180" s="3">
        <v>0</v>
      </c>
      <c r="F180" s="3">
        <f t="shared" si="20"/>
        <v>7540</v>
      </c>
      <c r="G180" s="473">
        <v>42628</v>
      </c>
      <c r="H180" s="82">
        <v>300</v>
      </c>
      <c r="I180" s="79">
        <v>14.46</v>
      </c>
      <c r="J180" s="44">
        <v>0.09</v>
      </c>
      <c r="K180" s="44">
        <f t="shared" si="13"/>
        <v>4337.91</v>
      </c>
    </row>
    <row r="181" spans="1:15" x14ac:dyDescent="0.25">
      <c r="B181" s="535">
        <v>42622</v>
      </c>
      <c r="C181" s="7">
        <v>220</v>
      </c>
      <c r="D181" s="79">
        <v>16.25</v>
      </c>
      <c r="E181" s="44">
        <v>0</v>
      </c>
      <c r="F181" s="44">
        <f t="shared" si="20"/>
        <v>3575</v>
      </c>
      <c r="G181" s="473">
        <v>42634</v>
      </c>
      <c r="H181" s="82">
        <v>322</v>
      </c>
      <c r="I181" s="79">
        <v>14.28</v>
      </c>
      <c r="J181" s="44">
        <v>0.1</v>
      </c>
      <c r="K181" s="44">
        <f t="shared" si="13"/>
        <v>4598.0599999999995</v>
      </c>
    </row>
    <row r="182" spans="1:15" x14ac:dyDescent="0.25">
      <c r="B182" s="532">
        <v>42622</v>
      </c>
      <c r="C182" s="7">
        <v>500</v>
      </c>
      <c r="D182" s="79">
        <v>15.98</v>
      </c>
      <c r="E182" s="44">
        <v>0</v>
      </c>
      <c r="F182" s="44">
        <f t="shared" si="20"/>
        <v>7990</v>
      </c>
      <c r="G182" s="473">
        <v>42634</v>
      </c>
      <c r="H182" s="82">
        <v>400</v>
      </c>
      <c r="I182" s="79">
        <v>14.64</v>
      </c>
      <c r="J182" s="44">
        <v>0.13</v>
      </c>
      <c r="K182" s="44">
        <f t="shared" si="13"/>
        <v>5855.87</v>
      </c>
    </row>
    <row r="183" spans="1:15" x14ac:dyDescent="0.25">
      <c r="B183" s="532">
        <v>42622</v>
      </c>
      <c r="C183" s="7">
        <v>500</v>
      </c>
      <c r="D183" s="79">
        <v>15.75</v>
      </c>
      <c r="E183" s="44">
        <v>0</v>
      </c>
      <c r="F183" s="44">
        <f t="shared" si="20"/>
        <v>7875</v>
      </c>
      <c r="G183" s="473">
        <v>42639</v>
      </c>
      <c r="H183" s="82">
        <v>200</v>
      </c>
      <c r="I183" s="79">
        <v>14.72</v>
      </c>
      <c r="J183" s="44">
        <v>0.06</v>
      </c>
      <c r="K183" s="44">
        <f t="shared" si="13"/>
        <v>2943.94</v>
      </c>
    </row>
    <row r="184" spans="1:15" x14ac:dyDescent="0.25">
      <c r="B184" s="532">
        <v>42625</v>
      </c>
      <c r="C184" s="7">
        <v>500</v>
      </c>
      <c r="D184" s="79">
        <v>15.22</v>
      </c>
      <c r="E184" s="44">
        <v>0</v>
      </c>
      <c r="F184" s="44">
        <f t="shared" si="20"/>
        <v>7610</v>
      </c>
      <c r="G184" s="473">
        <v>42641</v>
      </c>
      <c r="H184" s="82">
        <v>300</v>
      </c>
      <c r="I184" s="79">
        <v>15.28</v>
      </c>
      <c r="J184" s="44">
        <v>0.1</v>
      </c>
      <c r="K184" s="44">
        <f t="shared" si="13"/>
        <v>4583.8999999999996</v>
      </c>
    </row>
    <row r="185" spans="1:15" ht="30" x14ac:dyDescent="0.25">
      <c r="A185" s="550" t="s">
        <v>341</v>
      </c>
      <c r="B185" s="535">
        <v>42626</v>
      </c>
      <c r="C185" s="7">
        <v>600</v>
      </c>
      <c r="D185" s="79">
        <v>14.91</v>
      </c>
      <c r="E185" s="44">
        <v>-3</v>
      </c>
      <c r="F185" s="44">
        <f t="shared" si="20"/>
        <v>8943</v>
      </c>
      <c r="G185" s="473">
        <v>42641</v>
      </c>
      <c r="H185" s="82">
        <v>400</v>
      </c>
      <c r="I185" s="79">
        <v>15.06</v>
      </c>
      <c r="J185" s="44">
        <v>0.13</v>
      </c>
      <c r="K185" s="44">
        <f t="shared" si="13"/>
        <v>6023.87</v>
      </c>
    </row>
    <row r="186" spans="1:15" x14ac:dyDescent="0.25">
      <c r="A186" s="550"/>
      <c r="B186" s="535">
        <v>42626</v>
      </c>
      <c r="C186" s="7">
        <v>400</v>
      </c>
      <c r="D186" s="79">
        <v>14.75</v>
      </c>
      <c r="E186" s="44">
        <v>0</v>
      </c>
      <c r="F186" s="44">
        <f t="shared" si="20"/>
        <v>5900</v>
      </c>
      <c r="G186" s="473">
        <v>42641</v>
      </c>
      <c r="H186" s="82">
        <v>322</v>
      </c>
      <c r="I186" s="79">
        <v>14.39</v>
      </c>
      <c r="J186" s="44">
        <v>0.1</v>
      </c>
      <c r="K186" s="44">
        <f t="shared" si="13"/>
        <v>4633.4799999999996</v>
      </c>
      <c r="N186" s="72"/>
    </row>
    <row r="187" spans="1:15" x14ac:dyDescent="0.25">
      <c r="A187" s="550"/>
      <c r="B187" s="535">
        <v>42626</v>
      </c>
      <c r="C187" s="7">
        <v>300</v>
      </c>
      <c r="D187" s="79">
        <v>14.48</v>
      </c>
      <c r="E187" s="44">
        <v>0</v>
      </c>
      <c r="F187" s="44">
        <f t="shared" si="20"/>
        <v>4344</v>
      </c>
      <c r="G187" s="473">
        <v>42641</v>
      </c>
      <c r="H187" s="82">
        <v>500</v>
      </c>
      <c r="I187" s="79">
        <v>14.26</v>
      </c>
      <c r="J187" s="44">
        <v>0.16</v>
      </c>
      <c r="K187" s="44">
        <f t="shared" si="13"/>
        <v>7129.84</v>
      </c>
    </row>
    <row r="188" spans="1:15" x14ac:dyDescent="0.25">
      <c r="A188" s="550"/>
      <c r="B188" s="535">
        <v>42626</v>
      </c>
      <c r="C188" s="7">
        <v>300</v>
      </c>
      <c r="D188" s="79">
        <v>14.25</v>
      </c>
      <c r="E188" s="44">
        <v>0</v>
      </c>
      <c r="F188" s="44">
        <f t="shared" si="20"/>
        <v>4275</v>
      </c>
      <c r="G188" s="473">
        <v>42642</v>
      </c>
      <c r="H188" s="82">
        <v>300</v>
      </c>
      <c r="I188" s="79">
        <v>15.28</v>
      </c>
      <c r="J188" s="44">
        <v>0.1</v>
      </c>
      <c r="K188" s="44">
        <f t="shared" si="13"/>
        <v>4583.8999999999996</v>
      </c>
    </row>
    <row r="189" spans="1:15" x14ac:dyDescent="0.25">
      <c r="A189" s="550"/>
      <c r="B189" s="532">
        <v>42627</v>
      </c>
      <c r="C189" s="7">
        <v>200</v>
      </c>
      <c r="D189" s="79">
        <v>14.02</v>
      </c>
      <c r="E189" s="44">
        <v>-1</v>
      </c>
      <c r="F189" s="44">
        <f t="shared" si="20"/>
        <v>2803</v>
      </c>
      <c r="G189" s="473">
        <v>42642</v>
      </c>
      <c r="H189" s="82">
        <v>700</v>
      </c>
      <c r="I189" s="79">
        <v>15.78</v>
      </c>
      <c r="J189" s="44">
        <v>0.24</v>
      </c>
      <c r="K189" s="44">
        <f t="shared" si="13"/>
        <v>11045.76</v>
      </c>
    </row>
    <row r="190" spans="1:15" x14ac:dyDescent="0.25">
      <c r="B190" s="535">
        <v>42628</v>
      </c>
      <c r="C190" s="7">
        <v>300</v>
      </c>
      <c r="D190" s="79">
        <v>14.3</v>
      </c>
      <c r="E190" s="44">
        <v>0</v>
      </c>
      <c r="F190" s="44">
        <f t="shared" si="20"/>
        <v>4290</v>
      </c>
      <c r="G190" s="473">
        <v>42642</v>
      </c>
      <c r="H190" s="82">
        <v>214</v>
      </c>
      <c r="I190" s="79">
        <v>15.98</v>
      </c>
      <c r="J190" s="44">
        <v>7.0000000000000007E-2</v>
      </c>
      <c r="K190" s="44">
        <f t="shared" si="13"/>
        <v>3419.65</v>
      </c>
    </row>
    <row r="191" spans="1:15" x14ac:dyDescent="0.25">
      <c r="B191" s="535">
        <v>42632</v>
      </c>
      <c r="C191" s="7">
        <v>200</v>
      </c>
      <c r="D191" s="79">
        <v>14.06</v>
      </c>
      <c r="E191" s="44">
        <v>0</v>
      </c>
      <c r="F191" s="44">
        <f t="shared" si="20"/>
        <v>2812</v>
      </c>
      <c r="G191" s="473">
        <v>42648</v>
      </c>
      <c r="H191" s="82">
        <v>1000</v>
      </c>
      <c r="I191" s="79">
        <v>16.079999999999998</v>
      </c>
      <c r="J191" s="44">
        <v>0.35</v>
      </c>
      <c r="K191" s="44">
        <f t="shared" si="13"/>
        <v>16079.649999999998</v>
      </c>
    </row>
    <row r="192" spans="1:15" x14ac:dyDescent="0.25">
      <c r="B192" s="535">
        <v>42633</v>
      </c>
      <c r="C192" s="7">
        <v>200</v>
      </c>
      <c r="D192" s="79">
        <v>14.11</v>
      </c>
      <c r="E192" s="44">
        <v>0</v>
      </c>
      <c r="F192" s="44">
        <f t="shared" si="20"/>
        <v>2822</v>
      </c>
      <c r="G192" s="473">
        <v>42648</v>
      </c>
      <c r="H192" s="82">
        <v>500</v>
      </c>
      <c r="I192" s="79">
        <v>16.38</v>
      </c>
      <c r="J192" s="44">
        <v>0.18</v>
      </c>
      <c r="K192" s="44">
        <f t="shared" si="13"/>
        <v>8189.8199999999988</v>
      </c>
    </row>
    <row r="193" spans="1:11" x14ac:dyDescent="0.25">
      <c r="B193" s="535">
        <v>42633</v>
      </c>
      <c r="C193" s="7">
        <v>122</v>
      </c>
      <c r="D193" s="79">
        <v>14.1</v>
      </c>
      <c r="E193" s="44">
        <v>0</v>
      </c>
      <c r="F193" s="44">
        <f t="shared" si="20"/>
        <v>1720.2</v>
      </c>
      <c r="G193" s="473">
        <v>42649</v>
      </c>
      <c r="H193" s="82">
        <v>500</v>
      </c>
      <c r="I193" s="79">
        <v>16.16</v>
      </c>
      <c r="J193" s="44">
        <v>0.18</v>
      </c>
      <c r="K193" s="44">
        <f t="shared" si="13"/>
        <v>8079.82</v>
      </c>
    </row>
    <row r="194" spans="1:11" x14ac:dyDescent="0.25">
      <c r="B194" s="535">
        <v>42636</v>
      </c>
      <c r="C194" s="7">
        <v>200</v>
      </c>
      <c r="D194" s="79">
        <v>14.38</v>
      </c>
      <c r="E194" s="44">
        <v>0</v>
      </c>
      <c r="F194" s="44">
        <f t="shared" si="20"/>
        <v>2876</v>
      </c>
      <c r="G194" s="473">
        <v>42671</v>
      </c>
      <c r="H194" s="82">
        <v>1000</v>
      </c>
      <c r="I194" s="79">
        <v>14.22</v>
      </c>
      <c r="J194" s="44">
        <v>0.31</v>
      </c>
      <c r="K194" s="44">
        <f t="shared" si="13"/>
        <v>14219.69</v>
      </c>
    </row>
    <row r="195" spans="1:11" x14ac:dyDescent="0.25">
      <c r="B195" s="535">
        <v>42639</v>
      </c>
      <c r="C195" s="7">
        <v>200</v>
      </c>
      <c r="D195" s="79">
        <v>14.5</v>
      </c>
      <c r="E195" s="44">
        <v>0</v>
      </c>
      <c r="F195" s="44">
        <f t="shared" si="20"/>
        <v>2900</v>
      </c>
      <c r="G195" s="473">
        <v>42674</v>
      </c>
      <c r="H195" s="82">
        <v>300</v>
      </c>
      <c r="I195" s="79">
        <v>13.42</v>
      </c>
      <c r="J195" s="44">
        <v>0.09</v>
      </c>
      <c r="K195" s="44">
        <f t="shared" si="13"/>
        <v>4025.91</v>
      </c>
    </row>
    <row r="196" spans="1:11" x14ac:dyDescent="0.25">
      <c r="B196" s="535">
        <v>42639</v>
      </c>
      <c r="C196" s="7">
        <v>200</v>
      </c>
      <c r="D196" s="79">
        <v>14.38</v>
      </c>
      <c r="E196" s="44">
        <v>0</v>
      </c>
      <c r="F196" s="44">
        <f t="shared" si="20"/>
        <v>2876</v>
      </c>
      <c r="G196" s="473">
        <v>42674</v>
      </c>
      <c r="H196" s="82">
        <v>200</v>
      </c>
      <c r="I196" s="79">
        <v>13.25</v>
      </c>
      <c r="J196" s="44">
        <v>-0.74</v>
      </c>
      <c r="K196" s="44">
        <f t="shared" si="13"/>
        <v>2650.74</v>
      </c>
    </row>
    <row r="197" spans="1:11" x14ac:dyDescent="0.25">
      <c r="B197" s="535">
        <v>42640</v>
      </c>
      <c r="C197" s="7">
        <v>322</v>
      </c>
      <c r="D197" s="79">
        <v>13.97</v>
      </c>
      <c r="E197" s="44">
        <v>0</v>
      </c>
      <c r="F197" s="44">
        <f t="shared" si="20"/>
        <v>4498.34</v>
      </c>
      <c r="G197" s="473">
        <v>42676</v>
      </c>
      <c r="H197" s="82">
        <v>200</v>
      </c>
      <c r="I197" s="79">
        <v>13.05</v>
      </c>
      <c r="J197" s="44">
        <v>0.06</v>
      </c>
      <c r="K197" s="44">
        <f t="shared" si="13"/>
        <v>2609.94</v>
      </c>
    </row>
    <row r="198" spans="1:11" x14ac:dyDescent="0.25">
      <c r="B198" s="535">
        <v>42641</v>
      </c>
      <c r="C198" s="7">
        <v>300</v>
      </c>
      <c r="D198" s="79">
        <v>14.02</v>
      </c>
      <c r="E198" s="44">
        <v>-1.26</v>
      </c>
      <c r="F198" s="44">
        <f t="shared" si="20"/>
        <v>4204.74</v>
      </c>
    </row>
    <row r="199" spans="1:11" x14ac:dyDescent="0.25">
      <c r="B199" s="535">
        <v>42641</v>
      </c>
      <c r="C199" s="7">
        <v>200</v>
      </c>
      <c r="D199" s="79">
        <v>14.17</v>
      </c>
      <c r="E199" s="44">
        <v>0</v>
      </c>
      <c r="F199" s="44">
        <f t="shared" si="20"/>
        <v>2834</v>
      </c>
    </row>
    <row r="200" spans="1:11" x14ac:dyDescent="0.25">
      <c r="B200" s="535">
        <v>42642</v>
      </c>
      <c r="C200" s="7">
        <v>414</v>
      </c>
      <c r="D200" s="79">
        <v>15.66</v>
      </c>
      <c r="E200" s="44">
        <v>0</v>
      </c>
      <c r="F200" s="44">
        <f t="shared" si="20"/>
        <v>6483.24</v>
      </c>
    </row>
    <row r="201" spans="1:11" ht="15" customHeight="1" x14ac:dyDescent="0.25">
      <c r="A201" s="599" t="s">
        <v>372</v>
      </c>
      <c r="B201" s="536">
        <v>42647</v>
      </c>
      <c r="C201" s="4">
        <v>500</v>
      </c>
      <c r="D201" s="240">
        <v>15.86</v>
      </c>
      <c r="E201" s="3">
        <v>0</v>
      </c>
      <c r="F201" s="3">
        <f t="shared" si="20"/>
        <v>7930</v>
      </c>
    </row>
    <row r="202" spans="1:11" x14ac:dyDescent="0.25">
      <c r="A202" s="599"/>
      <c r="B202" s="536">
        <v>42647</v>
      </c>
      <c r="C202" s="4">
        <v>500</v>
      </c>
      <c r="D202" s="80">
        <v>15.62</v>
      </c>
      <c r="E202" s="2">
        <v>0</v>
      </c>
      <c r="F202" s="2">
        <f t="shared" si="20"/>
        <v>7810</v>
      </c>
    </row>
    <row r="203" spans="1:11" x14ac:dyDescent="0.25">
      <c r="A203" s="599"/>
      <c r="B203" s="536">
        <v>42649</v>
      </c>
      <c r="C203" s="4">
        <v>500</v>
      </c>
      <c r="D203" s="80">
        <v>15.97</v>
      </c>
      <c r="E203" s="2">
        <v>0</v>
      </c>
      <c r="F203" s="2">
        <f t="shared" si="20"/>
        <v>7985</v>
      </c>
    </row>
    <row r="204" spans="1:11" x14ac:dyDescent="0.25">
      <c r="A204" s="599"/>
      <c r="B204" s="536">
        <v>42649</v>
      </c>
      <c r="C204" s="4">
        <v>500</v>
      </c>
      <c r="D204" s="80">
        <v>15.84</v>
      </c>
      <c r="E204" s="2">
        <v>0</v>
      </c>
      <c r="F204" s="2">
        <f t="shared" si="20"/>
        <v>7920</v>
      </c>
    </row>
    <row r="205" spans="1:11" x14ac:dyDescent="0.25">
      <c r="B205" s="536">
        <v>42649</v>
      </c>
      <c r="C205" s="7">
        <v>500</v>
      </c>
      <c r="D205" s="79">
        <v>16.079999999999998</v>
      </c>
      <c r="E205" s="44">
        <v>0</v>
      </c>
      <c r="F205" s="44">
        <f t="shared" si="20"/>
        <v>8039.9999999999991</v>
      </c>
    </row>
    <row r="206" spans="1:11" x14ac:dyDescent="0.25">
      <c r="B206" s="536">
        <v>42650</v>
      </c>
      <c r="C206" s="4">
        <v>300</v>
      </c>
      <c r="D206" s="80">
        <v>15.75</v>
      </c>
      <c r="E206" s="2">
        <v>0</v>
      </c>
      <c r="F206" s="2">
        <f t="shared" si="20"/>
        <v>4725</v>
      </c>
    </row>
    <row r="207" spans="1:11" x14ac:dyDescent="0.25">
      <c r="B207" s="536">
        <v>42650</v>
      </c>
      <c r="C207" s="4">
        <v>300</v>
      </c>
      <c r="D207" s="80">
        <v>15.58</v>
      </c>
      <c r="E207" s="2">
        <v>0</v>
      </c>
      <c r="F207" s="2">
        <f t="shared" si="20"/>
        <v>4674</v>
      </c>
    </row>
    <row r="208" spans="1:11" x14ac:dyDescent="0.25">
      <c r="B208" s="536">
        <v>42653</v>
      </c>
      <c r="C208" s="4">
        <v>400</v>
      </c>
      <c r="D208" s="80">
        <v>15.72</v>
      </c>
      <c r="E208" s="2">
        <v>0</v>
      </c>
      <c r="F208" s="2">
        <f t="shared" si="20"/>
        <v>6288</v>
      </c>
    </row>
    <row r="209" spans="1:6" x14ac:dyDescent="0.25">
      <c r="B209" s="536">
        <v>42655</v>
      </c>
      <c r="C209" s="4">
        <v>322</v>
      </c>
      <c r="D209" s="80">
        <v>15.48</v>
      </c>
      <c r="E209" s="2">
        <v>0</v>
      </c>
      <c r="F209" s="2">
        <f t="shared" si="20"/>
        <v>4984.5600000000004</v>
      </c>
    </row>
    <row r="210" spans="1:6" ht="15" customHeight="1" x14ac:dyDescent="0.25">
      <c r="A210" s="599" t="s">
        <v>398</v>
      </c>
      <c r="B210" s="536">
        <v>42668</v>
      </c>
      <c r="C210" s="4">
        <v>500</v>
      </c>
      <c r="D210" s="80">
        <v>14.26</v>
      </c>
      <c r="E210" s="2">
        <v>-2.5</v>
      </c>
      <c r="F210" s="2">
        <f t="shared" si="20"/>
        <v>7127.5</v>
      </c>
    </row>
    <row r="211" spans="1:6" x14ac:dyDescent="0.25">
      <c r="A211" s="599"/>
      <c r="B211" s="536">
        <v>42668</v>
      </c>
      <c r="C211" s="7">
        <v>500</v>
      </c>
      <c r="D211" s="79">
        <v>14.16</v>
      </c>
      <c r="E211" s="44">
        <v>0</v>
      </c>
      <c r="F211" s="44">
        <f t="shared" si="20"/>
        <v>7080</v>
      </c>
    </row>
    <row r="212" spans="1:6" x14ac:dyDescent="0.25">
      <c r="A212" s="599"/>
      <c r="B212" s="536">
        <v>42670</v>
      </c>
      <c r="C212" s="7">
        <v>500</v>
      </c>
      <c r="D212" s="79">
        <v>14.18</v>
      </c>
      <c r="E212" s="44">
        <v>0</v>
      </c>
      <c r="F212" s="44">
        <f t="shared" si="20"/>
        <v>7090</v>
      </c>
    </row>
    <row r="213" spans="1:6" x14ac:dyDescent="0.25">
      <c r="A213" s="599"/>
      <c r="B213" s="536">
        <v>42670</v>
      </c>
      <c r="C213" s="4">
        <v>500</v>
      </c>
      <c r="D213" s="80">
        <v>14.05</v>
      </c>
      <c r="E213" s="2">
        <v>0</v>
      </c>
      <c r="F213" s="2">
        <f t="shared" si="20"/>
        <v>7025</v>
      </c>
    </row>
    <row r="214" spans="1:6" x14ac:dyDescent="0.25">
      <c r="A214" s="584"/>
      <c r="B214" s="536">
        <v>42670</v>
      </c>
      <c r="C214" s="4">
        <v>500</v>
      </c>
      <c r="D214" s="80">
        <v>13.88</v>
      </c>
      <c r="E214" s="2">
        <v>0</v>
      </c>
      <c r="F214" s="2">
        <f t="shared" si="20"/>
        <v>6940</v>
      </c>
    </row>
    <row r="215" spans="1:6" x14ac:dyDescent="0.25">
      <c r="B215" s="536">
        <v>42671</v>
      </c>
      <c r="C215" s="4">
        <v>1000</v>
      </c>
      <c r="D215" s="80">
        <v>14.15</v>
      </c>
      <c r="E215" s="2">
        <v>0</v>
      </c>
      <c r="F215" s="2">
        <f t="shared" si="20"/>
        <v>14150</v>
      </c>
    </row>
    <row r="216" spans="1:6" x14ac:dyDescent="0.25">
      <c r="B216" s="536">
        <v>42674</v>
      </c>
      <c r="C216" s="7">
        <v>300</v>
      </c>
      <c r="D216" s="79">
        <v>13.28</v>
      </c>
      <c r="E216" s="44">
        <v>-1.5</v>
      </c>
      <c r="F216" s="44">
        <f t="shared" si="20"/>
        <v>3982.5</v>
      </c>
    </row>
    <row r="217" spans="1:6" x14ac:dyDescent="0.25">
      <c r="B217" s="536">
        <v>42674</v>
      </c>
      <c r="C217" s="7">
        <v>200</v>
      </c>
      <c r="D217" s="79">
        <v>13.15</v>
      </c>
      <c r="E217" s="44">
        <v>0.02</v>
      </c>
      <c r="F217" s="44">
        <f t="shared" si="20"/>
        <v>2630.02</v>
      </c>
    </row>
    <row r="218" spans="1:6" x14ac:dyDescent="0.25">
      <c r="B218" s="536">
        <v>42676</v>
      </c>
      <c r="C218" s="7">
        <v>200</v>
      </c>
      <c r="D218" s="79">
        <v>12.89</v>
      </c>
      <c r="E218" s="44">
        <v>0</v>
      </c>
      <c r="F218" s="44">
        <f t="shared" si="20"/>
        <v>2578</v>
      </c>
    </row>
    <row r="231" spans="1:13" x14ac:dyDescent="0.25">
      <c r="A231" s="32" t="s">
        <v>81</v>
      </c>
      <c r="B231" s="537"/>
      <c r="C231" s="73">
        <f>SUM(C2:C230)</f>
        <v>124812</v>
      </c>
      <c r="D231" s="18"/>
      <c r="E231" s="18"/>
      <c r="F231" s="18">
        <f>SUM(F2:F230)</f>
        <v>1750456.3389999999</v>
      </c>
      <c r="G231" s="14"/>
      <c r="H231" s="73">
        <f>SUM(H2:H230)</f>
        <v>112312</v>
      </c>
      <c r="I231" s="81"/>
      <c r="J231" s="18"/>
      <c r="K231" s="18">
        <f>SUM(K2:K230)</f>
        <v>1554094.8200000015</v>
      </c>
      <c r="L231" s="14"/>
      <c r="M231" s="18">
        <f>SUM(M2:M12)</f>
        <v>2252.2000000000003</v>
      </c>
    </row>
    <row r="232" spans="1:13" ht="15.75" thickBot="1" x14ac:dyDescent="0.3">
      <c r="A232" s="359" t="s">
        <v>201</v>
      </c>
      <c r="B232" s="538"/>
      <c r="C232" s="361">
        <f>SumByColor($A$232, C2:C230)</f>
        <v>112112</v>
      </c>
      <c r="D232" s="361"/>
      <c r="E232" s="361"/>
      <c r="F232" s="362">
        <f>SumByColor($A$232, F2:F230)</f>
        <v>1550446</v>
      </c>
      <c r="G232" s="361"/>
      <c r="H232" s="361">
        <f>SumByColor($A$232, H2:H230)</f>
        <v>112112</v>
      </c>
      <c r="I232" s="361"/>
      <c r="J232" s="362"/>
      <c r="K232" s="362">
        <f>SumByColor($A$232, K2:K230)</f>
        <v>1551505</v>
      </c>
      <c r="L232" s="361"/>
      <c r="M232" s="362">
        <f>SumByColor($A$232, M2:M230)</f>
        <v>2252</v>
      </c>
    </row>
    <row r="234" spans="1:13" x14ac:dyDescent="0.25">
      <c r="B234" s="539" t="s">
        <v>114</v>
      </c>
      <c r="C234" s="191" t="s">
        <v>149</v>
      </c>
      <c r="D234" s="199" t="s">
        <v>148</v>
      </c>
      <c r="E234" s="194" t="s">
        <v>150</v>
      </c>
      <c r="F234" s="195" t="s">
        <v>65</v>
      </c>
      <c r="G234" s="229" t="s">
        <v>154</v>
      </c>
      <c r="H234" s="195" t="s">
        <v>88</v>
      </c>
      <c r="I234" s="229" t="s">
        <v>158</v>
      </c>
    </row>
    <row r="235" spans="1:13" x14ac:dyDescent="0.25">
      <c r="B235" s="157">
        <v>42305</v>
      </c>
      <c r="C235" s="10">
        <v>2000</v>
      </c>
      <c r="D235" s="242">
        <v>34.06</v>
      </c>
      <c r="E235" s="40">
        <v>17.68</v>
      </c>
      <c r="F235" s="40">
        <v>-32767.45</v>
      </c>
      <c r="G235" s="40">
        <f t="shared" ref="G235:G241" si="21">IF(C235=0, 0,D235*C235)</f>
        <v>68120</v>
      </c>
      <c r="H235" s="232">
        <f t="shared" ref="H235:H241" si="22">IF(C235=0, D235, (E235-D235)/D235)</f>
        <v>-0.48091603053435117</v>
      </c>
      <c r="I235" s="40"/>
    </row>
    <row r="236" spans="1:13" x14ac:dyDescent="0.25">
      <c r="B236" s="157">
        <v>42307</v>
      </c>
      <c r="C236" s="10">
        <v>0</v>
      </c>
      <c r="D236" s="242" t="s">
        <v>129</v>
      </c>
      <c r="E236" s="40">
        <v>17.55</v>
      </c>
      <c r="F236" s="40">
        <v>-30722.2</v>
      </c>
      <c r="G236" s="40">
        <f t="shared" si="21"/>
        <v>0</v>
      </c>
      <c r="H236" s="232" t="str">
        <f t="shared" si="22"/>
        <v>N/A</v>
      </c>
      <c r="I236" s="40"/>
    </row>
    <row r="237" spans="1:13" x14ac:dyDescent="0.25">
      <c r="B237" s="157">
        <v>42310</v>
      </c>
      <c r="C237" s="10">
        <v>0</v>
      </c>
      <c r="D237" s="242" t="s">
        <v>129</v>
      </c>
      <c r="E237" s="40">
        <v>19.010000000000002</v>
      </c>
      <c r="F237" s="40">
        <v>-30693.25</v>
      </c>
      <c r="G237" s="40">
        <f t="shared" si="21"/>
        <v>0</v>
      </c>
      <c r="H237" s="232" t="str">
        <f t="shared" si="22"/>
        <v>N/A</v>
      </c>
      <c r="I237" s="40"/>
    </row>
    <row r="238" spans="1:13" x14ac:dyDescent="0.25">
      <c r="B238" s="157">
        <v>42314</v>
      </c>
      <c r="C238" s="10">
        <v>2500</v>
      </c>
      <c r="D238" s="242">
        <v>30.24</v>
      </c>
      <c r="E238" s="40">
        <v>18.29</v>
      </c>
      <c r="F238" s="40">
        <v>-29878.25</v>
      </c>
      <c r="G238" s="40">
        <f t="shared" si="21"/>
        <v>75600</v>
      </c>
      <c r="H238" s="232">
        <f t="shared" si="22"/>
        <v>-0.39517195767195767</v>
      </c>
      <c r="I238" s="40"/>
    </row>
    <row r="239" spans="1:13" x14ac:dyDescent="0.25">
      <c r="B239" s="157">
        <v>42318</v>
      </c>
      <c r="C239" s="10">
        <v>0</v>
      </c>
      <c r="D239" s="242" t="s">
        <v>129</v>
      </c>
      <c r="E239" s="40">
        <v>18.78</v>
      </c>
      <c r="F239" s="40">
        <v>-28604.09</v>
      </c>
      <c r="G239" s="40">
        <f t="shared" si="21"/>
        <v>0</v>
      </c>
      <c r="H239" s="232" t="str">
        <f t="shared" si="22"/>
        <v>N/A</v>
      </c>
      <c r="I239" s="40"/>
    </row>
    <row r="240" spans="1:13" x14ac:dyDescent="0.25">
      <c r="B240" s="157">
        <v>42328</v>
      </c>
      <c r="C240" s="10">
        <v>3078</v>
      </c>
      <c r="D240" s="242">
        <v>26.76</v>
      </c>
      <c r="E240" s="40">
        <v>17.440000000000001</v>
      </c>
      <c r="F240" s="40">
        <v>-28696.448999999906</v>
      </c>
      <c r="G240" s="40">
        <f t="shared" si="21"/>
        <v>82367.28</v>
      </c>
      <c r="H240" s="232">
        <f t="shared" si="22"/>
        <v>-0.34828101644245141</v>
      </c>
      <c r="I240" s="40"/>
    </row>
    <row r="241" spans="2:9" x14ac:dyDescent="0.25">
      <c r="B241" s="157">
        <v>42331</v>
      </c>
      <c r="C241" s="10">
        <v>0</v>
      </c>
      <c r="D241" s="242" t="s">
        <v>129</v>
      </c>
      <c r="E241" s="40">
        <v>17.53</v>
      </c>
      <c r="F241" s="40">
        <v>-28051.068999999901</v>
      </c>
      <c r="G241" s="40">
        <f t="shared" si="21"/>
        <v>0</v>
      </c>
      <c r="H241" s="232" t="str">
        <f t="shared" si="22"/>
        <v>N/A</v>
      </c>
      <c r="I241" s="40"/>
    </row>
    <row r="242" spans="2:9" x14ac:dyDescent="0.25">
      <c r="B242" s="157">
        <v>42335</v>
      </c>
      <c r="C242" s="10">
        <v>3078</v>
      </c>
      <c r="D242" s="242">
        <v>26.85</v>
      </c>
      <c r="E242" s="40">
        <v>17.73</v>
      </c>
      <c r="F242" s="40">
        <f>C242*(E242-D242)</f>
        <v>-28071.360000000004</v>
      </c>
      <c r="G242" s="40">
        <f>D242*C242</f>
        <v>82644.3</v>
      </c>
      <c r="H242" s="231">
        <f>(E242-D242)/D242</f>
        <v>-0.33966480446927377</v>
      </c>
      <c r="I242" s="40"/>
    </row>
    <row r="243" spans="2:9" x14ac:dyDescent="0.25">
      <c r="B243" s="157">
        <v>42335</v>
      </c>
      <c r="C243" s="10">
        <v>3578</v>
      </c>
      <c r="D243" s="242">
        <v>25.55</v>
      </c>
      <c r="E243" s="40">
        <v>17.440000000000001</v>
      </c>
      <c r="F243" s="40">
        <f t="shared" ref="F243:F274" si="23">C243*(E243-D243)</f>
        <v>-29017.579999999998</v>
      </c>
      <c r="G243" s="40">
        <f t="shared" ref="G243:G272" si="24">D243*C243</f>
        <v>91417.900000000009</v>
      </c>
      <c r="H243" s="231">
        <f t="shared" ref="H243:H272" si="25">(E243-D243)/D243</f>
        <v>-0.31741682974559682</v>
      </c>
      <c r="I243" s="40"/>
    </row>
    <row r="244" spans="2:9" x14ac:dyDescent="0.25">
      <c r="B244" s="157">
        <v>42340</v>
      </c>
      <c r="C244" s="10">
        <v>4178</v>
      </c>
      <c r="D244" s="242">
        <v>24.29</v>
      </c>
      <c r="E244" s="40">
        <v>16.670000000000002</v>
      </c>
      <c r="F244" s="40">
        <f t="shared" si="23"/>
        <v>-31836.35999999999</v>
      </c>
      <c r="G244" s="40">
        <f t="shared" si="24"/>
        <v>101483.62</v>
      </c>
      <c r="H244" s="231">
        <f t="shared" si="25"/>
        <v>-0.31370934540963352</v>
      </c>
      <c r="I244" s="40"/>
    </row>
    <row r="245" spans="2:9" x14ac:dyDescent="0.25">
      <c r="B245" s="157">
        <v>42342</v>
      </c>
      <c r="C245" s="10">
        <v>4678</v>
      </c>
      <c r="D245" s="242">
        <v>23.39</v>
      </c>
      <c r="E245" s="40">
        <v>16.12</v>
      </c>
      <c r="F245" s="40">
        <f t="shared" si="23"/>
        <v>-34009.06</v>
      </c>
      <c r="G245" s="40">
        <f t="shared" si="24"/>
        <v>109418.42</v>
      </c>
      <c r="H245" s="231">
        <f t="shared" si="25"/>
        <v>-0.31081658828559211</v>
      </c>
      <c r="I245" s="40"/>
    </row>
    <row r="246" spans="2:9" x14ac:dyDescent="0.25">
      <c r="B246" s="157">
        <v>42342</v>
      </c>
      <c r="C246" s="10">
        <v>4178</v>
      </c>
      <c r="D246" s="242">
        <v>24.26</v>
      </c>
      <c r="E246" s="40">
        <v>16.12</v>
      </c>
      <c r="F246" s="40">
        <f t="shared" si="23"/>
        <v>-34008.920000000006</v>
      </c>
      <c r="G246" s="40">
        <f t="shared" si="24"/>
        <v>101358.28000000001</v>
      </c>
      <c r="H246" s="231">
        <f t="shared" si="25"/>
        <v>-0.33553173948887055</v>
      </c>
      <c r="I246" s="40"/>
    </row>
    <row r="247" spans="2:9" x14ac:dyDescent="0.25">
      <c r="B247" s="157">
        <v>42345</v>
      </c>
      <c r="C247" s="10">
        <v>4678</v>
      </c>
      <c r="D247" s="242">
        <v>23.24</v>
      </c>
      <c r="E247" s="40">
        <v>14.78</v>
      </c>
      <c r="F247" s="40">
        <f t="shared" si="23"/>
        <v>-39575.879999999997</v>
      </c>
      <c r="G247" s="40">
        <f t="shared" si="24"/>
        <v>108716.71999999999</v>
      </c>
      <c r="H247" s="231">
        <f t="shared" si="25"/>
        <v>-0.36402753872633387</v>
      </c>
      <c r="I247" s="40"/>
    </row>
    <row r="248" spans="2:9" x14ac:dyDescent="0.25">
      <c r="B248" s="157">
        <v>42347</v>
      </c>
      <c r="C248" s="10">
        <v>4778</v>
      </c>
      <c r="D248" s="242">
        <v>23.06</v>
      </c>
      <c r="E248" s="40">
        <v>14.92</v>
      </c>
      <c r="F248" s="40">
        <f t="shared" si="23"/>
        <v>-38892.919999999991</v>
      </c>
      <c r="G248" s="40">
        <f t="shared" si="24"/>
        <v>110180.68</v>
      </c>
      <c r="H248" s="231">
        <f t="shared" si="25"/>
        <v>-0.3529921942758022</v>
      </c>
      <c r="I248" s="40"/>
    </row>
    <row r="249" spans="2:9" x14ac:dyDescent="0.25">
      <c r="B249" s="157">
        <v>42348</v>
      </c>
      <c r="C249" s="10">
        <v>4178</v>
      </c>
      <c r="D249" s="242">
        <v>24.23</v>
      </c>
      <c r="E249" s="40">
        <v>14.74</v>
      </c>
      <c r="F249" s="40">
        <f t="shared" si="23"/>
        <v>-39649.22</v>
      </c>
      <c r="G249" s="40">
        <f t="shared" si="24"/>
        <v>101232.94</v>
      </c>
      <c r="H249" s="231">
        <f t="shared" si="25"/>
        <v>-0.39166322740404458</v>
      </c>
      <c r="I249" s="40"/>
    </row>
    <row r="250" spans="2:9" x14ac:dyDescent="0.25">
      <c r="B250" s="157">
        <v>42349</v>
      </c>
      <c r="C250" s="10">
        <v>3678</v>
      </c>
      <c r="D250" s="242">
        <v>25.57</v>
      </c>
      <c r="E250" s="40">
        <v>14.34</v>
      </c>
      <c r="F250" s="40">
        <f t="shared" si="23"/>
        <v>-41303.94</v>
      </c>
      <c r="G250" s="40">
        <f t="shared" si="24"/>
        <v>94046.46</v>
      </c>
      <c r="H250" s="231">
        <f t="shared" si="25"/>
        <v>-0.43918654673445445</v>
      </c>
      <c r="I250" s="40"/>
    </row>
    <row r="251" spans="2:9" x14ac:dyDescent="0.25">
      <c r="B251" s="157">
        <v>42352</v>
      </c>
      <c r="C251" s="10">
        <v>4178</v>
      </c>
      <c r="D251" s="242">
        <v>24.18</v>
      </c>
      <c r="E251" s="40">
        <v>13.96</v>
      </c>
      <c r="F251" s="40">
        <f t="shared" si="23"/>
        <v>-42699.159999999996</v>
      </c>
      <c r="G251" s="40">
        <f t="shared" si="24"/>
        <v>101024.04</v>
      </c>
      <c r="H251" s="231">
        <f t="shared" si="25"/>
        <v>-0.42266335814722905</v>
      </c>
      <c r="I251" s="40"/>
    </row>
    <row r="252" spans="2:9" x14ac:dyDescent="0.25">
      <c r="B252" s="157">
        <v>42355</v>
      </c>
      <c r="C252" s="10">
        <v>4678</v>
      </c>
      <c r="D252" s="242">
        <v>22.98</v>
      </c>
      <c r="E252" s="40">
        <v>12.78</v>
      </c>
      <c r="F252" s="40">
        <f t="shared" si="23"/>
        <v>-47715.600000000006</v>
      </c>
      <c r="G252" s="40">
        <f t="shared" si="24"/>
        <v>107500.44</v>
      </c>
      <c r="H252" s="231">
        <f t="shared" si="25"/>
        <v>-0.44386422976501311</v>
      </c>
      <c r="I252" s="40"/>
    </row>
    <row r="253" spans="2:9" x14ac:dyDescent="0.25">
      <c r="B253" s="157">
        <v>42356</v>
      </c>
      <c r="C253" s="10">
        <v>5178</v>
      </c>
      <c r="D253" s="242">
        <v>21.99</v>
      </c>
      <c r="E253" s="40">
        <v>12.95</v>
      </c>
      <c r="F253" s="40">
        <f t="shared" si="23"/>
        <v>-46809.119999999995</v>
      </c>
      <c r="G253" s="40">
        <f t="shared" si="24"/>
        <v>113864.21999999999</v>
      </c>
      <c r="H253" s="231">
        <f t="shared" si="25"/>
        <v>-0.41109595270577537</v>
      </c>
      <c r="I253" s="40"/>
    </row>
    <row r="254" spans="2:9" x14ac:dyDescent="0.25">
      <c r="B254" s="157">
        <v>42356</v>
      </c>
      <c r="C254" s="10">
        <v>6178</v>
      </c>
      <c r="D254" s="242">
        <v>20.48</v>
      </c>
      <c r="E254" s="40">
        <v>12.76</v>
      </c>
      <c r="F254" s="40">
        <f t="shared" si="23"/>
        <v>-47694.16</v>
      </c>
      <c r="G254" s="40">
        <f t="shared" si="24"/>
        <v>126525.44</v>
      </c>
      <c r="H254" s="231">
        <f t="shared" si="25"/>
        <v>-0.376953125</v>
      </c>
      <c r="I254" s="40"/>
    </row>
    <row r="255" spans="2:9" x14ac:dyDescent="0.25">
      <c r="B255" s="157">
        <v>42356</v>
      </c>
      <c r="C255" s="10">
        <v>6400</v>
      </c>
      <c r="D255" s="242">
        <v>20.2</v>
      </c>
      <c r="E255" s="40">
        <v>12.68</v>
      </c>
      <c r="F255" s="40">
        <f t="shared" si="23"/>
        <v>-48128</v>
      </c>
      <c r="G255" s="40">
        <f t="shared" si="24"/>
        <v>129280</v>
      </c>
      <c r="H255" s="231">
        <f t="shared" si="25"/>
        <v>-0.37227722772277227</v>
      </c>
      <c r="I255" s="40"/>
    </row>
    <row r="256" spans="2:9" x14ac:dyDescent="0.25">
      <c r="B256" s="157">
        <v>42359</v>
      </c>
      <c r="C256" s="10">
        <v>5178</v>
      </c>
      <c r="D256" s="242">
        <v>21.96</v>
      </c>
      <c r="E256" s="40">
        <v>12.66</v>
      </c>
      <c r="F256" s="40">
        <f t="shared" si="23"/>
        <v>-48155.4</v>
      </c>
      <c r="G256" s="40">
        <f t="shared" si="24"/>
        <v>113708.88</v>
      </c>
      <c r="H256" s="231">
        <f t="shared" si="25"/>
        <v>-0.42349726775956287</v>
      </c>
      <c r="I256" s="40"/>
    </row>
    <row r="257" spans="2:9" x14ac:dyDescent="0.25">
      <c r="B257" s="157">
        <v>42361</v>
      </c>
      <c r="C257" s="10">
        <v>4178</v>
      </c>
      <c r="D257" s="242">
        <v>24.07</v>
      </c>
      <c r="E257" s="40">
        <v>13.96</v>
      </c>
      <c r="F257" s="40">
        <f t="shared" si="23"/>
        <v>-42239.579999999994</v>
      </c>
      <c r="G257" s="40">
        <f t="shared" si="24"/>
        <v>100564.46</v>
      </c>
      <c r="H257" s="231">
        <f t="shared" si="25"/>
        <v>-0.42002492729538843</v>
      </c>
      <c r="I257" s="40"/>
    </row>
    <row r="258" spans="2:9" x14ac:dyDescent="0.25">
      <c r="B258" s="157">
        <v>42361</v>
      </c>
      <c r="C258" s="10">
        <v>4178</v>
      </c>
      <c r="D258" s="242">
        <v>24.03</v>
      </c>
      <c r="E258" s="40">
        <v>13.96</v>
      </c>
      <c r="F258" s="40">
        <f t="shared" si="23"/>
        <v>-42072.46</v>
      </c>
      <c r="G258" s="40">
        <f t="shared" si="24"/>
        <v>100397.34000000001</v>
      </c>
      <c r="H258" s="231">
        <f t="shared" si="25"/>
        <v>-0.41905950894714938</v>
      </c>
      <c r="I258" s="40"/>
    </row>
    <row r="259" spans="2:9" x14ac:dyDescent="0.25">
      <c r="B259" s="157">
        <v>42366</v>
      </c>
      <c r="C259" s="282">
        <v>6678</v>
      </c>
      <c r="D259" s="338">
        <v>19.91</v>
      </c>
      <c r="E259" s="40">
        <v>13.09</v>
      </c>
      <c r="F259" s="40">
        <f t="shared" si="23"/>
        <v>-45543.96</v>
      </c>
      <c r="G259" s="40">
        <f t="shared" si="24"/>
        <v>132958.98000000001</v>
      </c>
      <c r="H259" s="231">
        <f t="shared" si="25"/>
        <v>-0.34254143646408841</v>
      </c>
      <c r="I259" s="40"/>
    </row>
    <row r="260" spans="2:9" x14ac:dyDescent="0.25">
      <c r="B260" s="157">
        <v>42367</v>
      </c>
      <c r="C260" s="282">
        <v>8678</v>
      </c>
      <c r="D260" s="338">
        <v>18.32</v>
      </c>
      <c r="E260" s="40">
        <v>13.03</v>
      </c>
      <c r="F260" s="40">
        <f t="shared" si="23"/>
        <v>-45906.62000000001</v>
      </c>
      <c r="G260" s="40">
        <f t="shared" si="24"/>
        <v>158980.96</v>
      </c>
      <c r="H260" s="231">
        <f t="shared" si="25"/>
        <v>-0.28875545851528389</v>
      </c>
      <c r="I260" s="40"/>
    </row>
    <row r="261" spans="2:9" x14ac:dyDescent="0.25">
      <c r="B261" s="157">
        <v>42368</v>
      </c>
      <c r="C261" s="282">
        <v>9678</v>
      </c>
      <c r="D261" s="338">
        <v>17.73</v>
      </c>
      <c r="E261" s="40">
        <v>12.38</v>
      </c>
      <c r="F261" s="40">
        <f t="shared" si="23"/>
        <v>-51777.299999999996</v>
      </c>
      <c r="G261" s="40">
        <f t="shared" si="24"/>
        <v>171590.94</v>
      </c>
      <c r="H261" s="231">
        <f t="shared" si="25"/>
        <v>-0.30174844895657077</v>
      </c>
      <c r="I261" s="40"/>
    </row>
    <row r="262" spans="2:9" x14ac:dyDescent="0.25">
      <c r="B262" s="157">
        <v>42369</v>
      </c>
      <c r="C262" s="282">
        <v>8678</v>
      </c>
      <c r="D262" s="338">
        <v>18.312999999999999</v>
      </c>
      <c r="E262" s="40">
        <v>12.59</v>
      </c>
      <c r="F262" s="40">
        <f t="shared" si="23"/>
        <v>-49664.193999999989</v>
      </c>
      <c r="G262" s="40">
        <f t="shared" si="24"/>
        <v>158920.21399999998</v>
      </c>
      <c r="H262" s="231">
        <f t="shared" si="25"/>
        <v>-0.3125102386282968</v>
      </c>
      <c r="I262" s="40"/>
    </row>
    <row r="263" spans="2:9" x14ac:dyDescent="0.25">
      <c r="B263" s="157">
        <v>42374</v>
      </c>
      <c r="C263" s="444">
        <v>7678</v>
      </c>
      <c r="D263" s="445">
        <v>19.010000000000002</v>
      </c>
      <c r="E263" s="40">
        <v>12.76</v>
      </c>
      <c r="F263" s="40">
        <f t="shared" si="23"/>
        <v>-47987.500000000015</v>
      </c>
      <c r="G263" s="40">
        <f t="shared" si="24"/>
        <v>145958.78</v>
      </c>
      <c r="H263" s="231">
        <f t="shared" si="25"/>
        <v>-0.32877432930036832</v>
      </c>
      <c r="I263" s="40"/>
    </row>
    <row r="264" spans="2:9" x14ac:dyDescent="0.25">
      <c r="B264" s="157">
        <v>42375</v>
      </c>
      <c r="C264" s="282">
        <v>8678</v>
      </c>
      <c r="D264" s="338">
        <v>18.257000000000001</v>
      </c>
      <c r="E264" s="40">
        <v>12.76</v>
      </c>
      <c r="F264" s="40">
        <f t="shared" si="23"/>
        <v>-47702.966000000015</v>
      </c>
      <c r="G264" s="40">
        <f t="shared" si="24"/>
        <v>158434.24600000001</v>
      </c>
      <c r="H264" s="231">
        <f t="shared" si="25"/>
        <v>-0.30108999287944355</v>
      </c>
      <c r="I264" s="342"/>
    </row>
    <row r="265" spans="2:9" x14ac:dyDescent="0.25">
      <c r="B265" s="157">
        <v>42375</v>
      </c>
      <c r="C265" s="282">
        <v>9678</v>
      </c>
      <c r="D265" s="338">
        <v>17.579999999999998</v>
      </c>
      <c r="E265" s="40">
        <v>11.28</v>
      </c>
      <c r="F265" s="40">
        <f t="shared" si="23"/>
        <v>-60971.399999999987</v>
      </c>
      <c r="G265" s="40">
        <f t="shared" si="24"/>
        <v>170139.24</v>
      </c>
      <c r="H265" s="231">
        <f t="shared" si="25"/>
        <v>-0.35836177474402725</v>
      </c>
      <c r="I265" s="342"/>
    </row>
    <row r="266" spans="2:9" x14ac:dyDescent="0.25">
      <c r="B266" s="157">
        <v>42398</v>
      </c>
      <c r="C266" s="447">
        <v>9278</v>
      </c>
      <c r="D266" s="448">
        <v>17.93</v>
      </c>
      <c r="E266" s="40">
        <v>9.56</v>
      </c>
      <c r="F266" s="40">
        <f t="shared" si="23"/>
        <v>-77656.859999999986</v>
      </c>
      <c r="G266" s="40">
        <f t="shared" si="24"/>
        <v>166354.54</v>
      </c>
      <c r="H266" s="231">
        <f t="shared" si="25"/>
        <v>-0.46681539319576126</v>
      </c>
      <c r="I266" s="342"/>
    </row>
    <row r="267" spans="2:9" x14ac:dyDescent="0.25">
      <c r="B267" s="157">
        <v>42402</v>
      </c>
      <c r="C267" s="282">
        <v>9678</v>
      </c>
      <c r="D267" s="338">
        <v>17.559999999999999</v>
      </c>
      <c r="E267" s="40">
        <v>8.74</v>
      </c>
      <c r="F267" s="40">
        <f t="shared" si="23"/>
        <v>-85359.959999999992</v>
      </c>
      <c r="G267" s="40">
        <f t="shared" si="24"/>
        <v>169945.68</v>
      </c>
      <c r="H267" s="231">
        <f t="shared" si="25"/>
        <v>-0.50227790432801822</v>
      </c>
      <c r="I267" s="342"/>
    </row>
    <row r="268" spans="2:9" x14ac:dyDescent="0.25">
      <c r="B268" s="157">
        <v>42411</v>
      </c>
      <c r="C268" s="282">
        <v>9678</v>
      </c>
      <c r="D268" s="338">
        <v>17.553999999999998</v>
      </c>
      <c r="E268" s="40">
        <v>7.13</v>
      </c>
      <c r="F268" s="40">
        <f t="shared" si="23"/>
        <v>-100883.47199999999</v>
      </c>
      <c r="G268" s="40">
        <f t="shared" si="24"/>
        <v>169887.61199999999</v>
      </c>
      <c r="H268" s="231">
        <f t="shared" si="25"/>
        <v>-0.59382476928335426</v>
      </c>
      <c r="I268" s="342"/>
    </row>
    <row r="269" spans="2:9" x14ac:dyDescent="0.25">
      <c r="B269" s="157">
        <v>42412</v>
      </c>
      <c r="C269" s="282">
        <v>9678</v>
      </c>
      <c r="D269" s="338">
        <v>17.55</v>
      </c>
      <c r="E269" s="40">
        <v>7.46</v>
      </c>
      <c r="F269" s="40">
        <f t="shared" si="23"/>
        <v>-97651.02</v>
      </c>
      <c r="G269" s="40">
        <f t="shared" si="24"/>
        <v>169848.9</v>
      </c>
      <c r="H269" s="231">
        <f t="shared" si="25"/>
        <v>-0.57492877492877492</v>
      </c>
      <c r="I269" s="342"/>
    </row>
    <row r="270" spans="2:9" x14ac:dyDescent="0.25">
      <c r="B270" s="157">
        <v>42416</v>
      </c>
      <c r="C270" s="282">
        <v>9178</v>
      </c>
      <c r="D270" s="338">
        <v>18.084</v>
      </c>
      <c r="E270" s="40">
        <v>7.49</v>
      </c>
      <c r="F270" s="40">
        <f t="shared" si="23"/>
        <v>-97231.731999999989</v>
      </c>
      <c r="G270" s="40">
        <f t="shared" si="24"/>
        <v>165974.95199999999</v>
      </c>
      <c r="H270" s="231">
        <f t="shared" si="25"/>
        <v>-0.58582172085821715</v>
      </c>
      <c r="I270" s="342"/>
    </row>
    <row r="271" spans="2:9" x14ac:dyDescent="0.25">
      <c r="B271" s="157">
        <v>42416</v>
      </c>
      <c r="C271" s="282">
        <v>9678</v>
      </c>
      <c r="D271" s="338">
        <v>17.536999999999999</v>
      </c>
      <c r="E271" s="40">
        <v>7.49</v>
      </c>
      <c r="F271" s="40">
        <f t="shared" si="23"/>
        <v>-97234.865999999995</v>
      </c>
      <c r="G271" s="40">
        <f t="shared" si="24"/>
        <v>169723.08599999998</v>
      </c>
      <c r="H271" s="231">
        <f t="shared" si="25"/>
        <v>-0.57290300507498426</v>
      </c>
      <c r="I271" s="342"/>
    </row>
    <row r="272" spans="2:9" x14ac:dyDescent="0.25">
      <c r="B272" s="157">
        <v>42418</v>
      </c>
      <c r="C272" s="282">
        <v>13478</v>
      </c>
      <c r="D272" s="338">
        <v>14.673999999999999</v>
      </c>
      <c r="E272" s="40">
        <v>6.93</v>
      </c>
      <c r="F272" s="40">
        <f t="shared" si="23"/>
        <v>-104373.632</v>
      </c>
      <c r="G272" s="40">
        <f t="shared" si="24"/>
        <v>197776.17199999999</v>
      </c>
      <c r="H272" s="231">
        <f t="shared" si="25"/>
        <v>-0.52773613193403301</v>
      </c>
      <c r="I272" s="342"/>
    </row>
    <row r="273" spans="2:9" x14ac:dyDescent="0.25">
      <c r="B273" s="157">
        <v>42422</v>
      </c>
      <c r="C273" s="282">
        <v>10978</v>
      </c>
      <c r="D273" s="338">
        <v>16.314</v>
      </c>
      <c r="E273" s="40">
        <v>7.49</v>
      </c>
      <c r="F273" s="40">
        <f t="shared" si="23"/>
        <v>-96869.872000000003</v>
      </c>
      <c r="G273" s="40">
        <f>IF(C273=0, 0,D273*C273)</f>
        <v>179095.092</v>
      </c>
      <c r="H273" s="232">
        <f>IF(C273=0, D273, (E273-D273)/D273)</f>
        <v>-0.54088512933676591</v>
      </c>
      <c r="I273" s="342"/>
    </row>
    <row r="274" spans="2:9" x14ac:dyDescent="0.25">
      <c r="B274" s="157">
        <v>42422</v>
      </c>
      <c r="C274" s="282">
        <v>9978</v>
      </c>
      <c r="D274" s="338">
        <v>17.199000000000002</v>
      </c>
      <c r="E274" s="40">
        <v>7.49</v>
      </c>
      <c r="F274" s="236">
        <f t="shared" si="23"/>
        <v>-96876.402000000016</v>
      </c>
      <c r="G274" s="40">
        <f>IF(C274=0, 0,D274*C274)</f>
        <v>171611.622</v>
      </c>
      <c r="H274" s="232">
        <f>IF(C274=0, D274, (E274-D274)/D274)</f>
        <v>-0.56450956450956458</v>
      </c>
      <c r="I274" s="342"/>
    </row>
    <row r="275" spans="2:9" x14ac:dyDescent="0.25">
      <c r="B275" s="157">
        <v>42426</v>
      </c>
      <c r="C275" s="282">
        <v>9678</v>
      </c>
      <c r="D275" s="338">
        <v>17.489000000000001</v>
      </c>
      <c r="E275" s="40">
        <v>7.49</v>
      </c>
      <c r="F275" s="236">
        <f t="shared" ref="F275:F283" si="26">C275*(E275-D275)</f>
        <v>-96770.322</v>
      </c>
      <c r="G275" s="40">
        <f>IF(C275=0, 0,D275*C275)</f>
        <v>169258.54200000002</v>
      </c>
      <c r="H275" s="232">
        <f>IF(C275=0, D275, (E275-D275)/D275)</f>
        <v>-0.57173080221853734</v>
      </c>
      <c r="I275" s="342"/>
    </row>
    <row r="276" spans="2:9" x14ac:dyDescent="0.25">
      <c r="B276" s="157">
        <v>42426</v>
      </c>
      <c r="C276" s="282">
        <v>9178</v>
      </c>
      <c r="D276" s="338">
        <v>18.02</v>
      </c>
      <c r="E276" s="40">
        <v>7.76</v>
      </c>
      <c r="F276" s="236">
        <f t="shared" si="26"/>
        <v>-94166.28</v>
      </c>
      <c r="G276" s="40">
        <f t="shared" ref="G276:G283" si="27">IF(C276=0, 0,D276*C276)</f>
        <v>165387.56</v>
      </c>
      <c r="H276" s="232">
        <f t="shared" ref="H276:H283" si="28">IF(C276=0, D276, (E276-D276)/D276)</f>
        <v>-0.5693673695893452</v>
      </c>
      <c r="I276" s="342"/>
    </row>
    <row r="277" spans="2:9" x14ac:dyDescent="0.25">
      <c r="B277" s="157">
        <v>42426</v>
      </c>
      <c r="C277" s="429">
        <v>8178</v>
      </c>
      <c r="D277" s="446">
        <v>19.245999999999999</v>
      </c>
      <c r="E277" s="40">
        <v>8</v>
      </c>
      <c r="F277" s="236">
        <f t="shared" si="26"/>
        <v>-91969.787999999986</v>
      </c>
      <c r="G277" s="40">
        <f t="shared" si="27"/>
        <v>157393.788</v>
      </c>
      <c r="H277" s="232">
        <f t="shared" si="28"/>
        <v>-0.58432921126467829</v>
      </c>
      <c r="I277" s="342"/>
    </row>
    <row r="278" spans="2:9" x14ac:dyDescent="0.25">
      <c r="B278" s="157">
        <v>42426</v>
      </c>
      <c r="C278" s="282">
        <v>6678</v>
      </c>
      <c r="D278" s="338">
        <v>21.75</v>
      </c>
      <c r="E278" s="40">
        <v>8.1</v>
      </c>
      <c r="F278" s="236">
        <f t="shared" si="26"/>
        <v>-91154.7</v>
      </c>
      <c r="G278" s="40">
        <f t="shared" si="27"/>
        <v>145246.5</v>
      </c>
      <c r="H278" s="232">
        <f t="shared" si="28"/>
        <v>-0.62758620689655176</v>
      </c>
      <c r="I278" s="342"/>
    </row>
    <row r="279" spans="2:9" x14ac:dyDescent="0.25">
      <c r="B279" s="157">
        <v>42426</v>
      </c>
      <c r="C279" s="282">
        <v>8678</v>
      </c>
      <c r="D279" s="338">
        <v>18.568999999999999</v>
      </c>
      <c r="E279" s="40">
        <v>7.94</v>
      </c>
      <c r="F279" s="236">
        <f t="shared" si="26"/>
        <v>-92238.461999999985</v>
      </c>
      <c r="G279" s="40">
        <f t="shared" si="27"/>
        <v>161141.78199999998</v>
      </c>
      <c r="H279" s="232">
        <f t="shared" si="28"/>
        <v>-0.57240562227368186</v>
      </c>
      <c r="I279" s="342"/>
    </row>
    <row r="280" spans="2:9" x14ac:dyDescent="0.25">
      <c r="B280" s="157">
        <v>42429</v>
      </c>
      <c r="C280" s="444">
        <v>7678</v>
      </c>
      <c r="D280" s="445">
        <v>19.876000000000001</v>
      </c>
      <c r="E280" s="40">
        <v>8.2100000000000009</v>
      </c>
      <c r="F280" s="236">
        <f t="shared" si="26"/>
        <v>-89571.54800000001</v>
      </c>
      <c r="G280" s="40">
        <f t="shared" si="27"/>
        <v>152607.92800000001</v>
      </c>
      <c r="H280" s="232">
        <f t="shared" si="28"/>
        <v>-0.58693902193600322</v>
      </c>
      <c r="I280" s="342"/>
    </row>
    <row r="281" spans="2:9" x14ac:dyDescent="0.25">
      <c r="B281" s="157">
        <v>42429</v>
      </c>
      <c r="C281" s="282">
        <v>9678</v>
      </c>
      <c r="D281" s="338">
        <v>17.463000000000001</v>
      </c>
      <c r="E281" s="40">
        <v>8.2100000000000009</v>
      </c>
      <c r="F281" s="236">
        <f t="shared" si="26"/>
        <v>-89550.534</v>
      </c>
      <c r="G281" s="40">
        <f t="shared" si="27"/>
        <v>169006.91400000002</v>
      </c>
      <c r="H281" s="232">
        <f t="shared" si="28"/>
        <v>-0.5298631392086125</v>
      </c>
      <c r="I281" s="342"/>
    </row>
    <row r="282" spans="2:9" x14ac:dyDescent="0.25">
      <c r="B282" s="157">
        <v>42429</v>
      </c>
      <c r="C282" s="282">
        <v>9178</v>
      </c>
      <c r="D282" s="338">
        <v>17.981000000000002</v>
      </c>
      <c r="E282" s="40">
        <v>8.2100000000000009</v>
      </c>
      <c r="F282" s="236">
        <f t="shared" si="26"/>
        <v>-89678.238000000012</v>
      </c>
      <c r="G282" s="40">
        <f t="shared" si="27"/>
        <v>165029.61800000002</v>
      </c>
      <c r="H282" s="232">
        <f t="shared" si="28"/>
        <v>-0.5434069295367332</v>
      </c>
      <c r="I282" s="342"/>
    </row>
    <row r="283" spans="2:9" x14ac:dyDescent="0.25">
      <c r="B283" s="157">
        <v>42429</v>
      </c>
      <c r="C283" s="282">
        <v>9678</v>
      </c>
      <c r="D283" s="338">
        <v>17.459</v>
      </c>
      <c r="E283" s="40">
        <v>8.2100000000000009</v>
      </c>
      <c r="F283" s="236">
        <f t="shared" si="26"/>
        <v>-89511.821999999986</v>
      </c>
      <c r="G283" s="40">
        <f t="shared" si="27"/>
        <v>168968.20199999999</v>
      </c>
      <c r="H283" s="232">
        <f t="shared" si="28"/>
        <v>-0.5297554270004009</v>
      </c>
      <c r="I283" s="342"/>
    </row>
    <row r="284" spans="2:9" x14ac:dyDescent="0.25">
      <c r="B284" s="157">
        <v>42429</v>
      </c>
      <c r="C284" s="282">
        <v>9178</v>
      </c>
      <c r="D284" s="338">
        <v>17.975999999999999</v>
      </c>
      <c r="E284" s="40">
        <v>8.2100000000000009</v>
      </c>
      <c r="F284" s="236">
        <f t="shared" ref="F284:F295" si="29">C284*(E284-D284)</f>
        <v>-89632.347999999984</v>
      </c>
      <c r="G284" s="40">
        <f t="shared" ref="G284:G295" si="30">IF(C284=0, 0,D284*C284)</f>
        <v>164983.728</v>
      </c>
      <c r="H284" s="232">
        <f t="shared" ref="H284:H335" si="31">IF(C284=0, D284, (E284-D284)/D284)</f>
        <v>-0.54327992879394738</v>
      </c>
      <c r="I284" s="342" t="s">
        <v>193</v>
      </c>
    </row>
    <row r="285" spans="2:9" x14ac:dyDescent="0.25">
      <c r="B285" s="157">
        <v>42430</v>
      </c>
      <c r="C285" s="282">
        <v>10178</v>
      </c>
      <c r="D285" s="338">
        <v>16.974</v>
      </c>
      <c r="E285" s="40">
        <v>7.8</v>
      </c>
      <c r="F285" s="236">
        <f t="shared" si="29"/>
        <v>-93372.971999999994</v>
      </c>
      <c r="G285" s="40">
        <f t="shared" si="30"/>
        <v>172761.372</v>
      </c>
      <c r="H285" s="232">
        <f t="shared" si="31"/>
        <v>-0.54047366560622123</v>
      </c>
      <c r="I285" s="342"/>
    </row>
    <row r="286" spans="2:9" x14ac:dyDescent="0.25">
      <c r="B286" s="157">
        <v>42430</v>
      </c>
      <c r="C286" s="282">
        <v>9678</v>
      </c>
      <c r="D286" s="338">
        <v>17.440000000000001</v>
      </c>
      <c r="E286" s="40">
        <v>7.96</v>
      </c>
      <c r="F286" s="236">
        <f t="shared" si="29"/>
        <v>-91747.44</v>
      </c>
      <c r="G286" s="40">
        <f t="shared" si="30"/>
        <v>168784.32</v>
      </c>
      <c r="H286" s="232">
        <f t="shared" si="31"/>
        <v>-0.54357798165137616</v>
      </c>
      <c r="I286" s="342"/>
    </row>
    <row r="287" spans="2:9" x14ac:dyDescent="0.25">
      <c r="B287" s="157">
        <v>42431</v>
      </c>
      <c r="C287" s="100">
        <v>8678</v>
      </c>
      <c r="D287" s="437">
        <v>18.405999999999999</v>
      </c>
      <c r="E287" s="40">
        <v>9.1</v>
      </c>
      <c r="F287" s="236">
        <f t="shared" si="29"/>
        <v>-80757.467999999993</v>
      </c>
      <c r="G287" s="40">
        <f t="shared" si="30"/>
        <v>159727.26799999998</v>
      </c>
      <c r="H287" s="232">
        <f t="shared" si="31"/>
        <v>-0.50559600130392257</v>
      </c>
      <c r="I287" s="342"/>
    </row>
    <row r="288" spans="2:9" x14ac:dyDescent="0.25">
      <c r="B288" s="157">
        <v>42432</v>
      </c>
      <c r="C288" s="451">
        <v>9278</v>
      </c>
      <c r="D288" s="452">
        <v>17.771999999999998</v>
      </c>
      <c r="E288" s="40">
        <v>9.9700000000000006</v>
      </c>
      <c r="F288" s="236">
        <f t="shared" si="29"/>
        <v>-72386.955999999976</v>
      </c>
      <c r="G288" s="40">
        <f t="shared" si="30"/>
        <v>164888.61599999998</v>
      </c>
      <c r="H288" s="232">
        <f t="shared" si="31"/>
        <v>-0.43900517668242173</v>
      </c>
      <c r="I288" s="342"/>
    </row>
    <row r="289" spans="2:9" x14ac:dyDescent="0.25">
      <c r="B289" s="157">
        <v>42433</v>
      </c>
      <c r="C289" s="10">
        <v>9278</v>
      </c>
      <c r="D289" s="242">
        <v>17.771999999999998</v>
      </c>
      <c r="E289" s="40">
        <v>11</v>
      </c>
      <c r="F289" s="236">
        <f t="shared" si="29"/>
        <v>-62830.615999999987</v>
      </c>
      <c r="G289" s="40">
        <f t="shared" si="30"/>
        <v>164888.61599999998</v>
      </c>
      <c r="H289" s="232">
        <f t="shared" si="31"/>
        <v>-0.38104884087328378</v>
      </c>
      <c r="I289" s="342"/>
    </row>
    <row r="290" spans="2:9" x14ac:dyDescent="0.25">
      <c r="B290" s="157">
        <v>42439</v>
      </c>
      <c r="C290" s="282">
        <v>9278</v>
      </c>
      <c r="D290" s="338">
        <v>17.718</v>
      </c>
      <c r="E290" s="339">
        <v>10.59</v>
      </c>
      <c r="F290" s="236">
        <f t="shared" si="29"/>
        <v>-66133.584000000003</v>
      </c>
      <c r="G290" s="40">
        <f t="shared" si="30"/>
        <v>164387.60399999999</v>
      </c>
      <c r="H290" s="232">
        <f t="shared" si="31"/>
        <v>-0.40230274297324753</v>
      </c>
      <c r="I290" s="342" t="s">
        <v>192</v>
      </c>
    </row>
    <row r="291" spans="2:9" x14ac:dyDescent="0.25">
      <c r="B291" s="157">
        <v>42440</v>
      </c>
      <c r="C291" s="10">
        <v>9278</v>
      </c>
      <c r="D291" s="242">
        <v>17.712</v>
      </c>
      <c r="E291" s="40">
        <v>11.12</v>
      </c>
      <c r="F291" s="236">
        <f t="shared" si="29"/>
        <v>-61160.576000000008</v>
      </c>
      <c r="G291" s="40">
        <f t="shared" si="30"/>
        <v>164331.93599999999</v>
      </c>
      <c r="H291" s="232">
        <f t="shared" si="31"/>
        <v>-0.37217705510388438</v>
      </c>
      <c r="I291" s="40"/>
    </row>
    <row r="292" spans="2:9" x14ac:dyDescent="0.25">
      <c r="B292" s="157">
        <v>42446</v>
      </c>
      <c r="C292" s="100">
        <v>9278</v>
      </c>
      <c r="D292" s="437">
        <v>17.704999999999998</v>
      </c>
      <c r="E292" s="40">
        <v>11.45</v>
      </c>
      <c r="F292" s="236">
        <f t="shared" si="29"/>
        <v>-58033.889999999992</v>
      </c>
      <c r="G292" s="40">
        <f t="shared" si="30"/>
        <v>164266.99</v>
      </c>
      <c r="H292" s="232">
        <f t="shared" si="31"/>
        <v>-0.353290031064671</v>
      </c>
      <c r="I292" s="40"/>
    </row>
    <row r="293" spans="2:9" x14ac:dyDescent="0.25">
      <c r="B293" s="157">
        <v>42447</v>
      </c>
      <c r="C293" s="100">
        <v>7928</v>
      </c>
      <c r="D293" s="437">
        <v>18.734999999999999</v>
      </c>
      <c r="E293" s="40">
        <v>11.63</v>
      </c>
      <c r="F293" s="236">
        <f t="shared" si="29"/>
        <v>-56328.439999999988</v>
      </c>
      <c r="G293" s="40">
        <f t="shared" si="30"/>
        <v>148531.07999999999</v>
      </c>
      <c r="H293" s="232">
        <f t="shared" si="31"/>
        <v>-0.37923672271150249</v>
      </c>
      <c r="I293" s="356"/>
    </row>
    <row r="294" spans="2:9" x14ac:dyDescent="0.25">
      <c r="B294" s="157">
        <v>42450</v>
      </c>
      <c r="C294" s="451">
        <v>9278</v>
      </c>
      <c r="D294" s="452">
        <v>17.670000000000002</v>
      </c>
      <c r="E294" s="40">
        <v>11.43</v>
      </c>
      <c r="F294" s="236">
        <f t="shared" si="29"/>
        <v>-57894.720000000016</v>
      </c>
      <c r="G294" s="40">
        <f t="shared" si="30"/>
        <v>163942.26</v>
      </c>
      <c r="H294" s="232">
        <f t="shared" si="31"/>
        <v>-0.35314091680814946</v>
      </c>
      <c r="I294" s="356"/>
    </row>
    <row r="295" spans="2:9" x14ac:dyDescent="0.25">
      <c r="B295" s="157">
        <v>42451</v>
      </c>
      <c r="C295" s="100">
        <v>9628</v>
      </c>
      <c r="D295" s="437">
        <v>17.428000000000001</v>
      </c>
      <c r="E295" s="40">
        <v>11.31</v>
      </c>
      <c r="F295" s="236">
        <f t="shared" si="29"/>
        <v>-58904.104000000007</v>
      </c>
      <c r="G295" s="40">
        <f t="shared" si="30"/>
        <v>167796.78400000001</v>
      </c>
      <c r="H295" s="232">
        <f t="shared" si="31"/>
        <v>-0.35104429653431263</v>
      </c>
      <c r="I295" s="40"/>
    </row>
    <row r="296" spans="2:9" x14ac:dyDescent="0.25">
      <c r="B296" s="157">
        <v>42453</v>
      </c>
      <c r="C296" s="10">
        <v>13278</v>
      </c>
      <c r="D296" s="242">
        <v>15.5565</v>
      </c>
      <c r="E296" s="40">
        <v>10.29</v>
      </c>
      <c r="F296" s="236">
        <f t="shared" ref="F296:F335" si="32">C296*(E296-D296)</f>
        <v>-69928.587000000014</v>
      </c>
      <c r="G296" s="40">
        <f t="shared" ref="G296:G335" si="33">IF(C296=0, 0,D296*C296)</f>
        <v>206559.20699999999</v>
      </c>
      <c r="H296" s="232">
        <f t="shared" si="31"/>
        <v>-0.33854016006171056</v>
      </c>
      <c r="I296" s="40"/>
    </row>
    <row r="297" spans="2:9" x14ac:dyDescent="0.25">
      <c r="B297" s="157">
        <v>42459</v>
      </c>
      <c r="C297" s="10">
        <v>11278</v>
      </c>
      <c r="D297" s="242">
        <v>16.408899999999999</v>
      </c>
      <c r="E297" s="40">
        <v>10.53</v>
      </c>
      <c r="F297" s="236">
        <f t="shared" si="32"/>
        <v>-66302.234199999992</v>
      </c>
      <c r="G297" s="40">
        <f t="shared" si="33"/>
        <v>185059.5742</v>
      </c>
      <c r="H297" s="232">
        <f t="shared" si="31"/>
        <v>-0.35827508242478168</v>
      </c>
      <c r="I297" s="40"/>
    </row>
    <row r="298" spans="2:9" x14ac:dyDescent="0.25">
      <c r="B298" s="157">
        <v>42460</v>
      </c>
      <c r="C298" s="100">
        <v>9678</v>
      </c>
      <c r="D298" s="437">
        <v>17.311699999999998</v>
      </c>
      <c r="E298" s="40">
        <v>11.14</v>
      </c>
      <c r="F298" s="236">
        <f t="shared" si="32"/>
        <v>-59729.712599999977</v>
      </c>
      <c r="G298" s="40">
        <f t="shared" si="33"/>
        <v>167542.63259999998</v>
      </c>
      <c r="H298" s="232">
        <f t="shared" si="31"/>
        <v>-0.35650456049954643</v>
      </c>
      <c r="I298" s="356"/>
    </row>
    <row r="299" spans="2:9" x14ac:dyDescent="0.25">
      <c r="B299" s="157">
        <v>42461</v>
      </c>
      <c r="C299" s="282">
        <v>11678</v>
      </c>
      <c r="D299" s="338">
        <v>16.116</v>
      </c>
      <c r="E299" s="40">
        <v>10.53</v>
      </c>
      <c r="F299" s="236">
        <f t="shared" si="32"/>
        <v>-65233.308000000005</v>
      </c>
      <c r="G299" s="40">
        <f t="shared" si="33"/>
        <v>188202.64799999999</v>
      </c>
      <c r="H299" s="232">
        <f t="shared" si="31"/>
        <v>-0.34661206254653765</v>
      </c>
      <c r="I299" s="40"/>
    </row>
    <row r="300" spans="2:9" x14ac:dyDescent="0.25">
      <c r="B300" s="157">
        <v>42461</v>
      </c>
      <c r="C300" s="282">
        <v>9678</v>
      </c>
      <c r="D300" s="338">
        <v>17.266200000000001</v>
      </c>
      <c r="E300" s="40">
        <v>10.56</v>
      </c>
      <c r="F300" s="236">
        <f t="shared" si="32"/>
        <v>-64902.603600000009</v>
      </c>
      <c r="G300" s="40">
        <f t="shared" si="33"/>
        <v>167102.28360000002</v>
      </c>
      <c r="H300" s="232">
        <f t="shared" si="31"/>
        <v>-0.388400458699656</v>
      </c>
      <c r="I300" s="40"/>
    </row>
    <row r="301" spans="2:9" x14ac:dyDescent="0.25">
      <c r="B301" s="157">
        <v>42464</v>
      </c>
      <c r="C301" s="282">
        <v>9778</v>
      </c>
      <c r="D301" s="338">
        <v>17.196100000000001</v>
      </c>
      <c r="E301" s="40">
        <v>10.4</v>
      </c>
      <c r="F301" s="236">
        <f t="shared" si="32"/>
        <v>-66452.265800000008</v>
      </c>
      <c r="G301" s="40">
        <f t="shared" si="33"/>
        <v>168143.46580000001</v>
      </c>
      <c r="H301" s="232">
        <f t="shared" si="31"/>
        <v>-0.3952117049796175</v>
      </c>
      <c r="I301" s="40"/>
    </row>
    <row r="302" spans="2:9" x14ac:dyDescent="0.25">
      <c r="B302" s="157">
        <v>42465</v>
      </c>
      <c r="C302" s="282">
        <v>9678</v>
      </c>
      <c r="D302" s="338">
        <v>17.262699999999999</v>
      </c>
      <c r="E302" s="40">
        <v>10.63</v>
      </c>
      <c r="F302" s="236">
        <f t="shared" si="32"/>
        <v>-64191.270599999982</v>
      </c>
      <c r="G302" s="40">
        <f t="shared" si="33"/>
        <v>167068.4106</v>
      </c>
      <c r="H302" s="232">
        <f t="shared" si="31"/>
        <v>-0.38422147172806098</v>
      </c>
      <c r="I302" s="356"/>
    </row>
    <row r="303" spans="2:9" x14ac:dyDescent="0.25">
      <c r="B303" s="157">
        <v>42469</v>
      </c>
      <c r="C303" s="282">
        <v>8678</v>
      </c>
      <c r="D303" s="338">
        <v>17.895700000000001</v>
      </c>
      <c r="E303" s="40">
        <v>11.78</v>
      </c>
      <c r="F303" s="236">
        <f t="shared" si="32"/>
        <v>-53072.044600000016</v>
      </c>
      <c r="G303" s="40">
        <f t="shared" si="33"/>
        <v>155298.88460000002</v>
      </c>
      <c r="H303" s="232">
        <f t="shared" si="31"/>
        <v>-0.34174131215878684</v>
      </c>
      <c r="I303" s="356"/>
    </row>
    <row r="304" spans="2:9" x14ac:dyDescent="0.25">
      <c r="B304" s="157">
        <v>42471</v>
      </c>
      <c r="C304" s="282">
        <v>9678</v>
      </c>
      <c r="D304" s="338">
        <v>17.2514</v>
      </c>
      <c r="E304" s="40">
        <v>11.67</v>
      </c>
      <c r="F304" s="236">
        <f t="shared" si="32"/>
        <v>-54016.789200000007</v>
      </c>
      <c r="G304" s="40">
        <f t="shared" si="33"/>
        <v>166959.04920000001</v>
      </c>
      <c r="H304" s="232">
        <f t="shared" si="31"/>
        <v>-0.32353316252593994</v>
      </c>
      <c r="I304" s="356"/>
    </row>
    <row r="305" spans="2:9" x14ac:dyDescent="0.25">
      <c r="B305" s="157">
        <v>42472</v>
      </c>
      <c r="C305" s="282">
        <v>8288</v>
      </c>
      <c r="D305" s="338">
        <v>17.96</v>
      </c>
      <c r="E305" s="40">
        <v>13.05</v>
      </c>
      <c r="F305" s="236">
        <f t="shared" si="32"/>
        <v>-40694.080000000002</v>
      </c>
      <c r="G305" s="40">
        <f t="shared" si="33"/>
        <v>148852.48000000001</v>
      </c>
      <c r="H305" s="232">
        <f t="shared" si="31"/>
        <v>-0.27338530066815142</v>
      </c>
      <c r="I305" s="40"/>
    </row>
    <row r="306" spans="2:9" x14ac:dyDescent="0.25">
      <c r="B306" s="157">
        <v>42473</v>
      </c>
      <c r="C306" s="282">
        <v>9258</v>
      </c>
      <c r="D306" s="338">
        <v>17.415800000000001</v>
      </c>
      <c r="E306" s="40">
        <v>12.92</v>
      </c>
      <c r="F306" s="236">
        <f t="shared" si="32"/>
        <v>-41622.116400000006</v>
      </c>
      <c r="G306" s="40">
        <f t="shared" si="33"/>
        <v>161235.47640000001</v>
      </c>
      <c r="H306" s="232">
        <f t="shared" si="31"/>
        <v>-0.2581449029042594</v>
      </c>
      <c r="I306" s="40"/>
    </row>
    <row r="307" spans="2:9" x14ac:dyDescent="0.25">
      <c r="B307" s="157">
        <v>42474</v>
      </c>
      <c r="C307" s="282">
        <v>9678</v>
      </c>
      <c r="D307" s="338">
        <v>17.2135</v>
      </c>
      <c r="E307" s="40">
        <v>13.11</v>
      </c>
      <c r="F307" s="236">
        <f t="shared" si="32"/>
        <v>-39713.673000000003</v>
      </c>
      <c r="G307" s="40">
        <f t="shared" si="33"/>
        <v>166592.253</v>
      </c>
      <c r="H307" s="232">
        <f t="shared" si="31"/>
        <v>-0.23838847416272113</v>
      </c>
      <c r="I307" s="40"/>
    </row>
    <row r="308" spans="2:9" x14ac:dyDescent="0.25">
      <c r="B308" s="157">
        <v>42474</v>
      </c>
      <c r="C308" s="282">
        <v>9178</v>
      </c>
      <c r="D308" s="338">
        <v>17.433299999999999</v>
      </c>
      <c r="E308" s="40">
        <v>13.11</v>
      </c>
      <c r="F308" s="236">
        <f t="shared" si="32"/>
        <v>-39679.2474</v>
      </c>
      <c r="G308" s="40">
        <f t="shared" si="33"/>
        <v>160002.82739999998</v>
      </c>
      <c r="H308" s="232">
        <f t="shared" si="31"/>
        <v>-0.24799091394056202</v>
      </c>
      <c r="I308" s="40"/>
    </row>
    <row r="309" spans="2:9" x14ac:dyDescent="0.25">
      <c r="B309" s="157">
        <v>42475</v>
      </c>
      <c r="C309" s="282">
        <v>9678</v>
      </c>
      <c r="D309" s="338">
        <v>17.205100000000002</v>
      </c>
      <c r="E309" s="40">
        <v>13.01</v>
      </c>
      <c r="F309" s="236">
        <f t="shared" si="32"/>
        <v>-40600.177800000019</v>
      </c>
      <c r="G309" s="40">
        <f t="shared" si="33"/>
        <v>166510.9578</v>
      </c>
      <c r="H309" s="232">
        <f t="shared" si="31"/>
        <v>-0.24382886469709572</v>
      </c>
      <c r="I309" s="40"/>
    </row>
    <row r="310" spans="2:9" x14ac:dyDescent="0.25">
      <c r="B310" s="157">
        <v>42478</v>
      </c>
      <c r="C310" s="282">
        <v>9178</v>
      </c>
      <c r="D310" s="338">
        <v>17.412400000000002</v>
      </c>
      <c r="E310" s="40">
        <v>13.36</v>
      </c>
      <c r="F310" s="236">
        <f t="shared" si="32"/>
        <v>-37192.92720000002</v>
      </c>
      <c r="G310" s="40">
        <f t="shared" si="33"/>
        <v>159811.00720000002</v>
      </c>
      <c r="H310" s="232">
        <f t="shared" si="31"/>
        <v>-0.232730697663734</v>
      </c>
      <c r="I310" s="40"/>
    </row>
    <row r="311" spans="2:9" x14ac:dyDescent="0.25">
      <c r="B311" s="157">
        <v>42484</v>
      </c>
      <c r="C311" s="282">
        <v>9178</v>
      </c>
      <c r="D311" s="338">
        <v>17.412400000000002</v>
      </c>
      <c r="E311" s="40">
        <v>14.34</v>
      </c>
      <c r="F311" s="236">
        <f t="shared" si="32"/>
        <v>-28198.487200000018</v>
      </c>
      <c r="G311" s="40">
        <f t="shared" si="33"/>
        <v>159811.00720000002</v>
      </c>
      <c r="H311" s="232">
        <f t="shared" si="31"/>
        <v>-0.17644896740254082</v>
      </c>
      <c r="I311" s="40"/>
    </row>
    <row r="312" spans="2:9" x14ac:dyDescent="0.25">
      <c r="B312" s="157">
        <v>42485</v>
      </c>
      <c r="C312" s="282">
        <v>9678</v>
      </c>
      <c r="D312" s="338">
        <v>17.233499999999999</v>
      </c>
      <c r="E312" s="40">
        <v>13.83</v>
      </c>
      <c r="F312" s="236">
        <f t="shared" si="32"/>
        <v>-32939.072999999997</v>
      </c>
      <c r="G312" s="40">
        <f t="shared" si="33"/>
        <v>166785.81299999999</v>
      </c>
      <c r="H312" s="232">
        <f t="shared" si="31"/>
        <v>-0.19749325441726867</v>
      </c>
      <c r="I312" s="40"/>
    </row>
    <row r="313" spans="2:9" x14ac:dyDescent="0.25">
      <c r="B313" s="157">
        <v>42486</v>
      </c>
      <c r="C313" s="282">
        <v>9178</v>
      </c>
      <c r="D313" s="338">
        <v>17.390599999999999</v>
      </c>
      <c r="E313" s="40">
        <v>14.44</v>
      </c>
      <c r="F313" s="236">
        <f t="shared" si="32"/>
        <v>-27080.606799999998</v>
      </c>
      <c r="G313" s="40">
        <f t="shared" si="33"/>
        <v>159610.92679999999</v>
      </c>
      <c r="H313" s="232">
        <f t="shared" si="31"/>
        <v>-0.16966637148804525</v>
      </c>
      <c r="I313" s="356"/>
    </row>
    <row r="314" spans="2:9" x14ac:dyDescent="0.25">
      <c r="B314" s="157">
        <v>42487</v>
      </c>
      <c r="C314" s="282">
        <v>9178</v>
      </c>
      <c r="D314" s="338">
        <v>17.376300000000001</v>
      </c>
      <c r="E314" s="40">
        <v>14.84</v>
      </c>
      <c r="F314" s="236">
        <f t="shared" si="32"/>
        <v>-23278.161400000005</v>
      </c>
      <c r="G314" s="40">
        <f t="shared" si="33"/>
        <v>159479.6814</v>
      </c>
      <c r="H314" s="232">
        <f t="shared" si="31"/>
        <v>-0.14596317973331496</v>
      </c>
      <c r="I314" s="40"/>
    </row>
    <row r="315" spans="2:9" x14ac:dyDescent="0.25">
      <c r="B315" s="157">
        <v>42488</v>
      </c>
      <c r="C315" s="282">
        <v>9678</v>
      </c>
      <c r="D315" s="338">
        <v>17.2287</v>
      </c>
      <c r="E315" s="40">
        <v>14.35</v>
      </c>
      <c r="F315" s="236">
        <f t="shared" si="32"/>
        <v>-27860.058600000004</v>
      </c>
      <c r="G315" s="40">
        <f t="shared" si="33"/>
        <v>166739.35860000001</v>
      </c>
      <c r="H315" s="232">
        <f t="shared" si="31"/>
        <v>-0.16708747612994598</v>
      </c>
      <c r="I315" s="40"/>
    </row>
    <row r="316" spans="2:9" x14ac:dyDescent="0.25">
      <c r="B316" s="157">
        <v>42489</v>
      </c>
      <c r="C316" s="282">
        <v>9678</v>
      </c>
      <c r="D316" s="338">
        <v>17.179200000000002</v>
      </c>
      <c r="E316" s="40">
        <v>14.09</v>
      </c>
      <c r="F316" s="236">
        <f t="shared" si="32"/>
        <v>-29897.277600000016</v>
      </c>
      <c r="G316" s="40">
        <f t="shared" si="33"/>
        <v>166260.29760000002</v>
      </c>
      <c r="H316" s="232">
        <f t="shared" si="31"/>
        <v>-0.17982211045916</v>
      </c>
      <c r="I316" s="40"/>
    </row>
    <row r="317" spans="2:9" x14ac:dyDescent="0.25">
      <c r="B317" s="157">
        <v>42492</v>
      </c>
      <c r="C317" s="282">
        <v>9678</v>
      </c>
      <c r="D317" s="338">
        <v>17.136399999999998</v>
      </c>
      <c r="E317" s="40">
        <v>13.55</v>
      </c>
      <c r="F317" s="236">
        <f t="shared" si="32"/>
        <v>-34709.179199999977</v>
      </c>
      <c r="G317" s="40">
        <f t="shared" si="33"/>
        <v>165846.07919999998</v>
      </c>
      <c r="H317" s="232">
        <f t="shared" si="31"/>
        <v>-0.20928549753740563</v>
      </c>
      <c r="I317" s="40"/>
    </row>
    <row r="318" spans="2:9" x14ac:dyDescent="0.25">
      <c r="B318" s="157">
        <v>42493</v>
      </c>
      <c r="C318" s="282">
        <v>9678</v>
      </c>
      <c r="D318" s="338">
        <v>17.1221</v>
      </c>
      <c r="E318" s="40">
        <v>12.79</v>
      </c>
      <c r="F318" s="236">
        <f t="shared" si="32"/>
        <v>-41926.063800000004</v>
      </c>
      <c r="G318" s="40">
        <f t="shared" si="33"/>
        <v>165707.6838</v>
      </c>
      <c r="H318" s="232">
        <f t="shared" si="31"/>
        <v>-0.25301218892542388</v>
      </c>
      <c r="I318" s="356"/>
    </row>
    <row r="319" spans="2:9" x14ac:dyDescent="0.25">
      <c r="B319" s="157">
        <v>42494</v>
      </c>
      <c r="C319" s="282">
        <v>11678</v>
      </c>
      <c r="D319" s="338">
        <v>16.316800000000001</v>
      </c>
      <c r="E319" s="40">
        <v>12.17</v>
      </c>
      <c r="F319" s="236">
        <f t="shared" si="32"/>
        <v>-48426.330400000006</v>
      </c>
      <c r="G319" s="40">
        <f t="shared" si="33"/>
        <v>190547.59040000002</v>
      </c>
      <c r="H319" s="232">
        <f t="shared" si="31"/>
        <v>-0.25414296920964896</v>
      </c>
      <c r="I319" s="40"/>
    </row>
    <row r="320" spans="2:9" x14ac:dyDescent="0.25">
      <c r="B320" s="157">
        <v>42495</v>
      </c>
      <c r="C320" s="282">
        <v>9678</v>
      </c>
      <c r="D320" s="338">
        <v>17.0684</v>
      </c>
      <c r="E320" s="40">
        <v>12.07</v>
      </c>
      <c r="F320" s="236">
        <f t="shared" si="32"/>
        <v>-48374.515200000002</v>
      </c>
      <c r="G320" s="40">
        <f t="shared" si="33"/>
        <v>165187.97520000002</v>
      </c>
      <c r="H320" s="232">
        <f t="shared" si="31"/>
        <v>-0.29284525790349419</v>
      </c>
      <c r="I320" s="356"/>
    </row>
    <row r="321" spans="2:9" x14ac:dyDescent="0.25">
      <c r="B321" s="157">
        <v>42499</v>
      </c>
      <c r="C321" s="282">
        <v>10678</v>
      </c>
      <c r="D321" s="338">
        <v>16.537600000000001</v>
      </c>
      <c r="E321" s="40">
        <v>11.44</v>
      </c>
      <c r="F321" s="236">
        <f t="shared" si="32"/>
        <v>-54432.172800000015</v>
      </c>
      <c r="G321" s="40">
        <f t="shared" si="33"/>
        <v>176588.49280000001</v>
      </c>
      <c r="H321" s="232">
        <f t="shared" si="31"/>
        <v>-0.30824303405572762</v>
      </c>
      <c r="I321" s="40"/>
    </row>
    <row r="322" spans="2:9" x14ac:dyDescent="0.25">
      <c r="B322" s="157">
        <v>42500</v>
      </c>
      <c r="C322" s="282">
        <v>9678</v>
      </c>
      <c r="D322" s="338">
        <v>17.042100000000001</v>
      </c>
      <c r="E322" s="40">
        <v>11.94</v>
      </c>
      <c r="F322" s="236">
        <f t="shared" si="32"/>
        <v>-49378.123800000016</v>
      </c>
      <c r="G322" s="40">
        <f t="shared" si="33"/>
        <v>164933.44380000001</v>
      </c>
      <c r="H322" s="232">
        <f t="shared" si="31"/>
        <v>-0.2993821184009014</v>
      </c>
      <c r="I322" s="40"/>
    </row>
    <row r="323" spans="2:9" x14ac:dyDescent="0.25">
      <c r="B323" s="157">
        <v>42502</v>
      </c>
      <c r="C323" s="282">
        <v>10678</v>
      </c>
      <c r="D323" s="338">
        <v>16.601800000000001</v>
      </c>
      <c r="E323" s="40">
        <v>12.33</v>
      </c>
      <c r="F323" s="236">
        <f t="shared" si="32"/>
        <v>-45614.280400000011</v>
      </c>
      <c r="G323" s="40">
        <f t="shared" si="33"/>
        <v>177274.02040000001</v>
      </c>
      <c r="H323" s="232">
        <f t="shared" si="31"/>
        <v>-0.25730944837306802</v>
      </c>
      <c r="I323" s="40"/>
    </row>
    <row r="324" spans="2:9" x14ac:dyDescent="0.25">
      <c r="B324" s="157">
        <v>42502</v>
      </c>
      <c r="C324" s="282">
        <v>9678</v>
      </c>
      <c r="D324" s="338">
        <v>17.0334</v>
      </c>
      <c r="E324" s="40">
        <v>12.33</v>
      </c>
      <c r="F324" s="236">
        <f t="shared" si="32"/>
        <v>-45519.5052</v>
      </c>
      <c r="G324" s="40">
        <f t="shared" si="33"/>
        <v>164849.2452</v>
      </c>
      <c r="H324" s="232">
        <f t="shared" si="31"/>
        <v>-0.27612807777660364</v>
      </c>
      <c r="I324" s="40"/>
    </row>
    <row r="325" spans="2:9" x14ac:dyDescent="0.25">
      <c r="B325" s="157">
        <v>42503</v>
      </c>
      <c r="C325" s="282">
        <v>9678</v>
      </c>
      <c r="D325" s="338">
        <v>17.029299999999999</v>
      </c>
      <c r="E325" s="40">
        <v>12.3</v>
      </c>
      <c r="F325" s="236">
        <f t="shared" si="32"/>
        <v>-45770.165399999983</v>
      </c>
      <c r="G325" s="40">
        <f t="shared" si="33"/>
        <v>164809.56539999999</v>
      </c>
      <c r="H325" s="232">
        <f t="shared" si="31"/>
        <v>-0.27771546687180321</v>
      </c>
      <c r="I325" s="40"/>
    </row>
    <row r="326" spans="2:9" x14ac:dyDescent="0.25">
      <c r="B326" s="157">
        <v>42506</v>
      </c>
      <c r="C326" s="282">
        <v>9678</v>
      </c>
      <c r="D326" s="338">
        <v>17.027699999999999</v>
      </c>
      <c r="E326" s="40">
        <v>12.78</v>
      </c>
      <c r="F326" s="236">
        <f t="shared" si="32"/>
        <v>-41109.240599999997</v>
      </c>
      <c r="G326" s="40">
        <f t="shared" si="33"/>
        <v>164794.08059999999</v>
      </c>
      <c r="H326" s="232">
        <f t="shared" si="31"/>
        <v>-0.24945823569830336</v>
      </c>
      <c r="I326" s="40"/>
    </row>
    <row r="327" spans="2:9" x14ac:dyDescent="0.25">
      <c r="B327" s="157">
        <v>42513</v>
      </c>
      <c r="C327" s="282">
        <v>9178</v>
      </c>
      <c r="D327" s="338">
        <v>17.244399999999999</v>
      </c>
      <c r="E327" s="40">
        <v>13.19</v>
      </c>
      <c r="F327" s="236">
        <f t="shared" si="32"/>
        <v>-37211.283199999991</v>
      </c>
      <c r="G327" s="40">
        <f t="shared" si="33"/>
        <v>158269.10319999998</v>
      </c>
      <c r="H327" s="232">
        <f t="shared" si="31"/>
        <v>-0.23511400802579385</v>
      </c>
      <c r="I327" s="40"/>
    </row>
    <row r="328" spans="2:9" x14ac:dyDescent="0.25">
      <c r="B328" s="157">
        <v>42514</v>
      </c>
      <c r="C328" s="282">
        <v>9678</v>
      </c>
      <c r="D328" s="338">
        <v>17.026</v>
      </c>
      <c r="E328" s="40">
        <v>13.02</v>
      </c>
      <c r="F328" s="236">
        <f t="shared" si="32"/>
        <v>-38770.067999999999</v>
      </c>
      <c r="G328" s="40">
        <f t="shared" si="33"/>
        <v>164777.628</v>
      </c>
      <c r="H328" s="232">
        <f t="shared" si="31"/>
        <v>-0.23528720779983556</v>
      </c>
      <c r="I328" s="40"/>
    </row>
    <row r="329" spans="2:9" x14ac:dyDescent="0.25">
      <c r="B329" s="157">
        <v>42515</v>
      </c>
      <c r="C329" s="282">
        <v>9178</v>
      </c>
      <c r="D329" s="338">
        <v>17.206800000000001</v>
      </c>
      <c r="E329" s="40">
        <v>13.54</v>
      </c>
      <c r="F329" s="236">
        <f t="shared" si="32"/>
        <v>-33653.890400000018</v>
      </c>
      <c r="G329" s="40">
        <f t="shared" si="33"/>
        <v>157924.0104</v>
      </c>
      <c r="H329" s="232">
        <f t="shared" si="31"/>
        <v>-0.21310179696399109</v>
      </c>
      <c r="I329" s="40"/>
    </row>
    <row r="330" spans="2:9" x14ac:dyDescent="0.25">
      <c r="B330" s="157">
        <v>42516</v>
      </c>
      <c r="C330" s="282">
        <v>9678</v>
      </c>
      <c r="D330" s="338">
        <v>17.003799999999998</v>
      </c>
      <c r="E330" s="40">
        <v>13.17</v>
      </c>
      <c r="F330" s="236">
        <f t="shared" si="32"/>
        <v>-37103.516399999986</v>
      </c>
      <c r="G330" s="40">
        <f t="shared" si="33"/>
        <v>164562.77639999997</v>
      </c>
      <c r="H330" s="232">
        <f t="shared" si="31"/>
        <v>-0.22546724849739463</v>
      </c>
      <c r="I330" s="40"/>
    </row>
    <row r="331" spans="2:9" x14ac:dyDescent="0.25">
      <c r="B331" s="157">
        <v>42517</v>
      </c>
      <c r="C331" s="282">
        <v>9678</v>
      </c>
      <c r="D331" s="338">
        <v>16.999700000000001</v>
      </c>
      <c r="E331" s="40">
        <v>12.9</v>
      </c>
      <c r="F331" s="236">
        <f t="shared" si="32"/>
        <v>-39676.8966</v>
      </c>
      <c r="G331" s="40">
        <f t="shared" si="33"/>
        <v>164523.09660000002</v>
      </c>
      <c r="H331" s="232">
        <f t="shared" si="31"/>
        <v>-0.2411630793484591</v>
      </c>
      <c r="I331" s="40"/>
    </row>
    <row r="332" spans="2:9" x14ac:dyDescent="0.25">
      <c r="B332" s="157">
        <v>42525</v>
      </c>
      <c r="C332" s="282">
        <v>9678</v>
      </c>
      <c r="D332" s="338">
        <v>16.9956</v>
      </c>
      <c r="E332" s="40">
        <v>13.32</v>
      </c>
      <c r="F332" s="236">
        <f t="shared" si="32"/>
        <v>-35572.456799999993</v>
      </c>
      <c r="G332" s="40">
        <f t="shared" si="33"/>
        <v>164483.41680000001</v>
      </c>
      <c r="H332" s="232">
        <f t="shared" si="31"/>
        <v>-0.21626773988561743</v>
      </c>
      <c r="I332" s="40"/>
    </row>
    <row r="333" spans="2:9" x14ac:dyDescent="0.25">
      <c r="B333" s="157">
        <v>42527</v>
      </c>
      <c r="C333" s="282">
        <v>8178</v>
      </c>
      <c r="D333" s="338">
        <v>17.568999999999999</v>
      </c>
      <c r="E333" s="40">
        <v>13.96</v>
      </c>
      <c r="F333" s="236">
        <f t="shared" si="32"/>
        <v>-29514.401999999984</v>
      </c>
      <c r="G333" s="40">
        <f t="shared" si="33"/>
        <v>143679.28200000001</v>
      </c>
      <c r="H333" s="232">
        <f t="shared" si="31"/>
        <v>-0.20541863509590746</v>
      </c>
      <c r="I333" s="40"/>
    </row>
    <row r="334" spans="2:9" x14ac:dyDescent="0.25">
      <c r="B334" s="157">
        <v>42528</v>
      </c>
      <c r="C334" s="444">
        <v>7678</v>
      </c>
      <c r="D334" s="445">
        <v>17.759599999999999</v>
      </c>
      <c r="E334" s="40">
        <v>14.62</v>
      </c>
      <c r="F334" s="236">
        <f t="shared" si="32"/>
        <v>-24105.848799999996</v>
      </c>
      <c r="G334" s="40">
        <f t="shared" si="33"/>
        <v>136358.20879999999</v>
      </c>
      <c r="H334" s="232">
        <f t="shared" si="31"/>
        <v>-0.17678326088425414</v>
      </c>
      <c r="I334" s="40"/>
    </row>
    <row r="335" spans="2:9" x14ac:dyDescent="0.25">
      <c r="B335" s="157">
        <v>42529</v>
      </c>
      <c r="C335" s="429">
        <v>8178</v>
      </c>
      <c r="D335" s="446">
        <v>17.5654</v>
      </c>
      <c r="E335" s="40">
        <v>14.53</v>
      </c>
      <c r="F335" s="236">
        <f t="shared" si="32"/>
        <v>-24823.50120000001</v>
      </c>
      <c r="G335" s="40">
        <f t="shared" si="33"/>
        <v>143649.8412</v>
      </c>
      <c r="H335" s="232">
        <f t="shared" si="31"/>
        <v>-0.17280562924840887</v>
      </c>
      <c r="I335" s="40"/>
    </row>
    <row r="336" spans="2:9" x14ac:dyDescent="0.25">
      <c r="B336" s="157">
        <v>42531</v>
      </c>
      <c r="C336" s="282">
        <v>8978</v>
      </c>
      <c r="D336" s="338">
        <v>17.1751</v>
      </c>
      <c r="E336" s="40">
        <v>13.42</v>
      </c>
      <c r="F336" s="236">
        <f t="shared" ref="F336:F344" si="34">C336*(E336-D336)</f>
        <v>-33713.287800000006</v>
      </c>
      <c r="G336" s="40">
        <f t="shared" ref="G336:G344" si="35">IF(C336=0, 0,D336*C336)</f>
        <v>154198.0478</v>
      </c>
      <c r="H336" s="232">
        <f t="shared" ref="H336:H344" si="36">IF(C336=0, D336, (E336-D336)/D336)</f>
        <v>-0.21863628159370255</v>
      </c>
      <c r="I336" s="40"/>
    </row>
    <row r="337" spans="2:9" x14ac:dyDescent="0.25">
      <c r="B337" s="157">
        <v>42531</v>
      </c>
      <c r="C337" s="100">
        <v>9278</v>
      </c>
      <c r="D337" s="437">
        <v>17.1052</v>
      </c>
      <c r="E337" s="40">
        <v>13.42</v>
      </c>
      <c r="F337" s="236">
        <f t="shared" si="34"/>
        <v>-34191.285600000003</v>
      </c>
      <c r="G337" s="40">
        <f t="shared" si="35"/>
        <v>158702.04560000001</v>
      </c>
      <c r="H337" s="232">
        <f t="shared" si="36"/>
        <v>-0.21544325702125669</v>
      </c>
      <c r="I337" s="202"/>
    </row>
    <row r="338" spans="2:9" x14ac:dyDescent="0.25">
      <c r="B338" s="157">
        <v>42532</v>
      </c>
      <c r="C338" s="447">
        <v>9278</v>
      </c>
      <c r="D338" s="448">
        <v>17.053000000000001</v>
      </c>
      <c r="E338" s="40">
        <v>13.42</v>
      </c>
      <c r="F338" s="236">
        <f t="shared" si="34"/>
        <v>-33706.974000000009</v>
      </c>
      <c r="G338" s="40">
        <f t="shared" si="35"/>
        <v>158217.734</v>
      </c>
      <c r="H338" s="232">
        <f t="shared" si="36"/>
        <v>-0.21304169354365804</v>
      </c>
      <c r="I338" s="202" t="s">
        <v>189</v>
      </c>
    </row>
    <row r="339" spans="2:9" x14ac:dyDescent="0.25">
      <c r="B339" s="157">
        <v>42535</v>
      </c>
      <c r="C339" s="282">
        <v>9678</v>
      </c>
      <c r="D339" s="338">
        <v>16.879300000000001</v>
      </c>
      <c r="E339" s="40">
        <v>13.23</v>
      </c>
      <c r="F339" s="236">
        <f t="shared" si="34"/>
        <v>-35317.9254</v>
      </c>
      <c r="G339" s="40">
        <f t="shared" si="35"/>
        <v>163357.86540000001</v>
      </c>
      <c r="H339" s="232">
        <f t="shared" si="36"/>
        <v>-0.21619972392220058</v>
      </c>
      <c r="I339" s="470" t="s">
        <v>237</v>
      </c>
    </row>
    <row r="340" spans="2:9" x14ac:dyDescent="0.25">
      <c r="B340" s="157">
        <v>42536</v>
      </c>
      <c r="C340" s="447">
        <v>9278</v>
      </c>
      <c r="D340" s="448">
        <v>17.027999999999999</v>
      </c>
      <c r="E340" s="40">
        <v>13.06</v>
      </c>
      <c r="F340" s="236">
        <f t="shared" si="34"/>
        <v>-36815.103999999985</v>
      </c>
      <c r="G340" s="40">
        <f t="shared" si="35"/>
        <v>157985.78399999999</v>
      </c>
      <c r="H340" s="232">
        <f t="shared" si="36"/>
        <v>-0.23302795395818643</v>
      </c>
      <c r="I340" s="202"/>
    </row>
    <row r="341" spans="2:9" x14ac:dyDescent="0.25">
      <c r="B341" s="157">
        <v>42537</v>
      </c>
      <c r="C341" s="282">
        <v>9278</v>
      </c>
      <c r="D341" s="338">
        <v>17.0168</v>
      </c>
      <c r="E341" s="40">
        <v>12.67</v>
      </c>
      <c r="F341" s="236">
        <f t="shared" si="34"/>
        <v>-40329.610399999998</v>
      </c>
      <c r="G341" s="40">
        <f t="shared" si="35"/>
        <v>157881.87039999999</v>
      </c>
      <c r="H341" s="232">
        <f t="shared" si="36"/>
        <v>-0.25544168116214566</v>
      </c>
      <c r="I341" s="202"/>
    </row>
    <row r="342" spans="2:9" x14ac:dyDescent="0.25">
      <c r="B342" s="157">
        <v>42538</v>
      </c>
      <c r="C342" s="282">
        <v>9278</v>
      </c>
      <c r="D342" s="338">
        <v>17.0061</v>
      </c>
      <c r="E342" s="40">
        <v>13.16</v>
      </c>
      <c r="F342" s="236">
        <f t="shared" si="34"/>
        <v>-35684.1158</v>
      </c>
      <c r="G342" s="40">
        <f t="shared" si="35"/>
        <v>157782.59580000001</v>
      </c>
      <c r="H342" s="232">
        <f t="shared" si="36"/>
        <v>-0.2261600249322302</v>
      </c>
      <c r="I342" s="202"/>
    </row>
    <row r="343" spans="2:9" x14ac:dyDescent="0.25">
      <c r="B343" s="157">
        <v>42541</v>
      </c>
      <c r="C343" s="444">
        <v>7678</v>
      </c>
      <c r="D343" s="445">
        <v>17.568000000000001</v>
      </c>
      <c r="E343" s="40">
        <v>14.48</v>
      </c>
      <c r="F343" s="236">
        <f t="shared" si="34"/>
        <v>-23709.664000000008</v>
      </c>
      <c r="G343" s="40">
        <f t="shared" si="35"/>
        <v>134887.10400000002</v>
      </c>
      <c r="H343" s="232">
        <f t="shared" si="36"/>
        <v>-0.17577413479052828</v>
      </c>
      <c r="I343" s="202"/>
    </row>
    <row r="344" spans="2:9" x14ac:dyDescent="0.25">
      <c r="B344" s="157">
        <v>42542</v>
      </c>
      <c r="C344" s="282">
        <v>6800</v>
      </c>
      <c r="D344" s="338">
        <v>17.892099999999999</v>
      </c>
      <c r="E344" s="40">
        <v>15.09</v>
      </c>
      <c r="F344" s="236">
        <f t="shared" si="34"/>
        <v>-19054.279999999995</v>
      </c>
      <c r="G344" s="40">
        <f t="shared" si="35"/>
        <v>121666.28</v>
      </c>
      <c r="H344" s="232">
        <f t="shared" si="36"/>
        <v>-0.15661101827063337</v>
      </c>
      <c r="I344" s="202"/>
    </row>
    <row r="345" spans="2:9" x14ac:dyDescent="0.25">
      <c r="B345" s="157">
        <v>42543</v>
      </c>
      <c r="C345" s="282">
        <v>7300</v>
      </c>
      <c r="D345" s="338">
        <v>17.6769</v>
      </c>
      <c r="E345" s="40">
        <v>14.75</v>
      </c>
      <c r="F345" s="236">
        <f t="shared" ref="F345:F353" si="37">C345*(E345-D345)</f>
        <v>-21366.37</v>
      </c>
      <c r="G345" s="40">
        <f t="shared" ref="G345:G353" si="38">IF(C345=0, 0,D345*C345)</f>
        <v>129041.37</v>
      </c>
      <c r="H345" s="232">
        <f t="shared" ref="H345:H353" si="39">IF(C345=0, D345, (E345-D345)/D345)</f>
        <v>-0.16557767481854849</v>
      </c>
      <c r="I345" s="202"/>
    </row>
    <row r="346" spans="2:9" x14ac:dyDescent="0.25">
      <c r="B346" s="157">
        <v>42544</v>
      </c>
      <c r="C346" s="282">
        <v>6800</v>
      </c>
      <c r="D346" s="338">
        <v>17.856100000000001</v>
      </c>
      <c r="E346" s="40">
        <v>15.27</v>
      </c>
      <c r="F346" s="236">
        <f t="shared" si="37"/>
        <v>-17585.480000000014</v>
      </c>
      <c r="G346" s="40">
        <f t="shared" si="38"/>
        <v>121421.48000000001</v>
      </c>
      <c r="H346" s="232">
        <f t="shared" si="39"/>
        <v>-0.1448300580753917</v>
      </c>
      <c r="I346" s="202"/>
    </row>
    <row r="347" spans="2:9" x14ac:dyDescent="0.25">
      <c r="B347" s="157">
        <v>42545</v>
      </c>
      <c r="C347" s="444">
        <v>7678</v>
      </c>
      <c r="D347" s="445">
        <v>17.462</v>
      </c>
      <c r="E347" s="40">
        <v>14.41</v>
      </c>
      <c r="F347" s="236">
        <f t="shared" si="37"/>
        <v>-23433.255999999998</v>
      </c>
      <c r="G347" s="40">
        <f t="shared" si="38"/>
        <v>134073.236</v>
      </c>
      <c r="H347" s="232">
        <f t="shared" si="39"/>
        <v>-0.17477952124613444</v>
      </c>
      <c r="I347" s="202"/>
    </row>
    <row r="348" spans="2:9" x14ac:dyDescent="0.25">
      <c r="B348" s="157">
        <v>42545</v>
      </c>
      <c r="C348" s="282">
        <v>8013</v>
      </c>
      <c r="D348" s="338">
        <v>17.32</v>
      </c>
      <c r="E348" s="40">
        <v>14.68</v>
      </c>
      <c r="F348" s="236">
        <f t="shared" si="37"/>
        <v>-21154.320000000003</v>
      </c>
      <c r="G348" s="40">
        <f t="shared" si="38"/>
        <v>138785.16</v>
      </c>
      <c r="H348" s="232">
        <f t="shared" si="39"/>
        <v>-0.15242494226327949</v>
      </c>
      <c r="I348" s="202"/>
    </row>
    <row r="349" spans="2:9" x14ac:dyDescent="0.25">
      <c r="B349" s="157">
        <v>42548</v>
      </c>
      <c r="C349" s="282">
        <v>8978</v>
      </c>
      <c r="D349" s="338">
        <v>16.943300000000001</v>
      </c>
      <c r="E349" s="40">
        <v>13.66</v>
      </c>
      <c r="F349" s="236">
        <f t="shared" si="37"/>
        <v>-29477.467400000005</v>
      </c>
      <c r="G349" s="40">
        <f t="shared" si="38"/>
        <v>152116.9474</v>
      </c>
      <c r="H349" s="232">
        <f t="shared" si="39"/>
        <v>-0.19378161279089673</v>
      </c>
      <c r="I349" s="202"/>
    </row>
    <row r="350" spans="2:9" x14ac:dyDescent="0.25">
      <c r="B350" s="157">
        <v>42548</v>
      </c>
      <c r="C350" s="449">
        <v>9278</v>
      </c>
      <c r="D350" s="450">
        <v>16.834599999999998</v>
      </c>
      <c r="E350" s="40">
        <v>13.66</v>
      </c>
      <c r="F350" s="236">
        <f t="shared" si="37"/>
        <v>-29453.938799999982</v>
      </c>
      <c r="G350" s="40">
        <f t="shared" si="38"/>
        <v>156191.41879999998</v>
      </c>
      <c r="H350" s="232">
        <f t="shared" si="39"/>
        <v>-0.18857590913951019</v>
      </c>
      <c r="I350" s="202"/>
    </row>
    <row r="351" spans="2:9" x14ac:dyDescent="0.25">
      <c r="B351" s="157">
        <v>42549</v>
      </c>
      <c r="C351" s="7">
        <v>8178</v>
      </c>
      <c r="D351" s="454">
        <v>17.124400000000001</v>
      </c>
      <c r="E351" s="40">
        <v>14.78</v>
      </c>
      <c r="F351" s="236">
        <f t="shared" si="37"/>
        <v>-19172.503200000017</v>
      </c>
      <c r="G351" s="40">
        <f t="shared" si="38"/>
        <v>140043.3432</v>
      </c>
      <c r="H351" s="232">
        <f t="shared" si="39"/>
        <v>-0.13690406671182651</v>
      </c>
      <c r="I351" s="471">
        <v>17</v>
      </c>
    </row>
    <row r="352" spans="2:9" x14ac:dyDescent="0.25">
      <c r="B352" s="157">
        <v>42552</v>
      </c>
      <c r="C352" s="455">
        <v>7678</v>
      </c>
      <c r="D352" s="464">
        <v>17.2315</v>
      </c>
      <c r="E352" s="40">
        <v>15.48</v>
      </c>
      <c r="F352" s="236">
        <f t="shared" si="37"/>
        <v>-13448.017</v>
      </c>
      <c r="G352" s="40">
        <f t="shared" si="38"/>
        <v>132303.45699999999</v>
      </c>
      <c r="H352" s="232">
        <f t="shared" si="39"/>
        <v>-0.1016452427240809</v>
      </c>
      <c r="I352" s="489">
        <v>17</v>
      </c>
    </row>
    <row r="353" spans="2:9" x14ac:dyDescent="0.25">
      <c r="B353" s="157">
        <v>42552</v>
      </c>
      <c r="C353" s="10">
        <v>7300</v>
      </c>
      <c r="D353" s="242">
        <v>17.313400000000001</v>
      </c>
      <c r="E353" s="40">
        <v>15.65</v>
      </c>
      <c r="F353" s="236">
        <f t="shared" si="37"/>
        <v>-12142.820000000009</v>
      </c>
      <c r="G353" s="40">
        <f t="shared" si="38"/>
        <v>126387.82</v>
      </c>
      <c r="H353" s="232">
        <f t="shared" si="39"/>
        <v>-9.6075871868032903E-2</v>
      </c>
      <c r="I353" s="202"/>
    </row>
    <row r="354" spans="2:9" x14ac:dyDescent="0.25">
      <c r="B354" s="157">
        <v>42552</v>
      </c>
      <c r="C354" s="10">
        <v>6800</v>
      </c>
      <c r="D354" s="242">
        <v>17.446100000000001</v>
      </c>
      <c r="E354" s="40">
        <v>15.7</v>
      </c>
      <c r="F354" s="236">
        <f t="shared" ref="F354:F358" si="40">C354*(E354-D354)</f>
        <v>-11873.480000000014</v>
      </c>
      <c r="G354" s="40">
        <f t="shared" ref="G354:G358" si="41">IF(C354=0, 0,D354*C354)</f>
        <v>118633.48000000001</v>
      </c>
      <c r="H354" s="232">
        <f t="shared" ref="H354:H358" si="42">IF(C354=0, D354, (E354-D354)/D354)</f>
        <v>-0.10008540590733757</v>
      </c>
      <c r="I354" s="202"/>
    </row>
    <row r="355" spans="2:9" x14ac:dyDescent="0.25">
      <c r="B355" s="157">
        <v>42552</v>
      </c>
      <c r="C355" s="10">
        <v>6000</v>
      </c>
      <c r="D355" s="242">
        <v>17.668199999999999</v>
      </c>
      <c r="E355" s="40">
        <v>15.68</v>
      </c>
      <c r="F355" s="236">
        <f t="shared" si="40"/>
        <v>-11929.199999999995</v>
      </c>
      <c r="G355" s="40">
        <f t="shared" si="41"/>
        <v>106009.2</v>
      </c>
      <c r="H355" s="232">
        <f t="shared" si="42"/>
        <v>-0.11252985589929926</v>
      </c>
      <c r="I355" s="202"/>
    </row>
    <row r="356" spans="2:9" x14ac:dyDescent="0.25">
      <c r="B356" s="157">
        <v>42556</v>
      </c>
      <c r="C356" s="7">
        <v>8178</v>
      </c>
      <c r="D356" s="454">
        <v>16.978899999999999</v>
      </c>
      <c r="E356" s="40">
        <v>14.72</v>
      </c>
      <c r="F356" s="236">
        <f t="shared" si="40"/>
        <v>-18473.284199999991</v>
      </c>
      <c r="G356" s="40">
        <f t="shared" si="41"/>
        <v>138853.4442</v>
      </c>
      <c r="H356" s="232">
        <f t="shared" si="42"/>
        <v>-0.13304159869013887</v>
      </c>
      <c r="I356" s="480">
        <v>16.75</v>
      </c>
    </row>
    <row r="357" spans="2:9" x14ac:dyDescent="0.25">
      <c r="B357" s="157">
        <v>42556</v>
      </c>
      <c r="C357" s="10">
        <v>8678</v>
      </c>
      <c r="D357" s="242">
        <v>16.843</v>
      </c>
      <c r="E357" s="40">
        <v>14.72</v>
      </c>
      <c r="F357" s="236">
        <f t="shared" si="40"/>
        <v>-18423.393999999993</v>
      </c>
      <c r="G357" s="40">
        <f t="shared" si="41"/>
        <v>146163.554</v>
      </c>
      <c r="H357" s="232">
        <f t="shared" si="42"/>
        <v>-0.12604642878347083</v>
      </c>
      <c r="I357" s="202"/>
    </row>
    <row r="358" spans="2:9" x14ac:dyDescent="0.25">
      <c r="B358" s="157">
        <v>42557</v>
      </c>
      <c r="C358" s="7">
        <v>8178</v>
      </c>
      <c r="D358" s="454">
        <v>16.960599999999999</v>
      </c>
      <c r="E358" s="40">
        <v>14.84</v>
      </c>
      <c r="F358" s="236">
        <f t="shared" si="40"/>
        <v>-17342.266799999998</v>
      </c>
      <c r="G358" s="40">
        <f t="shared" si="41"/>
        <v>138703.7868</v>
      </c>
      <c r="H358" s="232">
        <f t="shared" si="42"/>
        <v>-0.12503095409360515</v>
      </c>
      <c r="I358" s="489">
        <v>16.75</v>
      </c>
    </row>
    <row r="359" spans="2:9" x14ac:dyDescent="0.25">
      <c r="B359" s="157">
        <v>42557</v>
      </c>
      <c r="C359" s="10">
        <v>8678</v>
      </c>
      <c r="D359" s="242">
        <v>16.835000000000001</v>
      </c>
      <c r="E359" s="40">
        <v>14.84</v>
      </c>
      <c r="F359" s="236">
        <f t="shared" ref="F359" si="43">C359*(E359-D359)</f>
        <v>-17312.610000000008</v>
      </c>
      <c r="G359" s="40">
        <f t="shared" ref="G359" si="44">IF(C359=0, 0,D359*C359)</f>
        <v>146094.13</v>
      </c>
      <c r="H359" s="232">
        <f t="shared" ref="H359" si="45">IF(C359=0, D359, (E359-D359)/D359)</f>
        <v>-0.11850311850311855</v>
      </c>
      <c r="I359" s="202"/>
    </row>
    <row r="360" spans="2:9" x14ac:dyDescent="0.25">
      <c r="B360" s="157">
        <v>42559</v>
      </c>
      <c r="C360" s="10">
        <v>8678</v>
      </c>
      <c r="D360" s="242">
        <v>16.835000000000001</v>
      </c>
      <c r="E360" s="40">
        <v>14.92</v>
      </c>
      <c r="F360" s="236">
        <f t="shared" ref="F360" si="46">C360*(E360-D360)</f>
        <v>-16618.370000000006</v>
      </c>
      <c r="G360" s="40">
        <f t="shared" ref="G360" si="47">IF(C360=0, 0,D360*C360)</f>
        <v>146094.13</v>
      </c>
      <c r="H360" s="232">
        <f t="shared" ref="H360" si="48">IF(C360=0, D360, (E360-D360)/D360)</f>
        <v>-0.1137511137511138</v>
      </c>
      <c r="I360" s="202"/>
    </row>
    <row r="361" spans="2:9" x14ac:dyDescent="0.25">
      <c r="B361" s="157">
        <v>42562</v>
      </c>
      <c r="C361" s="10">
        <v>8678</v>
      </c>
      <c r="D361" s="242">
        <v>16.835000000000001</v>
      </c>
      <c r="E361" s="40">
        <v>14.69</v>
      </c>
      <c r="F361" s="236">
        <f t="shared" ref="F361" si="49">C361*(E361-D361)</f>
        <v>-18614.310000000012</v>
      </c>
      <c r="G361" s="40">
        <f t="shared" ref="G361" si="50">IF(C361=0, 0,D361*C361)</f>
        <v>146094.13</v>
      </c>
      <c r="H361" s="232">
        <f t="shared" ref="H361" si="51">IF(C361=0, D361, (E361-D361)/D361)</f>
        <v>-0.12741312741312749</v>
      </c>
      <c r="I361" s="202"/>
    </row>
    <row r="362" spans="2:9" x14ac:dyDescent="0.25">
      <c r="B362" s="157">
        <v>42563</v>
      </c>
      <c r="C362" s="10">
        <v>8678</v>
      </c>
      <c r="D362" s="242">
        <v>16.835000000000001</v>
      </c>
      <c r="E362" s="40">
        <v>15.6</v>
      </c>
      <c r="F362" s="236">
        <f t="shared" ref="F362:F363" si="52">C362*(E362-D362)</f>
        <v>-10717.330000000011</v>
      </c>
      <c r="G362" s="40">
        <f t="shared" ref="G362:G363" si="53">IF(C362=0, 0,D362*C362)</f>
        <v>146094.13</v>
      </c>
      <c r="H362" s="232">
        <f t="shared" ref="H362:H363" si="54">IF(C362=0, D362, (E362-D362)/D362)</f>
        <v>-7.3359073359073421E-2</v>
      </c>
      <c r="I362" s="202"/>
    </row>
    <row r="363" spans="2:9" x14ac:dyDescent="0.25">
      <c r="B363" s="157">
        <v>42564</v>
      </c>
      <c r="C363" s="10">
        <v>8738</v>
      </c>
      <c r="D363" s="242">
        <v>16.816099999999999</v>
      </c>
      <c r="E363" s="40">
        <v>15.29</v>
      </c>
      <c r="F363" s="236">
        <f t="shared" si="52"/>
        <v>-13335.061799999996</v>
      </c>
      <c r="G363" s="40">
        <f t="shared" si="53"/>
        <v>146939.08179999999</v>
      </c>
      <c r="H363" s="232">
        <f t="shared" si="54"/>
        <v>-9.0752314745987453E-2</v>
      </c>
      <c r="I363" s="40"/>
    </row>
    <row r="364" spans="2:9" x14ac:dyDescent="0.25">
      <c r="B364" s="157">
        <v>42566</v>
      </c>
      <c r="C364" s="10">
        <v>8738</v>
      </c>
      <c r="D364" s="242">
        <v>16.816099999999999</v>
      </c>
      <c r="E364" s="40">
        <v>15.21</v>
      </c>
      <c r="F364" s="236">
        <f t="shared" ref="F364:F366" si="55">C364*(E364-D364)</f>
        <v>-14034.101799999982</v>
      </c>
      <c r="G364" s="40">
        <f t="shared" ref="G364:G366" si="56">IF(C364=0, 0,D364*C364)</f>
        <v>146939.08179999999</v>
      </c>
      <c r="H364" s="232">
        <f t="shared" ref="H364:H366" si="57">IF(C364=0, D364, (E364-D364)/D364)</f>
        <v>-9.5509660384988079E-2</v>
      </c>
      <c r="I364" s="40"/>
    </row>
    <row r="365" spans="2:9" x14ac:dyDescent="0.25">
      <c r="B365" s="157">
        <v>42570</v>
      </c>
      <c r="C365" s="10">
        <v>9138</v>
      </c>
      <c r="D365" s="242">
        <v>16.733499999999999</v>
      </c>
      <c r="E365" s="40">
        <v>14.75</v>
      </c>
      <c r="F365" s="236">
        <f t="shared" si="55"/>
        <v>-18125.222999999994</v>
      </c>
      <c r="G365" s="40">
        <f t="shared" si="56"/>
        <v>152910.723</v>
      </c>
      <c r="H365" s="232">
        <f t="shared" si="57"/>
        <v>-0.1185346759494427</v>
      </c>
      <c r="I365" s="40"/>
    </row>
    <row r="366" spans="2:9" x14ac:dyDescent="0.25">
      <c r="B366" s="157">
        <v>42571</v>
      </c>
      <c r="C366" s="10">
        <v>9138</v>
      </c>
      <c r="D366" s="242">
        <v>16.7227</v>
      </c>
      <c r="E366" s="40">
        <v>14.84</v>
      </c>
      <c r="F366" s="236">
        <f t="shared" si="55"/>
        <v>-17204.112599999997</v>
      </c>
      <c r="G366" s="40">
        <f t="shared" si="56"/>
        <v>152812.03260000001</v>
      </c>
      <c r="H366" s="232">
        <f t="shared" si="57"/>
        <v>-0.11258349429218965</v>
      </c>
      <c r="I366" s="40"/>
    </row>
    <row r="367" spans="2:9" x14ac:dyDescent="0.25">
      <c r="B367" s="157">
        <v>42572</v>
      </c>
      <c r="C367" s="10">
        <v>9138</v>
      </c>
      <c r="D367" s="242">
        <v>16.718900000000001</v>
      </c>
      <c r="E367" s="40">
        <v>14.42</v>
      </c>
      <c r="F367" s="236">
        <f t="shared" ref="F367" si="58">C367*(E367-D367)</f>
        <v>-21007.348200000015</v>
      </c>
      <c r="G367" s="40">
        <f t="shared" ref="G367" si="59">IF(C367=0, 0,D367*C367)</f>
        <v>152777.3082</v>
      </c>
      <c r="H367" s="232">
        <f t="shared" ref="H367" si="60">IF(C367=0, D367, (E367-D367)/D367)</f>
        <v>-0.13750306539305823</v>
      </c>
      <c r="I367" s="40"/>
    </row>
    <row r="368" spans="2:9" x14ac:dyDescent="0.25">
      <c r="B368" s="157">
        <v>42573</v>
      </c>
      <c r="C368" s="449">
        <v>9278</v>
      </c>
      <c r="D368" s="450">
        <v>16.679099999999998</v>
      </c>
      <c r="E368" s="40">
        <v>14.11</v>
      </c>
      <c r="F368" s="236">
        <f t="shared" ref="F368:F369" si="61">C368*(E368-D368)</f>
        <v>-23836.109799999987</v>
      </c>
      <c r="G368" s="40">
        <f t="shared" ref="G368:G369" si="62">IF(C368=0, 0,D368*C368)</f>
        <v>154748.68979999999</v>
      </c>
      <c r="H368" s="232">
        <f t="shared" ref="H368:H369" si="63">IF(C368=0, D368, (E368-D368)/D368)</f>
        <v>-0.15403109280476759</v>
      </c>
      <c r="I368" s="40"/>
    </row>
    <row r="369" spans="2:9" x14ac:dyDescent="0.25">
      <c r="B369" s="157">
        <v>42576</v>
      </c>
      <c r="C369" s="10">
        <v>9478</v>
      </c>
      <c r="D369" s="242">
        <v>16.613099999999999</v>
      </c>
      <c r="E369" s="40">
        <v>13.58</v>
      </c>
      <c r="F369" s="236">
        <f t="shared" si="61"/>
        <v>-28747.721799999992</v>
      </c>
      <c r="G369" s="40">
        <f t="shared" si="62"/>
        <v>157458.96179999999</v>
      </c>
      <c r="H369" s="232">
        <f t="shared" si="63"/>
        <v>-0.18257278894366491</v>
      </c>
      <c r="I369" s="339"/>
    </row>
    <row r="370" spans="2:9" x14ac:dyDescent="0.25">
      <c r="B370" s="157">
        <v>42577</v>
      </c>
      <c r="C370" s="449">
        <v>9278</v>
      </c>
      <c r="D370" s="450">
        <v>16.674199999999999</v>
      </c>
      <c r="E370" s="40">
        <v>13.78</v>
      </c>
      <c r="F370" s="236">
        <f t="shared" ref="F370:F371" si="64">C370*(E370-D370)</f>
        <v>-26852.387599999998</v>
      </c>
      <c r="G370" s="40">
        <f t="shared" ref="G370:G371" si="65">IF(C370=0, 0,D370*C370)</f>
        <v>154703.22759999998</v>
      </c>
      <c r="H370" s="232">
        <f t="shared" ref="H370:H371" si="66">IF(C370=0, D370, (E370-D370)/D370)</f>
        <v>-0.17357354475776948</v>
      </c>
      <c r="I370" s="529">
        <v>16.53</v>
      </c>
    </row>
    <row r="371" spans="2:9" x14ac:dyDescent="0.25">
      <c r="B371" s="157">
        <v>42578</v>
      </c>
      <c r="C371" s="10">
        <v>9478</v>
      </c>
      <c r="D371" s="242">
        <v>16.6004</v>
      </c>
      <c r="E371" s="40">
        <v>13.13</v>
      </c>
      <c r="F371" s="236">
        <f t="shared" si="64"/>
        <v>-32892.451199999996</v>
      </c>
      <c r="G371" s="40">
        <f t="shared" si="65"/>
        <v>157338.5912</v>
      </c>
      <c r="H371" s="232">
        <f t="shared" si="66"/>
        <v>-0.20905520348907253</v>
      </c>
      <c r="I371" s="339"/>
    </row>
    <row r="372" spans="2:9" x14ac:dyDescent="0.25">
      <c r="B372" s="157">
        <v>42580</v>
      </c>
      <c r="C372" s="10">
        <v>9478</v>
      </c>
      <c r="D372" s="242">
        <v>16.599</v>
      </c>
      <c r="E372" s="40">
        <v>13.64</v>
      </c>
      <c r="F372" s="236">
        <f t="shared" ref="F372:F375" si="67">C372*(E372-D372)</f>
        <v>-28045.401999999998</v>
      </c>
      <c r="G372" s="40">
        <f t="shared" ref="G372:G375" si="68">IF(C372=0, 0,D372*C372)</f>
        <v>157325.32200000001</v>
      </c>
      <c r="H372" s="232">
        <f t="shared" ref="H372:H375" si="69">IF(C372=0, D372, (E372-D372)/D372)</f>
        <v>-0.17826375082836313</v>
      </c>
      <c r="I372" s="339"/>
    </row>
    <row r="373" spans="2:9" x14ac:dyDescent="0.25">
      <c r="B373" s="157">
        <v>42580</v>
      </c>
      <c r="C373" s="449">
        <v>9278</v>
      </c>
      <c r="D373" s="450">
        <v>16.664000000000001</v>
      </c>
      <c r="E373" s="40">
        <v>13.64</v>
      </c>
      <c r="F373" s="236">
        <f t="shared" si="67"/>
        <v>-28056.67200000001</v>
      </c>
      <c r="G373" s="40">
        <f t="shared" si="68"/>
        <v>154608.592</v>
      </c>
      <c r="H373" s="232">
        <f t="shared" si="69"/>
        <v>-0.18146903504560732</v>
      </c>
      <c r="I373" s="529">
        <v>16.53</v>
      </c>
    </row>
    <row r="374" spans="2:9" x14ac:dyDescent="0.25">
      <c r="B374" s="157">
        <v>42583</v>
      </c>
      <c r="C374" s="10">
        <v>9478</v>
      </c>
      <c r="D374" s="242">
        <v>16.5871</v>
      </c>
      <c r="E374" s="40">
        <v>12.92</v>
      </c>
      <c r="F374" s="236">
        <f t="shared" si="67"/>
        <v>-34756.773799999995</v>
      </c>
      <c r="G374" s="40">
        <f t="shared" si="68"/>
        <v>157212.5338</v>
      </c>
      <c r="H374" s="232">
        <f t="shared" si="69"/>
        <v>-0.22108144280796521</v>
      </c>
      <c r="I374" s="339"/>
    </row>
    <row r="375" spans="2:9" x14ac:dyDescent="0.25">
      <c r="B375" s="157">
        <v>42584</v>
      </c>
      <c r="C375" s="10">
        <v>9678</v>
      </c>
      <c r="D375" s="242">
        <v>16.5063</v>
      </c>
      <c r="E375" s="40">
        <v>12.9</v>
      </c>
      <c r="F375" s="236">
        <f t="shared" si="67"/>
        <v>-34901.771399999991</v>
      </c>
      <c r="G375" s="40">
        <f t="shared" si="68"/>
        <v>159747.97140000001</v>
      </c>
      <c r="H375" s="232">
        <f t="shared" si="69"/>
        <v>-0.21848021664455386</v>
      </c>
      <c r="I375" s="339"/>
    </row>
    <row r="376" spans="2:9" x14ac:dyDescent="0.25">
      <c r="B376" s="157">
        <v>42585</v>
      </c>
      <c r="C376" s="10">
        <v>10078</v>
      </c>
      <c r="D376" s="242">
        <v>16.5063</v>
      </c>
      <c r="E376" s="40">
        <v>12.9</v>
      </c>
      <c r="F376" s="236">
        <f t="shared" ref="F376:F391" si="70">C376*(E376-D376)</f>
        <v>-36344.291399999995</v>
      </c>
      <c r="G376" s="40">
        <f t="shared" ref="G376:G391" si="71">IF(C376=0, 0,D376*C376)</f>
        <v>166350.4914</v>
      </c>
      <c r="H376" s="232">
        <f t="shared" ref="H376:H391" si="72">IF(C376=0, D376, (E376-D376)/D376)</f>
        <v>-0.21848021664455386</v>
      </c>
      <c r="I376" s="339"/>
    </row>
    <row r="377" spans="2:9" x14ac:dyDescent="0.25">
      <c r="B377" s="157">
        <v>42586</v>
      </c>
      <c r="C377" s="10">
        <v>9678</v>
      </c>
      <c r="D377" s="242">
        <v>16.489799999999999</v>
      </c>
      <c r="E377" s="40">
        <v>13.41</v>
      </c>
      <c r="F377" s="236">
        <f t="shared" si="70"/>
        <v>-29806.304399999986</v>
      </c>
      <c r="G377" s="40">
        <f t="shared" si="71"/>
        <v>159588.28439999997</v>
      </c>
      <c r="H377" s="232">
        <f t="shared" si="72"/>
        <v>-0.1867700032747516</v>
      </c>
      <c r="I377" s="339"/>
    </row>
    <row r="378" spans="2:9" x14ac:dyDescent="0.25">
      <c r="B378" s="157">
        <v>42586</v>
      </c>
      <c r="C378" s="449">
        <v>9278</v>
      </c>
      <c r="D378" s="450">
        <v>16.609200000000001</v>
      </c>
      <c r="E378" s="40">
        <v>13.66</v>
      </c>
      <c r="F378" s="236">
        <f t="shared" si="70"/>
        <v>-27362.67760000001</v>
      </c>
      <c r="G378" s="40">
        <f t="shared" si="71"/>
        <v>154100.15760000001</v>
      </c>
      <c r="H378" s="232">
        <f t="shared" si="72"/>
        <v>-0.17756424150470829</v>
      </c>
      <c r="I378" s="529">
        <v>16.53</v>
      </c>
    </row>
    <row r="379" spans="2:9" x14ac:dyDescent="0.25">
      <c r="B379" s="157">
        <v>42586</v>
      </c>
      <c r="C379" s="10">
        <v>9138</v>
      </c>
      <c r="D379" s="242">
        <v>16.6511</v>
      </c>
      <c r="E379" s="40">
        <v>13.87</v>
      </c>
      <c r="F379" s="236">
        <f t="shared" si="70"/>
        <v>-25413.691800000004</v>
      </c>
      <c r="G379" s="40">
        <f t="shared" si="71"/>
        <v>152157.7518</v>
      </c>
      <c r="H379" s="232">
        <f t="shared" si="72"/>
        <v>-0.1670219985466426</v>
      </c>
      <c r="I379" s="339"/>
    </row>
    <row r="380" spans="2:9" x14ac:dyDescent="0.25">
      <c r="B380" s="157">
        <v>42593</v>
      </c>
      <c r="C380" s="10">
        <v>8678</v>
      </c>
      <c r="D380" s="242">
        <v>16.760300000000001</v>
      </c>
      <c r="E380" s="40">
        <v>14.61</v>
      </c>
      <c r="F380" s="236">
        <f t="shared" si="70"/>
        <v>-18660.303400000012</v>
      </c>
      <c r="G380" s="40">
        <f t="shared" si="71"/>
        <v>145445.88340000002</v>
      </c>
      <c r="H380" s="232">
        <f t="shared" si="72"/>
        <v>-0.12829722618330228</v>
      </c>
      <c r="I380" s="339"/>
    </row>
    <row r="381" spans="2:9" x14ac:dyDescent="0.25">
      <c r="B381" s="157">
        <v>42597</v>
      </c>
      <c r="C381" s="10">
        <v>8678</v>
      </c>
      <c r="D381" s="242">
        <v>16.7471</v>
      </c>
      <c r="E381" s="40">
        <v>14.9</v>
      </c>
      <c r="F381" s="236">
        <f t="shared" si="70"/>
        <v>-16029.133799999994</v>
      </c>
      <c r="G381" s="40">
        <f t="shared" si="71"/>
        <v>145331.33379999999</v>
      </c>
      <c r="H381" s="232">
        <f t="shared" si="72"/>
        <v>-0.11029372249523794</v>
      </c>
      <c r="I381" s="339"/>
    </row>
    <row r="382" spans="2:9" x14ac:dyDescent="0.25">
      <c r="B382" s="157">
        <v>42598</v>
      </c>
      <c r="C382" s="7">
        <v>8178</v>
      </c>
      <c r="D382" s="454">
        <v>16.8429</v>
      </c>
      <c r="E382" s="40">
        <v>15.17</v>
      </c>
      <c r="F382" s="236">
        <f t="shared" si="70"/>
        <v>-13680.976200000003</v>
      </c>
      <c r="G382" s="40">
        <f t="shared" si="71"/>
        <v>137741.23620000001</v>
      </c>
      <c r="H382" s="232">
        <f t="shared" si="72"/>
        <v>-9.9323750660515728E-2</v>
      </c>
      <c r="I382" s="46">
        <v>16.75</v>
      </c>
    </row>
    <row r="383" spans="2:9" x14ac:dyDescent="0.25">
      <c r="B383" s="157">
        <v>42599</v>
      </c>
      <c r="C383" s="10">
        <v>7178</v>
      </c>
      <c r="D383" s="242">
        <v>17.009899999999998</v>
      </c>
      <c r="E383" s="40">
        <v>15.7</v>
      </c>
      <c r="F383" s="236">
        <f t="shared" si="70"/>
        <v>-9402.4621999999927</v>
      </c>
      <c r="G383" s="40">
        <f t="shared" si="71"/>
        <v>122097.06219999999</v>
      </c>
      <c r="H383" s="232">
        <f t="shared" si="72"/>
        <v>-7.7008095285686515E-2</v>
      </c>
      <c r="I383" s="339"/>
    </row>
    <row r="384" spans="2:9" x14ac:dyDescent="0.25">
      <c r="B384" s="157">
        <v>42600</v>
      </c>
      <c r="C384" s="10">
        <v>5500</v>
      </c>
      <c r="D384" s="242">
        <v>17.185600000000001</v>
      </c>
      <c r="E384" s="40">
        <v>16.68</v>
      </c>
      <c r="F384" s="236">
        <f t="shared" si="70"/>
        <v>-2780.8000000000065</v>
      </c>
      <c r="G384" s="40">
        <f t="shared" si="71"/>
        <v>94520.8</v>
      </c>
      <c r="H384" s="232">
        <f t="shared" si="72"/>
        <v>-2.9419979517735846E-2</v>
      </c>
      <c r="I384" s="339"/>
    </row>
    <row r="385" spans="2:9" x14ac:dyDescent="0.25">
      <c r="B385" s="157">
        <v>42601</v>
      </c>
      <c r="C385" s="10">
        <v>5000</v>
      </c>
      <c r="D385" s="242">
        <v>17.222200000000001</v>
      </c>
      <c r="E385" s="40">
        <v>16.8</v>
      </c>
      <c r="F385" s="236">
        <f t="shared" si="70"/>
        <v>-2111.0000000000005</v>
      </c>
      <c r="G385" s="40">
        <f t="shared" si="71"/>
        <v>86111</v>
      </c>
      <c r="H385" s="232">
        <f t="shared" si="72"/>
        <v>-2.4514870341768188E-2</v>
      </c>
      <c r="I385" s="339"/>
    </row>
    <row r="386" spans="2:9" x14ac:dyDescent="0.25">
      <c r="B386" s="157">
        <v>42604</v>
      </c>
      <c r="C386" s="10">
        <v>6000</v>
      </c>
      <c r="D386" s="242">
        <v>16.9651</v>
      </c>
      <c r="E386" s="40">
        <v>15.64</v>
      </c>
      <c r="F386" s="236">
        <f t="shared" si="70"/>
        <v>-7950.599999999994</v>
      </c>
      <c r="G386" s="40">
        <f t="shared" si="71"/>
        <v>101790.59999999999</v>
      </c>
      <c r="H386" s="232">
        <f t="shared" si="72"/>
        <v>-7.8107408739117312E-2</v>
      </c>
      <c r="I386" s="339"/>
    </row>
    <row r="387" spans="2:9" x14ac:dyDescent="0.25">
      <c r="B387" s="157">
        <v>42604</v>
      </c>
      <c r="C387" s="10">
        <v>6500</v>
      </c>
      <c r="D387" s="242">
        <v>16.850899999999999</v>
      </c>
      <c r="E387" s="40">
        <v>15.64</v>
      </c>
      <c r="F387" s="236">
        <f t="shared" si="70"/>
        <v>-7870.8499999999922</v>
      </c>
      <c r="G387" s="40">
        <f t="shared" si="71"/>
        <v>109530.84999999999</v>
      </c>
      <c r="H387" s="232">
        <f t="shared" si="72"/>
        <v>-7.1859663282079822E-2</v>
      </c>
      <c r="I387" s="339"/>
    </row>
    <row r="388" spans="2:9" x14ac:dyDescent="0.25">
      <c r="B388" s="157">
        <v>42605</v>
      </c>
      <c r="C388" s="10">
        <v>6000</v>
      </c>
      <c r="D388" s="242">
        <v>16.923500000000001</v>
      </c>
      <c r="E388" s="40">
        <v>16.43</v>
      </c>
      <c r="F388" s="236">
        <f t="shared" si="70"/>
        <v>-2961.0000000000055</v>
      </c>
      <c r="G388" s="40">
        <f t="shared" si="71"/>
        <v>101541</v>
      </c>
      <c r="H388" s="232">
        <f t="shared" si="72"/>
        <v>-2.9160634620498178E-2</v>
      </c>
      <c r="I388" s="339"/>
    </row>
    <row r="389" spans="2:9" x14ac:dyDescent="0.25">
      <c r="B389" s="157">
        <v>42605</v>
      </c>
      <c r="C389" s="10">
        <v>5500</v>
      </c>
      <c r="D389" s="242">
        <v>16.9848</v>
      </c>
      <c r="E389" s="40">
        <v>16.43</v>
      </c>
      <c r="F389" s="236">
        <f t="shared" si="70"/>
        <v>-3051.400000000001</v>
      </c>
      <c r="G389" s="40">
        <f t="shared" si="71"/>
        <v>93416.4</v>
      </c>
      <c r="H389" s="232">
        <f t="shared" si="72"/>
        <v>-3.266450002355048E-2</v>
      </c>
      <c r="I389" s="339"/>
    </row>
    <row r="390" spans="2:9" x14ac:dyDescent="0.25">
      <c r="B390" s="157">
        <v>42605</v>
      </c>
      <c r="C390" s="10">
        <v>5000</v>
      </c>
      <c r="D390" s="242">
        <v>17.035299999999999</v>
      </c>
      <c r="E390" s="40">
        <v>16.43</v>
      </c>
      <c r="F390" s="236">
        <f t="shared" si="70"/>
        <v>-3026.4999999999986</v>
      </c>
      <c r="G390" s="40">
        <f t="shared" si="71"/>
        <v>85176.5</v>
      </c>
      <c r="H390" s="232">
        <f t="shared" si="72"/>
        <v>-3.5532100990296606E-2</v>
      </c>
      <c r="I390" s="339"/>
    </row>
    <row r="391" spans="2:9" x14ac:dyDescent="0.25">
      <c r="B391" s="157">
        <v>42606</v>
      </c>
      <c r="C391" s="10">
        <v>5178</v>
      </c>
      <c r="D391" s="242">
        <v>17.0017</v>
      </c>
      <c r="E391" s="40">
        <v>16.059999999999999</v>
      </c>
      <c r="F391" s="236">
        <f t="shared" si="70"/>
        <v>-4876.1226000000042</v>
      </c>
      <c r="G391" s="40">
        <f t="shared" si="71"/>
        <v>88034.802599999995</v>
      </c>
      <c r="H391" s="232">
        <f t="shared" si="72"/>
        <v>-5.5388578789179958E-2</v>
      </c>
      <c r="I391" s="339"/>
    </row>
    <row r="392" spans="2:9" x14ac:dyDescent="0.25">
      <c r="B392" s="157">
        <v>42607</v>
      </c>
      <c r="C392" s="10">
        <v>5178</v>
      </c>
      <c r="D392" s="242">
        <v>17.0017</v>
      </c>
      <c r="E392" s="40">
        <v>16.010000000000002</v>
      </c>
      <c r="F392" s="236">
        <f t="shared" ref="F392:F393" si="73">C392*(E392-D392)</f>
        <v>-5135.0225999999902</v>
      </c>
      <c r="G392" s="40">
        <f t="shared" ref="G392:G393" si="74">IF(C392=0, 0,D392*C392)</f>
        <v>88034.802599999995</v>
      </c>
      <c r="H392" s="232">
        <f t="shared" ref="H392:H393" si="75">IF(C392=0, D392, (E392-D392)/D392)</f>
        <v>-5.8329461171529789E-2</v>
      </c>
      <c r="I392" s="339"/>
    </row>
    <row r="393" spans="2:9" x14ac:dyDescent="0.25">
      <c r="B393" s="157">
        <v>42608</v>
      </c>
      <c r="C393" s="10">
        <v>6178</v>
      </c>
      <c r="D393" s="242">
        <v>16.825800000000001</v>
      </c>
      <c r="E393" s="40">
        <v>15.95</v>
      </c>
      <c r="F393" s="236">
        <f t="shared" si="73"/>
        <v>-5410.6924000000108</v>
      </c>
      <c r="G393" s="40">
        <f t="shared" si="74"/>
        <v>103949.79240000001</v>
      </c>
      <c r="H393" s="232">
        <f t="shared" si="75"/>
        <v>-5.2051016890727435E-2</v>
      </c>
      <c r="I393" s="339"/>
    </row>
    <row r="394" spans="2:9" x14ac:dyDescent="0.25">
      <c r="B394" s="157">
        <v>42611</v>
      </c>
      <c r="C394" s="10">
        <v>6178</v>
      </c>
      <c r="D394" s="242">
        <v>16.825800000000001</v>
      </c>
      <c r="E394" s="40">
        <v>15.99</v>
      </c>
      <c r="F394" s="236">
        <f t="shared" ref="F394:F399" si="76">C394*(E394-D394)</f>
        <v>-5163.5724000000046</v>
      </c>
      <c r="G394" s="40">
        <f t="shared" ref="G394:G399" si="77">IF(C394=0, 0,D394*C394)</f>
        <v>103949.79240000001</v>
      </c>
      <c r="H394" s="232">
        <f t="shared" ref="H394:H399" si="78">IF(C394=0, D394, (E394-D394)/D394)</f>
        <v>-4.9673715365688452E-2</v>
      </c>
      <c r="I394" s="339"/>
    </row>
    <row r="395" spans="2:9" x14ac:dyDescent="0.25">
      <c r="B395" s="157">
        <v>42612</v>
      </c>
      <c r="C395" s="10">
        <v>6678</v>
      </c>
      <c r="D395" s="242">
        <v>16.739999999999998</v>
      </c>
      <c r="E395" s="40">
        <v>15.55</v>
      </c>
      <c r="F395" s="236">
        <f t="shared" si="76"/>
        <v>-7946.8199999999852</v>
      </c>
      <c r="G395" s="40">
        <f t="shared" si="77"/>
        <v>111789.71999999999</v>
      </c>
      <c r="H395" s="232">
        <f t="shared" si="78"/>
        <v>-7.1087216248506446E-2</v>
      </c>
      <c r="I395" s="339"/>
    </row>
    <row r="396" spans="2:9" x14ac:dyDescent="0.25">
      <c r="B396" s="157">
        <v>42612</v>
      </c>
      <c r="C396" s="10">
        <v>7178</v>
      </c>
      <c r="D396" s="242">
        <v>16.6571</v>
      </c>
      <c r="E396" s="40">
        <v>15.55</v>
      </c>
      <c r="F396" s="236">
        <f t="shared" si="76"/>
        <v>-7946.7637999999934</v>
      </c>
      <c r="G396" s="40">
        <f t="shared" si="77"/>
        <v>119564.66379999999</v>
      </c>
      <c r="H396" s="232">
        <f t="shared" si="78"/>
        <v>-6.6464150422342369E-2</v>
      </c>
      <c r="I396" s="339"/>
    </row>
    <row r="397" spans="2:9" x14ac:dyDescent="0.25">
      <c r="B397" s="157">
        <v>42613</v>
      </c>
      <c r="C397" s="455">
        <v>7678</v>
      </c>
      <c r="D397" s="464">
        <v>16.565200000000001</v>
      </c>
      <c r="E397" s="40">
        <v>15.02</v>
      </c>
      <c r="F397" s="236">
        <f t="shared" si="76"/>
        <v>-11864.04560000001</v>
      </c>
      <c r="G397" s="40">
        <f t="shared" si="77"/>
        <v>127187.60560000001</v>
      </c>
      <c r="H397" s="232">
        <f t="shared" si="78"/>
        <v>-9.3279887957887692E-2</v>
      </c>
      <c r="I397" s="530" t="s">
        <v>312</v>
      </c>
    </row>
    <row r="398" spans="2:9" x14ac:dyDescent="0.25">
      <c r="B398" s="157">
        <v>42613</v>
      </c>
      <c r="C398" s="7">
        <v>8178</v>
      </c>
      <c r="D398" s="454">
        <v>16.474399999999999</v>
      </c>
      <c r="E398" s="40">
        <v>15.02</v>
      </c>
      <c r="F398" s="236">
        <f t="shared" si="76"/>
        <v>-11894.083199999997</v>
      </c>
      <c r="G398" s="40">
        <f t="shared" si="77"/>
        <v>134727.64319999999</v>
      </c>
      <c r="H398" s="232">
        <f t="shared" si="78"/>
        <v>-8.8282426067110162E-2</v>
      </c>
      <c r="I398" s="531" t="s">
        <v>313</v>
      </c>
    </row>
    <row r="399" spans="2:9" x14ac:dyDescent="0.25">
      <c r="B399" s="157">
        <v>42615</v>
      </c>
      <c r="C399" s="455">
        <v>7678</v>
      </c>
      <c r="D399" s="464">
        <v>16.528099999999998</v>
      </c>
      <c r="E399" s="40">
        <v>15.49</v>
      </c>
      <c r="F399" s="236">
        <f t="shared" si="76"/>
        <v>-7970.5317999999861</v>
      </c>
      <c r="G399" s="40">
        <f t="shared" si="77"/>
        <v>126902.75179999998</v>
      </c>
      <c r="H399" s="232">
        <f t="shared" si="78"/>
        <v>-6.2808187268953986E-2</v>
      </c>
      <c r="I399" s="530">
        <v>16.350000000000001</v>
      </c>
    </row>
    <row r="400" spans="2:9" x14ac:dyDescent="0.25">
      <c r="B400" s="157">
        <v>42616</v>
      </c>
      <c r="C400" s="10">
        <v>7678</v>
      </c>
      <c r="D400" s="242">
        <v>16.528099999999998</v>
      </c>
      <c r="E400" s="40">
        <v>15.64</v>
      </c>
      <c r="F400" s="236">
        <f t="shared" ref="F400:F404" si="79">C400*(E400-D400)</f>
        <v>-6818.8317999999836</v>
      </c>
      <c r="G400" s="40">
        <f t="shared" ref="G400:G404" si="80">IF(C400=0, 0,D400*C400)</f>
        <v>126902.75179999998</v>
      </c>
      <c r="H400" s="232">
        <f t="shared" ref="H400:H404" si="81">IF(C400=0, D400, (E400-D400)/D400)</f>
        <v>-5.3732733950060681E-2</v>
      </c>
      <c r="I400" s="40"/>
    </row>
    <row r="401" spans="2:9" x14ac:dyDescent="0.25">
      <c r="B401" s="157">
        <v>42621</v>
      </c>
      <c r="C401" s="10">
        <v>7178</v>
      </c>
      <c r="D401" s="242">
        <v>16.545400000000001</v>
      </c>
      <c r="E401" s="40">
        <v>16.739999999999998</v>
      </c>
      <c r="F401" s="236">
        <f t="shared" si="79"/>
        <v>1396.8387999999832</v>
      </c>
      <c r="G401" s="40">
        <f t="shared" si="80"/>
        <v>118762.8812</v>
      </c>
      <c r="H401" s="232">
        <f t="shared" si="81"/>
        <v>1.1761577235968768E-2</v>
      </c>
      <c r="I401" s="40"/>
    </row>
    <row r="402" spans="2:9" x14ac:dyDescent="0.25">
      <c r="B402" s="157">
        <v>42621</v>
      </c>
      <c r="C402" s="10">
        <v>6678</v>
      </c>
      <c r="D402" s="242">
        <v>16.532299999999999</v>
      </c>
      <c r="E402" s="40">
        <v>16.739999999999998</v>
      </c>
      <c r="F402" s="236">
        <f t="shared" si="79"/>
        <v>1387.0205999999941</v>
      </c>
      <c r="G402" s="40">
        <f t="shared" si="80"/>
        <v>110402.6994</v>
      </c>
      <c r="H402" s="232">
        <f t="shared" si="81"/>
        <v>1.256328520532528E-2</v>
      </c>
      <c r="I402" s="40"/>
    </row>
    <row r="403" spans="2:9" x14ac:dyDescent="0.25">
      <c r="B403" s="157">
        <v>42621</v>
      </c>
      <c r="C403" s="10">
        <v>6458</v>
      </c>
      <c r="D403" s="242">
        <v>16.524263999999999</v>
      </c>
      <c r="E403" s="40">
        <v>16.739999999999998</v>
      </c>
      <c r="F403" s="236">
        <f t="shared" si="79"/>
        <v>1393.2230879999981</v>
      </c>
      <c r="G403" s="40">
        <f t="shared" si="80"/>
        <v>106713.69691199998</v>
      </c>
      <c r="H403" s="232">
        <f t="shared" si="81"/>
        <v>1.3055710075801242E-2</v>
      </c>
      <c r="I403" s="40"/>
    </row>
    <row r="404" spans="2:9" x14ac:dyDescent="0.25">
      <c r="B404" s="157">
        <v>42622</v>
      </c>
      <c r="C404" s="10">
        <v>7178</v>
      </c>
      <c r="D404" s="242">
        <v>16.477945999999999</v>
      </c>
      <c r="E404" s="40">
        <v>15.67</v>
      </c>
      <c r="F404" s="236">
        <f t="shared" si="79"/>
        <v>-5799.4363879999955</v>
      </c>
      <c r="G404" s="40">
        <f t="shared" si="80"/>
        <v>118278.696388</v>
      </c>
      <c r="H404" s="232">
        <f t="shared" si="81"/>
        <v>-4.9031960658203359E-2</v>
      </c>
      <c r="I404" s="40"/>
    </row>
    <row r="405" spans="2:9" x14ac:dyDescent="0.25">
      <c r="B405" s="157">
        <v>42622</v>
      </c>
      <c r="C405" s="455">
        <v>7678</v>
      </c>
      <c r="D405" s="464">
        <v>16.430541999999999</v>
      </c>
      <c r="E405" s="40">
        <v>15.67</v>
      </c>
      <c r="F405" s="236">
        <f t="shared" ref="F405:F411" si="82">C405*(E405-D405)</f>
        <v>-5839.4414759999936</v>
      </c>
      <c r="G405" s="40">
        <f t="shared" ref="G405:G411" si="83">IF(C405=0, 0,D405*C405)</f>
        <v>126153.70147599999</v>
      </c>
      <c r="H405" s="232">
        <f t="shared" ref="H405:H411" si="84">IF(C405=0, D405, (E405-D405)/D405)</f>
        <v>-4.6288308687564853E-2</v>
      </c>
      <c r="I405" s="530">
        <v>16.350000000000001</v>
      </c>
    </row>
    <row r="406" spans="2:9" x14ac:dyDescent="0.25">
      <c r="B406" s="157">
        <v>42625</v>
      </c>
      <c r="C406" s="10">
        <v>7678</v>
      </c>
      <c r="D406" s="242">
        <v>16.412330000000001</v>
      </c>
      <c r="E406" s="40">
        <v>15.47</v>
      </c>
      <c r="F406" s="236">
        <f t="shared" si="82"/>
        <v>-7235.2097400000011</v>
      </c>
      <c r="G406" s="40">
        <f t="shared" si="83"/>
        <v>126013.86974000001</v>
      </c>
      <c r="H406" s="232">
        <f t="shared" si="84"/>
        <v>-5.7415979327737135E-2</v>
      </c>
      <c r="I406" s="40"/>
    </row>
    <row r="407" spans="2:9" x14ac:dyDescent="0.25">
      <c r="B407" s="157">
        <v>42625</v>
      </c>
      <c r="C407" s="455">
        <v>7678</v>
      </c>
      <c r="D407" s="464">
        <v>16.355817999999999</v>
      </c>
      <c r="E407" s="40">
        <v>15.47</v>
      </c>
      <c r="F407" s="236">
        <f t="shared" si="82"/>
        <v>-6801.3106039999893</v>
      </c>
      <c r="G407" s="40">
        <f t="shared" si="83"/>
        <v>125579.970604</v>
      </c>
      <c r="H407" s="232">
        <f t="shared" si="84"/>
        <v>-5.4159198885680847E-2</v>
      </c>
      <c r="I407" s="530" t="s">
        <v>336</v>
      </c>
    </row>
    <row r="408" spans="2:9" x14ac:dyDescent="0.25">
      <c r="B408" s="157">
        <v>42626</v>
      </c>
      <c r="C408" s="10">
        <v>8278</v>
      </c>
      <c r="D408" s="242">
        <v>16.25066</v>
      </c>
      <c r="E408" s="40">
        <v>14.34</v>
      </c>
      <c r="F408" s="236">
        <f t="shared" si="82"/>
        <v>-15816.44348</v>
      </c>
      <c r="G408" s="40">
        <f t="shared" si="83"/>
        <v>134522.96348000001</v>
      </c>
      <c r="H408" s="232">
        <f t="shared" si="84"/>
        <v>-0.11757430159759666</v>
      </c>
      <c r="I408" s="40"/>
    </row>
    <row r="409" spans="2:9" x14ac:dyDescent="0.25">
      <c r="B409" s="157">
        <v>42626</v>
      </c>
      <c r="C409" s="10">
        <v>8678</v>
      </c>
      <c r="D409" s="242">
        <v>16.18149</v>
      </c>
      <c r="E409" s="40">
        <v>14.34</v>
      </c>
      <c r="F409" s="236">
        <f t="shared" si="82"/>
        <v>-15980.450220000002</v>
      </c>
      <c r="G409" s="40">
        <f t="shared" si="83"/>
        <v>140422.97021999999</v>
      </c>
      <c r="H409" s="232">
        <f t="shared" si="84"/>
        <v>-0.11380225183218605</v>
      </c>
      <c r="I409" s="40"/>
    </row>
    <row r="410" spans="2:9" x14ac:dyDescent="0.25">
      <c r="B410" s="157">
        <v>42626</v>
      </c>
      <c r="C410" s="10">
        <v>8978</v>
      </c>
      <c r="D410" s="242">
        <v>16.124635000000001</v>
      </c>
      <c r="E410" s="40">
        <v>14.34</v>
      </c>
      <c r="F410" s="236">
        <f t="shared" si="82"/>
        <v>-16022.453030000013</v>
      </c>
      <c r="G410" s="40">
        <f t="shared" si="83"/>
        <v>144766.97303000002</v>
      </c>
      <c r="H410" s="232">
        <f t="shared" si="84"/>
        <v>-0.11067754401882594</v>
      </c>
      <c r="I410" s="40"/>
    </row>
    <row r="411" spans="2:9" x14ac:dyDescent="0.25">
      <c r="B411" s="157">
        <v>42626</v>
      </c>
      <c r="C411" s="449">
        <v>9278</v>
      </c>
      <c r="D411" s="450">
        <v>16.064019999999999</v>
      </c>
      <c r="E411" s="40">
        <v>14.34</v>
      </c>
      <c r="F411" s="236">
        <f t="shared" si="82"/>
        <v>-15995.457559999995</v>
      </c>
      <c r="G411" s="40">
        <f t="shared" si="83"/>
        <v>149041.97756</v>
      </c>
      <c r="H411" s="232">
        <f t="shared" si="84"/>
        <v>-0.10732182853357998</v>
      </c>
      <c r="I411" s="547" t="s">
        <v>337</v>
      </c>
    </row>
    <row r="412" spans="2:9" x14ac:dyDescent="0.25">
      <c r="B412" s="157">
        <v>42627</v>
      </c>
      <c r="C412" s="10">
        <v>9478</v>
      </c>
      <c r="D412" s="242">
        <v>16.020790999999999</v>
      </c>
      <c r="E412" s="40">
        <v>14.01</v>
      </c>
      <c r="F412" s="236">
        <f t="shared" ref="F412:F413" si="85">C412*(E412-D412)</f>
        <v>-19058.277097999995</v>
      </c>
      <c r="G412" s="40">
        <f t="shared" ref="G412:G413" si="86">IF(C412=0, 0,D412*C412)</f>
        <v>151845.05709799999</v>
      </c>
      <c r="H412" s="232">
        <f t="shared" ref="H412:H413" si="87">IF(C412=0, D412, (E412-D412)/D412)</f>
        <v>-0.1255113433537707</v>
      </c>
      <c r="I412" s="40"/>
    </row>
    <row r="413" spans="2:9" x14ac:dyDescent="0.25">
      <c r="B413" s="157">
        <v>42628</v>
      </c>
      <c r="C413" s="10">
        <v>9478</v>
      </c>
      <c r="D413" s="242">
        <v>16.015726999999998</v>
      </c>
      <c r="E413" s="40">
        <v>14.26</v>
      </c>
      <c r="F413" s="236">
        <f t="shared" si="85"/>
        <v>-16640.780505999985</v>
      </c>
      <c r="G413" s="40">
        <f t="shared" si="86"/>
        <v>151797.06050599998</v>
      </c>
      <c r="H413" s="232">
        <f t="shared" si="87"/>
        <v>-0.1096251827968845</v>
      </c>
      <c r="I413" s="40"/>
    </row>
    <row r="414" spans="2:9" x14ac:dyDescent="0.25">
      <c r="B414" s="157">
        <v>42629</v>
      </c>
      <c r="C414" s="10">
        <v>9478</v>
      </c>
      <c r="D414" s="242">
        <v>16.015726999999998</v>
      </c>
      <c r="E414" s="40">
        <v>14.24</v>
      </c>
      <c r="F414" s="236">
        <f t="shared" ref="F414:F417" si="88">C414*(E414-D414)</f>
        <v>-16830.340505999982</v>
      </c>
      <c r="G414" s="40">
        <f t="shared" ref="G414:G417" si="89">IF(C414=0, 0,D414*C414)</f>
        <v>151797.06050599998</v>
      </c>
      <c r="H414" s="232">
        <f t="shared" ref="H414:H417" si="90">IF(C414=0, D414, (E414-D414)/D414)</f>
        <v>-0.1108739553315312</v>
      </c>
      <c r="I414" s="40"/>
    </row>
    <row r="415" spans="2:9" x14ac:dyDescent="0.25">
      <c r="B415" s="157">
        <v>42632</v>
      </c>
      <c r="C415" s="10">
        <v>9678</v>
      </c>
      <c r="D415" s="242">
        <v>15.975311</v>
      </c>
      <c r="E415" s="40">
        <v>14.09</v>
      </c>
      <c r="F415" s="236">
        <f t="shared" si="88"/>
        <v>-18246.039857999996</v>
      </c>
      <c r="G415" s="40">
        <f t="shared" si="89"/>
        <v>154609.05985799999</v>
      </c>
      <c r="H415" s="232">
        <f t="shared" si="90"/>
        <v>-0.11801404054043141</v>
      </c>
      <c r="I415" s="40"/>
    </row>
    <row r="416" spans="2:9" x14ac:dyDescent="0.25">
      <c r="B416" s="157">
        <v>42633</v>
      </c>
      <c r="C416" s="10">
        <v>9878</v>
      </c>
      <c r="D416" s="242">
        <v>15.937544000000001</v>
      </c>
      <c r="E416" s="40">
        <v>13.87</v>
      </c>
      <c r="F416" s="236">
        <f t="shared" si="88"/>
        <v>-20423.199632000014</v>
      </c>
      <c r="G416" s="40">
        <f t="shared" si="89"/>
        <v>157431.05963200002</v>
      </c>
      <c r="H416" s="232">
        <f t="shared" si="90"/>
        <v>-0.12972789282966068</v>
      </c>
      <c r="I416" s="40"/>
    </row>
    <row r="417" spans="2:9" x14ac:dyDescent="0.25">
      <c r="B417" s="157">
        <v>42633</v>
      </c>
      <c r="C417" s="10">
        <v>10000</v>
      </c>
      <c r="D417" s="242">
        <v>15.915126000000001</v>
      </c>
      <c r="E417" s="40">
        <v>13.87</v>
      </c>
      <c r="F417" s="236">
        <f t="shared" si="88"/>
        <v>-20451.260000000017</v>
      </c>
      <c r="G417" s="40">
        <f t="shared" si="89"/>
        <v>159151.26</v>
      </c>
      <c r="H417" s="232">
        <f t="shared" si="90"/>
        <v>-0.12850203008132022</v>
      </c>
      <c r="I417" s="40"/>
    </row>
    <row r="418" spans="2:9" x14ac:dyDescent="0.25">
      <c r="B418" s="157">
        <v>42634</v>
      </c>
      <c r="C418" s="10">
        <v>9678</v>
      </c>
      <c r="D418" s="242">
        <v>15.969538999999999</v>
      </c>
      <c r="E418" s="40">
        <v>14.65</v>
      </c>
      <c r="F418" s="236">
        <f t="shared" ref="F418:F419" si="91">C418*(E418-D418)</f>
        <v>-12770.498441999989</v>
      </c>
      <c r="G418" s="40">
        <f t="shared" ref="G418:G419" si="92">IF(C418=0, 0,D418*C418)</f>
        <v>154553.19844199999</v>
      </c>
      <c r="H418" s="232">
        <f t="shared" ref="H418:H419" si="93">IF(C418=0, D418, (E418-D418)/D418)</f>
        <v>-8.2628496664806608E-2</v>
      </c>
      <c r="I418" s="40"/>
    </row>
    <row r="419" spans="2:9" x14ac:dyDescent="0.25">
      <c r="B419" s="157">
        <v>42634</v>
      </c>
      <c r="C419" s="449">
        <v>9278</v>
      </c>
      <c r="D419" s="450">
        <v>16.026872999999998</v>
      </c>
      <c r="E419" s="40">
        <v>14.65</v>
      </c>
      <c r="F419" s="236">
        <f t="shared" si="91"/>
        <v>-12774.627693999981</v>
      </c>
      <c r="G419" s="40">
        <f t="shared" si="92"/>
        <v>148697.32769399998</v>
      </c>
      <c r="H419" s="232">
        <f t="shared" si="93"/>
        <v>-8.5910270830747718E-2</v>
      </c>
      <c r="I419" s="547">
        <v>16</v>
      </c>
    </row>
    <row r="420" spans="2:9" x14ac:dyDescent="0.25">
      <c r="B420" s="157">
        <v>42635</v>
      </c>
      <c r="C420" s="10">
        <v>9278</v>
      </c>
      <c r="D420" s="242">
        <v>16.026872999999998</v>
      </c>
      <c r="E420" s="40">
        <v>14.87</v>
      </c>
      <c r="F420" s="236">
        <f t="shared" ref="F420:F431" si="94">C420*(E420-D420)</f>
        <v>-10733.467693999992</v>
      </c>
      <c r="G420" s="40">
        <f t="shared" ref="G420:G431" si="95">IF(C420=0, 0,D420*C420)</f>
        <v>148697.32769399998</v>
      </c>
      <c r="H420" s="232">
        <f t="shared" ref="H420:H431" si="96">IF(C420=0, D420, (E420-D420)/D420)</f>
        <v>-7.2183326092369937E-2</v>
      </c>
      <c r="I420" s="40"/>
    </row>
    <row r="421" spans="2:9" x14ac:dyDescent="0.25">
      <c r="B421" s="157">
        <v>42636</v>
      </c>
      <c r="C421" s="10">
        <v>9478</v>
      </c>
      <c r="D421" s="242">
        <v>15.992122</v>
      </c>
      <c r="E421" s="40">
        <v>14.49</v>
      </c>
      <c r="F421" s="236">
        <f t="shared" si="94"/>
        <v>-14237.112315999999</v>
      </c>
      <c r="G421" s="40">
        <f t="shared" si="95"/>
        <v>151573.33231600001</v>
      </c>
      <c r="H421" s="232">
        <f t="shared" si="96"/>
        <v>-9.39288732289561E-2</v>
      </c>
      <c r="I421" s="40"/>
    </row>
    <row r="422" spans="2:9" x14ac:dyDescent="0.25">
      <c r="B422" s="157">
        <v>42639</v>
      </c>
      <c r="C422" s="449">
        <v>9278</v>
      </c>
      <c r="D422" s="450">
        <v>16.019549999999999</v>
      </c>
      <c r="E422" s="40">
        <v>14.41</v>
      </c>
      <c r="F422" s="236">
        <f t="shared" si="94"/>
        <v>-14933.404899999989</v>
      </c>
      <c r="G422" s="40">
        <f t="shared" si="95"/>
        <v>148629.38489999998</v>
      </c>
      <c r="H422" s="232">
        <f t="shared" si="96"/>
        <v>-0.10047410819904422</v>
      </c>
      <c r="I422" s="547">
        <v>16</v>
      </c>
    </row>
    <row r="423" spans="2:9" x14ac:dyDescent="0.25">
      <c r="B423" s="157">
        <v>42639</v>
      </c>
      <c r="C423" s="10">
        <v>9478</v>
      </c>
      <c r="D423" s="242">
        <v>15.987468</v>
      </c>
      <c r="E423" s="40">
        <v>14.41</v>
      </c>
      <c r="F423" s="236">
        <f t="shared" si="94"/>
        <v>-14951.241703999996</v>
      </c>
      <c r="G423" s="40">
        <f t="shared" si="95"/>
        <v>151529.221704</v>
      </c>
      <c r="H423" s="232">
        <f t="shared" si="96"/>
        <v>-9.8669032519721048E-2</v>
      </c>
      <c r="I423" s="40"/>
    </row>
    <row r="424" spans="2:9" x14ac:dyDescent="0.25">
      <c r="B424" s="157">
        <v>42639</v>
      </c>
      <c r="C424" s="10">
        <v>9678</v>
      </c>
      <c r="D424" s="242">
        <v>15.954266000000001</v>
      </c>
      <c r="E424" s="40">
        <v>14.41</v>
      </c>
      <c r="F424" s="236">
        <f t="shared" si="94"/>
        <v>-14945.406348000004</v>
      </c>
      <c r="G424" s="40">
        <f t="shared" si="95"/>
        <v>154405.386348</v>
      </c>
      <c r="H424" s="232">
        <f t="shared" si="96"/>
        <v>-9.6793296538994669E-2</v>
      </c>
      <c r="I424" s="40"/>
    </row>
    <row r="425" spans="2:9" x14ac:dyDescent="0.25">
      <c r="B425" s="157">
        <v>42640</v>
      </c>
      <c r="C425" s="10">
        <v>10000</v>
      </c>
      <c r="D425" s="242">
        <v>15.890373</v>
      </c>
      <c r="E425" s="40">
        <v>14.06</v>
      </c>
      <c r="F425" s="236">
        <f t="shared" si="94"/>
        <v>-18303.73</v>
      </c>
      <c r="G425" s="40">
        <f t="shared" si="95"/>
        <v>158903.73000000001</v>
      </c>
      <c r="H425" s="232">
        <f t="shared" si="96"/>
        <v>-0.11518754153851517</v>
      </c>
      <c r="I425" s="40"/>
    </row>
    <row r="426" spans="2:9" x14ac:dyDescent="0.25">
      <c r="B426" s="157">
        <v>42641</v>
      </c>
      <c r="C426" s="449">
        <v>9278</v>
      </c>
      <c r="D426" s="450">
        <v>15.968</v>
      </c>
      <c r="E426" s="40">
        <v>15.18</v>
      </c>
      <c r="F426" s="236">
        <f t="shared" si="94"/>
        <v>-7311.0640000000021</v>
      </c>
      <c r="G426" s="40">
        <f t="shared" si="95"/>
        <v>148151.10399999999</v>
      </c>
      <c r="H426" s="232">
        <f t="shared" si="96"/>
        <v>-4.9348697394789594E-2</v>
      </c>
      <c r="I426" s="547" t="s">
        <v>361</v>
      </c>
    </row>
    <row r="427" spans="2:9" x14ac:dyDescent="0.25">
      <c r="B427" s="157">
        <v>42641</v>
      </c>
      <c r="C427" s="10">
        <v>8978</v>
      </c>
      <c r="D427" s="242">
        <v>15.991466000000001</v>
      </c>
      <c r="E427" s="40">
        <v>15.18</v>
      </c>
      <c r="F427" s="236">
        <f t="shared" si="94"/>
        <v>-7285.3417480000098</v>
      </c>
      <c r="G427" s="40">
        <f t="shared" si="95"/>
        <v>143571.38174800001</v>
      </c>
      <c r="H427" s="232">
        <f t="shared" si="96"/>
        <v>-5.0743690415875634E-2</v>
      </c>
      <c r="I427" s="40"/>
    </row>
    <row r="428" spans="2:9" x14ac:dyDescent="0.25">
      <c r="B428" s="157">
        <v>42642</v>
      </c>
      <c r="C428" s="10">
        <v>8678</v>
      </c>
      <c r="D428" s="242">
        <v>16.016100000000002</v>
      </c>
      <c r="E428" s="40">
        <v>15.9</v>
      </c>
      <c r="F428" s="236">
        <f t="shared" si="94"/>
        <v>-1007.5158000000105</v>
      </c>
      <c r="G428" s="40">
        <f t="shared" si="95"/>
        <v>138987.71580000001</v>
      </c>
      <c r="H428" s="232">
        <f t="shared" si="96"/>
        <v>-7.2489557382884214E-3</v>
      </c>
      <c r="I428" s="40"/>
    </row>
    <row r="429" spans="2:9" x14ac:dyDescent="0.25">
      <c r="B429" s="157">
        <v>42642</v>
      </c>
      <c r="C429" s="10">
        <v>7978</v>
      </c>
      <c r="D429" s="242">
        <v>16.036825</v>
      </c>
      <c r="E429" s="40">
        <v>15.9</v>
      </c>
      <c r="F429" s="236">
        <f t="shared" si="94"/>
        <v>-1091.5898499999998</v>
      </c>
      <c r="G429" s="40">
        <f t="shared" si="95"/>
        <v>127941.78985</v>
      </c>
      <c r="H429" s="232">
        <f t="shared" si="96"/>
        <v>-8.5319257396648009E-3</v>
      </c>
      <c r="I429" s="40"/>
    </row>
    <row r="430" spans="2:9" x14ac:dyDescent="0.25">
      <c r="B430" s="157">
        <v>42642</v>
      </c>
      <c r="C430" s="10">
        <v>7764</v>
      </c>
      <c r="D430" s="242">
        <v>16.038399999999999</v>
      </c>
      <c r="E430" s="40">
        <v>15.9</v>
      </c>
      <c r="F430" s="236">
        <f t="shared" si="94"/>
        <v>-1074.5375999999919</v>
      </c>
      <c r="G430" s="40">
        <f t="shared" si="95"/>
        <v>124522.1376</v>
      </c>
      <c r="H430" s="232">
        <f t="shared" si="96"/>
        <v>-8.6292897047086353E-3</v>
      </c>
      <c r="I430" s="40"/>
    </row>
    <row r="431" spans="2:9" x14ac:dyDescent="0.25">
      <c r="B431" s="157">
        <v>42642</v>
      </c>
      <c r="C431" s="7">
        <v>8178</v>
      </c>
      <c r="D431" s="454">
        <v>16.019235999999999</v>
      </c>
      <c r="E431" s="40">
        <v>15.9</v>
      </c>
      <c r="F431" s="236">
        <f t="shared" si="94"/>
        <v>-975.11200799999187</v>
      </c>
      <c r="G431" s="40">
        <f t="shared" si="95"/>
        <v>131005.31200799999</v>
      </c>
      <c r="H431" s="232">
        <f t="shared" si="96"/>
        <v>-7.4433012910228059E-3</v>
      </c>
      <c r="I431" s="531" t="s">
        <v>362</v>
      </c>
    </row>
    <row r="432" spans="2:9" x14ac:dyDescent="0.25">
      <c r="B432" s="157">
        <v>42643</v>
      </c>
      <c r="C432" s="10">
        <v>8178</v>
      </c>
      <c r="D432" s="242">
        <v>16.019235999999999</v>
      </c>
      <c r="E432" s="40">
        <v>15.81</v>
      </c>
      <c r="F432" s="236">
        <f t="shared" ref="F432" si="97">C432*(E432-D432)</f>
        <v>-1711.1320079999907</v>
      </c>
      <c r="G432" s="40">
        <f t="shared" ref="G432" si="98">IF(C432=0, 0,D432*C432)</f>
        <v>131005.31200799999</v>
      </c>
      <c r="H432" s="232">
        <f t="shared" ref="H432" si="99">IF(C432=0, D432, (E432-D432)/D432)</f>
        <v>-1.3061546755413234E-2</v>
      </c>
      <c r="I432" s="40"/>
    </row>
    <row r="433" spans="2:9" x14ac:dyDescent="0.25">
      <c r="B433" s="157">
        <v>42646</v>
      </c>
      <c r="C433" s="10">
        <v>8178</v>
      </c>
      <c r="D433" s="242">
        <v>16.019235999999999</v>
      </c>
      <c r="E433" s="40">
        <v>15.98</v>
      </c>
      <c r="F433" s="236">
        <f t="shared" ref="F433:F442" si="100">C433*(E433-D433)</f>
        <v>-320.8720079999913</v>
      </c>
      <c r="G433" s="40">
        <f t="shared" ref="G433:G442" si="101">IF(C433=0, 0,D433*C433)</f>
        <v>131005.31200799999</v>
      </c>
      <c r="H433" s="232">
        <f t="shared" ref="H433:H442" si="102">IF(C433=0, D433, (E433-D433)/D433)</f>
        <v>-2.4493053226757469E-3</v>
      </c>
      <c r="I433" s="40"/>
    </row>
    <row r="434" spans="2:9" x14ac:dyDescent="0.25">
      <c r="B434" s="157">
        <v>42647</v>
      </c>
      <c r="C434" s="10">
        <v>8678</v>
      </c>
      <c r="D434" s="242">
        <v>16.010061</v>
      </c>
      <c r="E434" s="40">
        <v>15.63</v>
      </c>
      <c r="F434" s="236">
        <f t="shared" si="100"/>
        <v>-3298.169357999996</v>
      </c>
      <c r="G434" s="40">
        <f t="shared" si="101"/>
        <v>138935.309358</v>
      </c>
      <c r="H434" s="232">
        <f t="shared" si="102"/>
        <v>-2.3738885192255015E-2</v>
      </c>
      <c r="I434" s="40"/>
    </row>
    <row r="435" spans="2:9" x14ac:dyDescent="0.25">
      <c r="B435" s="157">
        <v>42647</v>
      </c>
      <c r="C435" s="10">
        <v>9178</v>
      </c>
      <c r="D435" s="242">
        <v>15.988811</v>
      </c>
      <c r="E435" s="40">
        <v>15.63</v>
      </c>
      <c r="F435" s="236">
        <f t="shared" si="100"/>
        <v>-3293.1673579999938</v>
      </c>
      <c r="G435" s="40">
        <f t="shared" si="101"/>
        <v>146745.30735799999</v>
      </c>
      <c r="H435" s="232">
        <f t="shared" si="102"/>
        <v>-2.2441381038277287E-2</v>
      </c>
      <c r="I435" s="40"/>
    </row>
    <row r="436" spans="2:9" x14ac:dyDescent="0.25">
      <c r="B436" s="157">
        <v>42648</v>
      </c>
      <c r="C436" s="7">
        <v>8178</v>
      </c>
      <c r="D436" s="454">
        <v>15.977725</v>
      </c>
      <c r="E436" s="40">
        <v>16.12</v>
      </c>
      <c r="F436" s="236">
        <f t="shared" si="100"/>
        <v>1163.524950000012</v>
      </c>
      <c r="G436" s="40">
        <f t="shared" si="101"/>
        <v>130665.83504999999</v>
      </c>
      <c r="H436" s="232">
        <f t="shared" si="102"/>
        <v>8.904584351026288E-3</v>
      </c>
      <c r="I436" s="531">
        <v>15.75</v>
      </c>
    </row>
    <row r="437" spans="2:9" x14ac:dyDescent="0.25">
      <c r="B437" s="157">
        <v>42648</v>
      </c>
      <c r="C437" s="455">
        <v>7678</v>
      </c>
      <c r="D437" s="464">
        <v>15.951529000000001</v>
      </c>
      <c r="E437" s="40">
        <v>16.12</v>
      </c>
      <c r="F437" s="236">
        <f t="shared" si="100"/>
        <v>1293.5203380000021</v>
      </c>
      <c r="G437" s="40">
        <f t="shared" si="101"/>
        <v>122475.839662</v>
      </c>
      <c r="H437" s="232">
        <f t="shared" si="102"/>
        <v>1.0561432700275958E-2</v>
      </c>
      <c r="I437" s="530" t="s">
        <v>368</v>
      </c>
    </row>
    <row r="438" spans="2:9" x14ac:dyDescent="0.25">
      <c r="B438" s="157">
        <v>42649</v>
      </c>
      <c r="C438" s="10">
        <v>8678</v>
      </c>
      <c r="D438" s="242">
        <v>15.941579000000001</v>
      </c>
      <c r="E438" s="40">
        <v>16.079999999999998</v>
      </c>
      <c r="F438" s="236">
        <f t="shared" si="100"/>
        <v>1201.2174379999781</v>
      </c>
      <c r="G438" s="40">
        <f t="shared" si="101"/>
        <v>138341.022562</v>
      </c>
      <c r="H438" s="232">
        <f t="shared" si="102"/>
        <v>8.683016908174369E-3</v>
      </c>
      <c r="I438" s="40"/>
    </row>
    <row r="439" spans="2:9" x14ac:dyDescent="0.25">
      <c r="B439" s="157">
        <v>42650</v>
      </c>
      <c r="C439" s="10">
        <v>8978</v>
      </c>
      <c r="D439" s="242">
        <v>15.935176999999999</v>
      </c>
      <c r="E439" s="40">
        <v>15.56</v>
      </c>
      <c r="F439" s="236">
        <f t="shared" si="100"/>
        <v>-3368.3391059999908</v>
      </c>
      <c r="G439" s="40">
        <f t="shared" si="101"/>
        <v>143066.01910599999</v>
      </c>
      <c r="H439" s="232">
        <f t="shared" si="102"/>
        <v>-2.354394933925108E-2</v>
      </c>
      <c r="I439" s="40"/>
    </row>
    <row r="440" spans="2:9" x14ac:dyDescent="0.25">
      <c r="B440" s="157">
        <v>42650</v>
      </c>
      <c r="C440" s="449">
        <v>9278</v>
      </c>
      <c r="D440" s="450">
        <v>15.923692000000001</v>
      </c>
      <c r="E440" s="40">
        <v>15.56</v>
      </c>
      <c r="F440" s="236">
        <f t="shared" si="100"/>
        <v>-3374.3343760000034</v>
      </c>
      <c r="G440" s="40">
        <f t="shared" si="101"/>
        <v>147740.01437600001</v>
      </c>
      <c r="H440" s="232">
        <f t="shared" si="102"/>
        <v>-2.2839678134945106E-2</v>
      </c>
      <c r="I440" s="547">
        <v>15.8</v>
      </c>
    </row>
    <row r="441" spans="2:9" x14ac:dyDescent="0.25">
      <c r="B441" s="157">
        <v>42653</v>
      </c>
      <c r="C441" s="10">
        <v>9678</v>
      </c>
      <c r="D441" s="242">
        <v>15.9153</v>
      </c>
      <c r="E441" s="40">
        <v>15.72</v>
      </c>
      <c r="F441" s="236">
        <f t="shared" si="100"/>
        <v>-1890.1133999999961</v>
      </c>
      <c r="G441" s="40">
        <f t="shared" si="101"/>
        <v>154028.27340000001</v>
      </c>
      <c r="H441" s="232">
        <f t="shared" si="102"/>
        <v>-1.2271210721758281E-2</v>
      </c>
      <c r="I441" s="40"/>
    </row>
    <row r="442" spans="2:9" x14ac:dyDescent="0.25">
      <c r="B442" s="157">
        <v>42661</v>
      </c>
      <c r="C442" s="10">
        <v>10000</v>
      </c>
      <c r="D442" s="242">
        <v>15.901258</v>
      </c>
      <c r="E442" s="40">
        <v>14.2</v>
      </c>
      <c r="F442" s="236">
        <f t="shared" si="100"/>
        <v>-17012.580000000009</v>
      </c>
      <c r="G442" s="40">
        <f t="shared" si="101"/>
        <v>159012.58000000002</v>
      </c>
      <c r="H442" s="232">
        <f t="shared" si="102"/>
        <v>-0.10698889358313669</v>
      </c>
      <c r="I442" s="40"/>
    </row>
    <row r="443" spans="2:9" x14ac:dyDescent="0.25">
      <c r="B443" s="157">
        <v>42663</v>
      </c>
      <c r="C443" s="10">
        <v>10000</v>
      </c>
      <c r="D443" s="242">
        <v>15.901258</v>
      </c>
      <c r="E443" s="40">
        <v>14.7</v>
      </c>
      <c r="F443" s="236">
        <f t="shared" ref="F443:F444" si="103">C443*(E443-D443)</f>
        <v>-12012.580000000011</v>
      </c>
      <c r="G443" s="40">
        <f t="shared" ref="G443:G444" si="104">IF(C443=0, 0,D443*C443)</f>
        <v>159012.58000000002</v>
      </c>
      <c r="H443" s="232">
        <f t="shared" ref="H443:H444" si="105">IF(C443=0, D443, (E443-D443)/D443)</f>
        <v>-7.5544840540289399E-2</v>
      </c>
      <c r="I443" s="40"/>
    </row>
    <row r="444" spans="2:9" x14ac:dyDescent="0.25">
      <c r="B444" s="157">
        <v>42668</v>
      </c>
      <c r="C444" s="10">
        <v>11000</v>
      </c>
      <c r="D444" s="242">
        <v>15.74728</v>
      </c>
      <c r="E444" s="40">
        <v>14.18</v>
      </c>
      <c r="F444" s="236">
        <f t="shared" si="103"/>
        <v>-17240.080000000002</v>
      </c>
      <c r="G444" s="40">
        <f t="shared" si="104"/>
        <v>173220.08</v>
      </c>
      <c r="H444" s="232">
        <f t="shared" si="105"/>
        <v>-9.9527029429844413E-2</v>
      </c>
      <c r="I444" s="40"/>
    </row>
    <row r="445" spans="2:9" x14ac:dyDescent="0.25">
      <c r="B445" s="157">
        <v>42670</v>
      </c>
      <c r="C445" s="10">
        <v>11500</v>
      </c>
      <c r="D445" s="242">
        <v>15.679137000000001</v>
      </c>
      <c r="E445" s="40">
        <v>13.95</v>
      </c>
      <c r="F445" s="236">
        <f>C445*(E445-D445)</f>
        <v>-19885.075500000017</v>
      </c>
      <c r="G445" s="40">
        <f>IF(C445=0, 0,D445*C445)</f>
        <v>180310.07550000001</v>
      </c>
      <c r="H445" s="232">
        <f>IF(C445=0, D445, (E445-D445)/D445)</f>
        <v>-0.11028266415428357</v>
      </c>
      <c r="I445" s="40"/>
    </row>
    <row r="446" spans="2:9" x14ac:dyDescent="0.25">
      <c r="B446" s="157">
        <v>42670</v>
      </c>
      <c r="C446" s="10">
        <v>12000</v>
      </c>
      <c r="D446" s="242">
        <v>15.6113</v>
      </c>
      <c r="E446" s="40">
        <v>13.95</v>
      </c>
      <c r="F446" s="236">
        <f t="shared" ref="F446:F450" si="106">C446*(E446-D446)</f>
        <v>-19935.600000000009</v>
      </c>
      <c r="G446" s="40">
        <f t="shared" ref="G446:G450" si="107">IF(C446=0, 0,D446*C446)</f>
        <v>187335.6</v>
      </c>
      <c r="H446" s="232">
        <f t="shared" ref="H446:H450" si="108">IF(C446=0, D446, (E446-D446)/D446)</f>
        <v>-0.10641650599245422</v>
      </c>
      <c r="I446" s="40"/>
    </row>
    <row r="447" spans="2:9" x14ac:dyDescent="0.25">
      <c r="B447" s="157">
        <v>42670</v>
      </c>
      <c r="C447" s="10">
        <v>12500</v>
      </c>
      <c r="D447" s="242">
        <v>15.542006000000001</v>
      </c>
      <c r="E447" s="40">
        <v>13.95</v>
      </c>
      <c r="F447" s="236">
        <f t="shared" si="106"/>
        <v>-19900.075000000015</v>
      </c>
      <c r="G447" s="40">
        <f t="shared" si="107"/>
        <v>194275.07500000001</v>
      </c>
      <c r="H447" s="232">
        <f t="shared" si="108"/>
        <v>-0.10243246592492637</v>
      </c>
      <c r="I447" s="40"/>
    </row>
    <row r="448" spans="2:9" x14ac:dyDescent="0.25">
      <c r="B448" s="157">
        <v>42671</v>
      </c>
      <c r="C448" s="10">
        <v>12500</v>
      </c>
      <c r="D448" s="242">
        <v>15.536431</v>
      </c>
      <c r="E448" s="40">
        <v>13.72</v>
      </c>
      <c r="F448" s="236">
        <f t="shared" si="106"/>
        <v>-22705.387499999997</v>
      </c>
      <c r="G448" s="40">
        <f t="shared" si="107"/>
        <v>194205.38750000001</v>
      </c>
      <c r="H448" s="232">
        <f t="shared" si="108"/>
        <v>-0.11691430290521676</v>
      </c>
      <c r="I448" s="40"/>
    </row>
    <row r="449" spans="2:9" x14ac:dyDescent="0.25">
      <c r="B449" s="157">
        <v>42674</v>
      </c>
      <c r="C449" s="10">
        <v>12500</v>
      </c>
      <c r="D449" s="242">
        <v>15.5313</v>
      </c>
      <c r="E449" s="40">
        <v>13.18</v>
      </c>
      <c r="F449" s="236">
        <f t="shared" si="106"/>
        <v>-29391.250000000004</v>
      </c>
      <c r="G449" s="40">
        <f t="shared" si="107"/>
        <v>194141.25</v>
      </c>
      <c r="H449" s="232">
        <f t="shared" si="108"/>
        <v>-0.15139106192012261</v>
      </c>
      <c r="I449" s="40"/>
    </row>
    <row r="450" spans="2:9" x14ac:dyDescent="0.25">
      <c r="B450" s="157">
        <v>42676</v>
      </c>
      <c r="C450" s="10">
        <v>12500</v>
      </c>
      <c r="D450" s="242">
        <v>15.528746</v>
      </c>
      <c r="E450" s="40">
        <v>12.78</v>
      </c>
      <c r="F450" s="236">
        <f t="shared" si="106"/>
        <v>-34359.325000000004</v>
      </c>
      <c r="G450" s="40">
        <f t="shared" si="107"/>
        <v>194109.32500000001</v>
      </c>
      <c r="H450" s="232">
        <f t="shared" si="108"/>
        <v>-0.17701017197396368</v>
      </c>
      <c r="I450" s="40"/>
    </row>
    <row r="451" spans="2:9" x14ac:dyDescent="0.25">
      <c r="B451" s="157"/>
      <c r="C451" s="10"/>
      <c r="D451" s="242"/>
      <c r="E451" s="40"/>
      <c r="F451" s="236"/>
      <c r="G451" s="40"/>
      <c r="H451" s="232"/>
      <c r="I451" s="40"/>
    </row>
    <row r="452" spans="2:9" x14ac:dyDescent="0.25">
      <c r="B452" s="157"/>
      <c r="C452" s="10"/>
      <c r="D452" s="242"/>
      <c r="E452" s="40"/>
      <c r="F452" s="236"/>
      <c r="G452" s="40"/>
      <c r="H452" s="232"/>
      <c r="I452" s="40"/>
    </row>
    <row r="453" spans="2:9" x14ac:dyDescent="0.25">
      <c r="B453" s="157"/>
      <c r="C453" s="10"/>
      <c r="D453" s="242"/>
      <c r="E453" s="40"/>
      <c r="F453" s="236"/>
      <c r="G453" s="40"/>
      <c r="H453" s="232"/>
      <c r="I453" s="40"/>
    </row>
    <row r="454" spans="2:9" x14ac:dyDescent="0.25">
      <c r="B454" s="157"/>
      <c r="C454" s="10"/>
      <c r="D454" s="242"/>
      <c r="E454" s="40"/>
      <c r="F454" s="236"/>
      <c r="G454" s="40"/>
      <c r="H454" s="232"/>
      <c r="I454" s="40"/>
    </row>
    <row r="455" spans="2:9" x14ac:dyDescent="0.25">
      <c r="B455" s="157"/>
      <c r="C455" s="10"/>
      <c r="D455" s="242"/>
      <c r="E455" s="40"/>
      <c r="F455" s="236"/>
      <c r="G455" s="40"/>
      <c r="H455" s="232"/>
      <c r="I455" s="40"/>
    </row>
    <row r="456" spans="2:9" x14ac:dyDescent="0.25">
      <c r="B456" s="157"/>
      <c r="C456" s="10"/>
      <c r="D456" s="242"/>
      <c r="E456" s="40"/>
      <c r="F456" s="236"/>
      <c r="G456" s="40"/>
      <c r="H456" s="232"/>
      <c r="I456" s="40"/>
    </row>
    <row r="457" spans="2:9" x14ac:dyDescent="0.25">
      <c r="B457" s="157"/>
      <c r="C457" s="10"/>
      <c r="D457" s="242"/>
      <c r="E457" s="40"/>
      <c r="F457" s="236"/>
      <c r="G457" s="40"/>
      <c r="H457" s="232"/>
      <c r="I457" s="40"/>
    </row>
    <row r="458" spans="2:9" x14ac:dyDescent="0.25">
      <c r="B458" s="157"/>
      <c r="C458" s="10"/>
      <c r="D458" s="242"/>
      <c r="E458" s="40"/>
      <c r="F458" s="236"/>
      <c r="G458" s="40"/>
      <c r="H458" s="232"/>
      <c r="I458" s="40"/>
    </row>
  </sheetData>
  <mergeCells count="22">
    <mergeCell ref="A210:A213"/>
    <mergeCell ref="A201:A204"/>
    <mergeCell ref="G103:G105"/>
    <mergeCell ref="B96:B100"/>
    <mergeCell ref="B94:B95"/>
    <mergeCell ref="O41:P41"/>
    <mergeCell ref="L176:L178"/>
    <mergeCell ref="G167:G170"/>
    <mergeCell ref="A126:A128"/>
    <mergeCell ref="A120:A122"/>
    <mergeCell ref="A113:A116"/>
    <mergeCell ref="G147:G150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F242:F404 H242:H404 H406:H458 F406:F458">
    <cfRule type="expression" dxfId="641" priority="28">
      <formula>F242&gt;0</formula>
    </cfRule>
    <cfRule type="expression" dxfId="640" priority="29">
      <formula>F242&lt;0</formula>
    </cfRule>
  </conditionalFormatting>
  <conditionalFormatting sqref="O42:O79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35:F241">
    <cfRule type="expression" dxfId="639" priority="21">
      <formula>F235&gt;0</formula>
    </cfRule>
    <cfRule type="expression" dxfId="638" priority="22">
      <formula>F235&lt;0</formula>
    </cfRule>
  </conditionalFormatting>
  <conditionalFormatting sqref="H235:H241">
    <cfRule type="expression" dxfId="637" priority="17">
      <formula>H235&gt;0</formula>
    </cfRule>
    <cfRule type="expression" dxfId="636" priority="18">
      <formula>H235&lt;0</formula>
    </cfRule>
  </conditionalFormatting>
  <conditionalFormatting sqref="Q8">
    <cfRule type="expression" dxfId="635" priority="3">
      <formula>Q8&gt;0</formula>
    </cfRule>
    <cfRule type="expression" dxfId="634" priority="4">
      <formula>Q8&lt;0</formula>
    </cfRule>
  </conditionalFormatting>
  <conditionalFormatting sqref="Q7">
    <cfRule type="expression" dxfId="633" priority="5">
      <formula>Q7&gt;0</formula>
    </cfRule>
    <cfRule type="expression" dxfId="632" priority="6">
      <formula>Q7&lt;0</formula>
    </cfRule>
  </conditionalFormatting>
  <conditionalFormatting sqref="F405 H405">
    <cfRule type="expression" dxfId="631" priority="1">
      <formula>F405&gt;0</formula>
    </cfRule>
    <cfRule type="expression" dxfId="630" priority="2">
      <formula>F405&lt;0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3.42578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204</v>
      </c>
      <c r="B2" s="473">
        <v>42482</v>
      </c>
      <c r="C2" s="7">
        <v>80</v>
      </c>
      <c r="D2" s="44">
        <v>36.01</v>
      </c>
      <c r="E2" s="44">
        <v>0</v>
      </c>
      <c r="F2" s="44">
        <f t="shared" ref="F2:F19" si="0">D2*C2+E2</f>
        <v>2880.7999999999997</v>
      </c>
      <c r="G2" s="473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44">
        <v>10.5</v>
      </c>
      <c r="O2" s="11" t="s">
        <v>57</v>
      </c>
      <c r="Q2">
        <f>C28-H28</f>
        <v>500</v>
      </c>
      <c r="T2" s="1"/>
      <c r="W2" s="133">
        <v>42676</v>
      </c>
      <c r="X2" s="10">
        <v>30.85</v>
      </c>
      <c r="Y2" s="10">
        <v>32.479999999999997</v>
      </c>
      <c r="Z2" s="10">
        <v>30.83</v>
      </c>
      <c r="AA2" s="10">
        <v>32.22</v>
      </c>
      <c r="AB2" s="95">
        <v>13511000</v>
      </c>
      <c r="AC2" s="10">
        <v>32.22</v>
      </c>
      <c r="AD2" s="2">
        <f>Y2-Z2</f>
        <v>1.6499999999999986</v>
      </c>
      <c r="AE2" s="138">
        <f>AC2/AC3-1</f>
        <v>4.6443650535888281E-2</v>
      </c>
    </row>
    <row r="3" spans="1:31" x14ac:dyDescent="0.25">
      <c r="A3" s="23" t="s">
        <v>71</v>
      </c>
      <c r="B3" s="473">
        <v>42482</v>
      </c>
      <c r="C3" s="4">
        <v>20</v>
      </c>
      <c r="D3" s="3">
        <v>35.549999999999997</v>
      </c>
      <c r="E3" s="3">
        <v>0</v>
      </c>
      <c r="F3" s="3">
        <f t="shared" si="0"/>
        <v>711</v>
      </c>
      <c r="G3" s="472"/>
      <c r="H3" s="7"/>
      <c r="I3" s="44"/>
      <c r="J3" s="44"/>
      <c r="K3" s="44"/>
      <c r="L3" s="1">
        <v>42614</v>
      </c>
      <c r="M3" s="44">
        <v>48</v>
      </c>
      <c r="O3" s="11" t="s">
        <v>58</v>
      </c>
      <c r="Q3" s="515">
        <f>IF(Q2=0, Q4, (F28-K28-M28)/Q2)</f>
        <v>31.518720000000002</v>
      </c>
      <c r="T3" s="1"/>
      <c r="W3" s="133">
        <v>42675</v>
      </c>
      <c r="X3" s="10">
        <v>31.09</v>
      </c>
      <c r="Y3" s="10">
        <v>31.11</v>
      </c>
      <c r="Z3" s="10">
        <v>30.69</v>
      </c>
      <c r="AA3" s="10">
        <v>30.79</v>
      </c>
      <c r="AB3" s="95">
        <v>8516900</v>
      </c>
      <c r="AC3" s="10">
        <v>30.79</v>
      </c>
      <c r="AD3" s="2">
        <f t="shared" ref="AD3:AD66" si="1">Y3-Z3</f>
        <v>0.41999999999999815</v>
      </c>
      <c r="AE3" s="138">
        <f t="shared" ref="AE3:AE66" si="2">AC3/AC4-1</f>
        <v>-6.1329890251775598E-3</v>
      </c>
    </row>
    <row r="4" spans="1:31" x14ac:dyDescent="0.25">
      <c r="B4" s="473">
        <v>42508</v>
      </c>
      <c r="C4" s="4">
        <v>40</v>
      </c>
      <c r="D4" s="3">
        <v>34.19</v>
      </c>
      <c r="E4" s="3">
        <v>0</v>
      </c>
      <c r="F4" s="3">
        <f t="shared" si="0"/>
        <v>1367.6</v>
      </c>
      <c r="G4" s="473">
        <v>42521</v>
      </c>
      <c r="H4" s="82">
        <v>40</v>
      </c>
      <c r="I4" s="44">
        <v>35.99</v>
      </c>
      <c r="J4" s="44">
        <v>0.03</v>
      </c>
      <c r="K4" s="44">
        <f>I4*H4-J4</f>
        <v>1439.5700000000002</v>
      </c>
      <c r="O4" s="11" t="s">
        <v>66</v>
      </c>
      <c r="Q4" s="517">
        <v>32.22</v>
      </c>
      <c r="R4" s="527">
        <v>4.6399999999999997E-2</v>
      </c>
      <c r="T4" s="163"/>
      <c r="W4" s="133">
        <v>42674</v>
      </c>
      <c r="X4" s="10">
        <v>31.3</v>
      </c>
      <c r="Y4" s="10">
        <v>31.56</v>
      </c>
      <c r="Z4" s="10">
        <v>30.83</v>
      </c>
      <c r="AA4" s="10">
        <v>30.98</v>
      </c>
      <c r="AB4" s="95">
        <v>7550900</v>
      </c>
      <c r="AC4" s="10">
        <v>30.98</v>
      </c>
      <c r="AD4" s="2">
        <f t="shared" si="1"/>
        <v>0.73000000000000043</v>
      </c>
      <c r="AE4" s="138">
        <f t="shared" si="2"/>
        <v>-8.9571337172105192E-3</v>
      </c>
    </row>
    <row r="5" spans="1:31" x14ac:dyDescent="0.25">
      <c r="B5" s="473">
        <v>42509</v>
      </c>
      <c r="C5" s="4">
        <v>100</v>
      </c>
      <c r="D5" s="3">
        <v>34.49</v>
      </c>
      <c r="E5" s="3">
        <v>0</v>
      </c>
      <c r="F5" s="3">
        <f t="shared" si="0"/>
        <v>3449</v>
      </c>
      <c r="G5" s="473">
        <v>42531</v>
      </c>
      <c r="H5" s="82">
        <v>100</v>
      </c>
      <c r="I5" s="44">
        <v>36.99</v>
      </c>
      <c r="J5" s="44">
        <v>0.08</v>
      </c>
      <c r="K5" s="44">
        <f>I5*H5-J5</f>
        <v>3698.92</v>
      </c>
      <c r="O5" s="11" t="s">
        <v>67</v>
      </c>
      <c r="Q5" s="3">
        <f>Q4*Q2</f>
        <v>16110</v>
      </c>
      <c r="W5" s="133">
        <v>42671</v>
      </c>
      <c r="X5" s="10">
        <v>30.98</v>
      </c>
      <c r="Y5" s="10">
        <v>31.43</v>
      </c>
      <c r="Z5" s="10">
        <v>30.9</v>
      </c>
      <c r="AA5" s="10">
        <v>31.26</v>
      </c>
      <c r="AB5" s="95">
        <v>6796800</v>
      </c>
      <c r="AC5" s="10">
        <v>31.26</v>
      </c>
      <c r="AD5" s="2">
        <f t="shared" si="1"/>
        <v>0.53000000000000114</v>
      </c>
      <c r="AE5" s="138">
        <f t="shared" si="2"/>
        <v>7.7369439071568458E-3</v>
      </c>
    </row>
    <row r="6" spans="1:31" x14ac:dyDescent="0.25">
      <c r="B6" s="473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73">
        <v>42594</v>
      </c>
      <c r="H6" s="82">
        <v>100</v>
      </c>
      <c r="I6" s="44">
        <v>32.58</v>
      </c>
      <c r="J6" s="44">
        <v>7.0000000000000007E-2</v>
      </c>
      <c r="K6" s="44">
        <f>I6*H6-J6</f>
        <v>3257.93</v>
      </c>
      <c r="O6" s="11" t="s">
        <v>64</v>
      </c>
      <c r="Q6" s="2">
        <f>Q3*Q2</f>
        <v>15759.36</v>
      </c>
      <c r="W6" s="133">
        <v>42670</v>
      </c>
      <c r="X6" s="10">
        <v>30.96</v>
      </c>
      <c r="Y6" s="10">
        <v>31.2</v>
      </c>
      <c r="Z6" s="10">
        <v>30.68</v>
      </c>
      <c r="AA6" s="10">
        <v>31.02</v>
      </c>
      <c r="AB6" s="95">
        <v>7767000</v>
      </c>
      <c r="AC6" s="10">
        <v>31.02</v>
      </c>
      <c r="AD6" s="2">
        <f t="shared" si="1"/>
        <v>0.51999999999999957</v>
      </c>
      <c r="AE6" s="138">
        <f t="shared" si="2"/>
        <v>3.8834951456310218E-3</v>
      </c>
    </row>
    <row r="7" spans="1:31" x14ac:dyDescent="0.25">
      <c r="B7" s="473">
        <v>42579</v>
      </c>
      <c r="C7" s="4">
        <v>40</v>
      </c>
      <c r="D7" s="2">
        <v>35</v>
      </c>
      <c r="E7" s="2">
        <v>0</v>
      </c>
      <c r="F7" s="2">
        <f t="shared" si="0"/>
        <v>1400</v>
      </c>
      <c r="G7" s="473">
        <v>42671</v>
      </c>
      <c r="H7" s="82">
        <v>100</v>
      </c>
      <c r="I7" s="44">
        <v>31.32</v>
      </c>
      <c r="J7" s="44">
        <v>7.0000000000000007E-2</v>
      </c>
      <c r="K7" s="44">
        <f>I7*H7-J7</f>
        <v>3131.93</v>
      </c>
      <c r="O7" s="11" t="s">
        <v>184</v>
      </c>
      <c r="Q7" s="2">
        <f>Q10+Q8</f>
        <v>350.63999999999942</v>
      </c>
      <c r="R7">
        <v>300</v>
      </c>
      <c r="W7" s="133">
        <v>42669</v>
      </c>
      <c r="X7" s="10">
        <v>30.79</v>
      </c>
      <c r="Y7" s="10">
        <v>31.13</v>
      </c>
      <c r="Z7" s="10">
        <v>30.75</v>
      </c>
      <c r="AA7" s="10">
        <v>30.9</v>
      </c>
      <c r="AB7" s="95">
        <v>4870400</v>
      </c>
      <c r="AC7" s="10">
        <v>30.9</v>
      </c>
      <c r="AD7" s="2">
        <f t="shared" si="1"/>
        <v>0.37999999999999901</v>
      </c>
      <c r="AE7" s="138">
        <f t="shared" si="2"/>
        <v>-3.2351989647372292E-4</v>
      </c>
    </row>
    <row r="8" spans="1:31" x14ac:dyDescent="0.25">
      <c r="B8" s="74">
        <v>42579</v>
      </c>
      <c r="C8" s="4">
        <v>30</v>
      </c>
      <c r="D8" s="3">
        <v>34.57</v>
      </c>
      <c r="E8" s="3">
        <v>-7.0000000000000007E-2</v>
      </c>
      <c r="F8" s="3">
        <f t="shared" si="0"/>
        <v>1037.03</v>
      </c>
      <c r="G8" s="1">
        <v>42676</v>
      </c>
      <c r="H8" s="72">
        <v>200</v>
      </c>
      <c r="I8" s="2">
        <v>31.83</v>
      </c>
      <c r="J8" s="2">
        <v>0.14000000000000001</v>
      </c>
      <c r="K8" s="2">
        <f>I8*H8-J8</f>
        <v>6365.86</v>
      </c>
      <c r="O8" s="11" t="s">
        <v>187</v>
      </c>
      <c r="P8" s="34"/>
      <c r="Q8" s="2">
        <f>K28+M28-F28+Q2*Q4</f>
        <v>350.63999999999942</v>
      </c>
      <c r="W8" s="133">
        <v>42668</v>
      </c>
      <c r="X8" s="10">
        <v>31.06</v>
      </c>
      <c r="Y8" s="10">
        <v>31.06</v>
      </c>
      <c r="Z8" s="10">
        <v>30.86</v>
      </c>
      <c r="AA8" s="10">
        <v>30.91</v>
      </c>
      <c r="AB8" s="95">
        <v>4300300</v>
      </c>
      <c r="AC8" s="10">
        <v>30.91</v>
      </c>
      <c r="AD8" s="2">
        <f t="shared" si="1"/>
        <v>0.19999999999999929</v>
      </c>
      <c r="AE8" s="138">
        <f t="shared" si="2"/>
        <v>-8.6593970493906713E-3</v>
      </c>
    </row>
    <row r="9" spans="1:31" x14ac:dyDescent="0.25">
      <c r="B9" s="74">
        <v>42580</v>
      </c>
      <c r="C9" s="4">
        <v>30</v>
      </c>
      <c r="D9" s="2">
        <v>33.880000000000003</v>
      </c>
      <c r="E9" s="2">
        <v>0</v>
      </c>
      <c r="F9" s="2">
        <f t="shared" si="0"/>
        <v>1016.4000000000001</v>
      </c>
      <c r="G9" s="1">
        <v>42676</v>
      </c>
      <c r="H9" s="72">
        <v>100</v>
      </c>
      <c r="I9" s="2">
        <v>31.98</v>
      </c>
      <c r="J9" s="2">
        <v>7.0000000000000007E-2</v>
      </c>
      <c r="K9" s="2">
        <f>I9*H9-J9</f>
        <v>3197.93</v>
      </c>
      <c r="O9" s="11" t="s">
        <v>219</v>
      </c>
      <c r="Q9" s="138">
        <f>IF(Q2=0, 0, Q8/Q6)</f>
        <v>2.2249634502923939E-2</v>
      </c>
      <c r="W9" s="133">
        <v>42667</v>
      </c>
      <c r="X9" s="10">
        <v>30.85</v>
      </c>
      <c r="Y9" s="10">
        <v>31.29</v>
      </c>
      <c r="Z9" s="10">
        <v>30.84</v>
      </c>
      <c r="AA9" s="10">
        <v>31.18</v>
      </c>
      <c r="AB9" s="95">
        <v>5322000</v>
      </c>
      <c r="AC9" s="10">
        <v>31.18</v>
      </c>
      <c r="AD9" s="2">
        <f t="shared" si="1"/>
        <v>0.44999999999999929</v>
      </c>
      <c r="AE9" s="138">
        <f t="shared" si="2"/>
        <v>1.3654096228868706E-2</v>
      </c>
    </row>
    <row r="10" spans="1:31" x14ac:dyDescent="0.25">
      <c r="B10" s="74">
        <v>42584</v>
      </c>
      <c r="C10" s="4">
        <v>40</v>
      </c>
      <c r="D10" s="2">
        <v>33.049999999999997</v>
      </c>
      <c r="E10" s="2">
        <v>0</v>
      </c>
      <c r="F10" s="2">
        <f t="shared" si="0"/>
        <v>1322</v>
      </c>
      <c r="G10" s="1">
        <v>42676</v>
      </c>
      <c r="H10" s="72">
        <v>100</v>
      </c>
      <c r="I10" s="2">
        <v>32.18</v>
      </c>
      <c r="J10" s="2">
        <v>7.0000000000000007E-2</v>
      </c>
      <c r="K10" s="2">
        <f>I10*H10-J10</f>
        <v>3217.93</v>
      </c>
      <c r="O10" s="11" t="s">
        <v>218</v>
      </c>
      <c r="P10" s="34"/>
      <c r="Q10" s="2">
        <f>M40</f>
        <v>0</v>
      </c>
      <c r="W10" s="133">
        <v>42664</v>
      </c>
      <c r="X10" s="10">
        <v>30.98</v>
      </c>
      <c r="Y10" s="10">
        <v>31.09</v>
      </c>
      <c r="Z10" s="10">
        <v>30.65</v>
      </c>
      <c r="AA10" s="10">
        <v>30.76</v>
      </c>
      <c r="AB10" s="95">
        <v>8730300</v>
      </c>
      <c r="AC10" s="10">
        <v>30.76</v>
      </c>
      <c r="AD10" s="2">
        <f t="shared" si="1"/>
        <v>0.44000000000000128</v>
      </c>
      <c r="AE10" s="138">
        <f t="shared" si="2"/>
        <v>-5.1746442432082373E-3</v>
      </c>
    </row>
    <row r="11" spans="1:31" x14ac:dyDescent="0.25">
      <c r="B11" s="74">
        <v>42586</v>
      </c>
      <c r="C11" s="7">
        <v>100</v>
      </c>
      <c r="D11" s="44">
        <v>32.479999999999997</v>
      </c>
      <c r="E11" s="44">
        <v>0</v>
      </c>
      <c r="F11" s="44">
        <f t="shared" si="0"/>
        <v>3247.9999999999995</v>
      </c>
      <c r="G11" s="1">
        <v>42676</v>
      </c>
      <c r="H11" s="72">
        <v>100</v>
      </c>
      <c r="I11" s="2">
        <v>32.229999999999997</v>
      </c>
      <c r="J11" s="2">
        <v>7.0000000000000007E-2</v>
      </c>
      <c r="K11" s="2">
        <f>I11*H11-J11</f>
        <v>3222.9299999999994</v>
      </c>
      <c r="O11" s="11" t="s">
        <v>181</v>
      </c>
      <c r="P11" s="34"/>
      <c r="Q11" s="138">
        <f>VALUE(TRIM(CLEAN(MID(U58, FIND("(", U58)+1, 5))))</f>
        <v>1.54E-2</v>
      </c>
      <c r="W11" s="133">
        <v>42663</v>
      </c>
      <c r="X11" s="10">
        <v>31.03</v>
      </c>
      <c r="Y11" s="10">
        <v>31.16</v>
      </c>
      <c r="Z11" s="10">
        <v>30.79</v>
      </c>
      <c r="AA11" s="10">
        <v>30.92</v>
      </c>
      <c r="AB11" s="95">
        <v>8740800</v>
      </c>
      <c r="AC11" s="10">
        <v>30.92</v>
      </c>
      <c r="AD11" s="2">
        <f t="shared" si="1"/>
        <v>0.37000000000000099</v>
      </c>
      <c r="AE11" s="138">
        <f t="shared" si="2"/>
        <v>-2.9022895840051799E-3</v>
      </c>
    </row>
    <row r="12" spans="1:31" x14ac:dyDescent="0.25">
      <c r="B12" s="74">
        <v>42593</v>
      </c>
      <c r="C12" s="4">
        <v>100</v>
      </c>
      <c r="D12" s="2">
        <v>32.049999999999997</v>
      </c>
      <c r="E12" s="2">
        <v>0</v>
      </c>
      <c r="F12" s="2">
        <f t="shared" si="0"/>
        <v>3204.9999999999995</v>
      </c>
      <c r="H12" s="72"/>
      <c r="W12" s="133">
        <v>42662</v>
      </c>
      <c r="X12" s="10">
        <v>30.49</v>
      </c>
      <c r="Y12" s="10">
        <v>31.06</v>
      </c>
      <c r="Z12" s="10">
        <v>30.26</v>
      </c>
      <c r="AA12" s="10">
        <v>31.01</v>
      </c>
      <c r="AB12" s="95">
        <v>10211800</v>
      </c>
      <c r="AC12" s="10">
        <v>31.01</v>
      </c>
      <c r="AD12" s="2">
        <f t="shared" si="1"/>
        <v>0.79999999999999716</v>
      </c>
      <c r="AE12" s="138">
        <f t="shared" si="2"/>
        <v>1.2075718015665871E-2</v>
      </c>
    </row>
    <row r="13" spans="1:31" x14ac:dyDescent="0.25">
      <c r="B13" s="74">
        <v>42599</v>
      </c>
      <c r="C13" s="4">
        <v>100</v>
      </c>
      <c r="D13" s="2">
        <v>31.68</v>
      </c>
      <c r="E13" s="2">
        <v>0</v>
      </c>
      <c r="F13" s="2">
        <f t="shared" si="0"/>
        <v>3168</v>
      </c>
      <c r="H13" s="72"/>
      <c r="W13" s="133">
        <v>42661</v>
      </c>
      <c r="X13" s="10">
        <v>30.86</v>
      </c>
      <c r="Y13" s="10">
        <v>30.94</v>
      </c>
      <c r="Z13" s="10">
        <v>30.5</v>
      </c>
      <c r="AA13" s="10">
        <v>30.64</v>
      </c>
      <c r="AB13" s="95">
        <v>9959500</v>
      </c>
      <c r="AC13" s="10">
        <v>30.64</v>
      </c>
      <c r="AD13" s="2">
        <f t="shared" si="1"/>
        <v>0.44000000000000128</v>
      </c>
      <c r="AE13" s="138">
        <f t="shared" si="2"/>
        <v>-6.1628284138824929E-3</v>
      </c>
    </row>
    <row r="14" spans="1:31" x14ac:dyDescent="0.25">
      <c r="B14" s="74">
        <v>42620</v>
      </c>
      <c r="C14" s="4">
        <v>100</v>
      </c>
      <c r="D14" s="2">
        <v>31.65</v>
      </c>
      <c r="E14" s="2">
        <v>0</v>
      </c>
      <c r="F14" s="2">
        <f t="shared" si="0"/>
        <v>3165</v>
      </c>
      <c r="H14" s="72"/>
      <c r="W14" s="133">
        <v>42660</v>
      </c>
      <c r="X14" s="10">
        <v>31.33</v>
      </c>
      <c r="Y14" s="10">
        <v>31.34</v>
      </c>
      <c r="Z14" s="10">
        <v>30.69</v>
      </c>
      <c r="AA14" s="10">
        <v>30.83</v>
      </c>
      <c r="AB14" s="95">
        <v>10576500</v>
      </c>
      <c r="AC14" s="10">
        <v>30.83</v>
      </c>
      <c r="AD14" s="2">
        <f t="shared" si="1"/>
        <v>0.64999999999999858</v>
      </c>
      <c r="AE14" s="138">
        <f t="shared" si="2"/>
        <v>-1.4070994563479378E-2</v>
      </c>
    </row>
    <row r="15" spans="1:31" x14ac:dyDescent="0.25">
      <c r="B15" s="74">
        <v>42620</v>
      </c>
      <c r="C15" s="7">
        <v>100</v>
      </c>
      <c r="D15" s="44">
        <v>31.18</v>
      </c>
      <c r="E15" s="44">
        <v>0</v>
      </c>
      <c r="F15" s="44">
        <f t="shared" si="0"/>
        <v>3118</v>
      </c>
      <c r="H15" s="72"/>
      <c r="W15" s="133">
        <v>42657</v>
      </c>
      <c r="X15" s="10">
        <v>31.17</v>
      </c>
      <c r="Y15" s="10">
        <v>31.58</v>
      </c>
      <c r="Z15" s="10">
        <v>31.01</v>
      </c>
      <c r="AA15" s="10">
        <v>31.27</v>
      </c>
      <c r="AB15" s="95">
        <v>14820100</v>
      </c>
      <c r="AC15" s="10">
        <v>31.27</v>
      </c>
      <c r="AD15" s="2">
        <f t="shared" si="1"/>
        <v>0.56999999999999673</v>
      </c>
      <c r="AE15" s="138">
        <f t="shared" si="2"/>
        <v>4.497269514937452E-3</v>
      </c>
    </row>
    <row r="16" spans="1:31" x14ac:dyDescent="0.25">
      <c r="B16" s="74">
        <v>42625</v>
      </c>
      <c r="C16" s="4">
        <v>100</v>
      </c>
      <c r="D16" s="2">
        <v>30.8</v>
      </c>
      <c r="E16" s="2">
        <v>0</v>
      </c>
      <c r="F16" s="2">
        <f t="shared" si="0"/>
        <v>3080</v>
      </c>
      <c r="H16" s="72"/>
      <c r="W16" s="133">
        <v>42656</v>
      </c>
      <c r="X16" s="10">
        <v>31.07</v>
      </c>
      <c r="Y16" s="10">
        <v>31.17</v>
      </c>
      <c r="Z16" s="10">
        <v>30.6</v>
      </c>
      <c r="AA16" s="10">
        <v>31.13</v>
      </c>
      <c r="AB16" s="95">
        <v>14246300</v>
      </c>
      <c r="AC16" s="10">
        <v>31.13</v>
      </c>
      <c r="AD16" s="2">
        <f t="shared" si="1"/>
        <v>0.57000000000000028</v>
      </c>
      <c r="AE16" s="138">
        <f t="shared" si="2"/>
        <v>-1.2832852101379855E-3</v>
      </c>
    </row>
    <row r="17" spans="1:31" x14ac:dyDescent="0.25">
      <c r="B17" s="74">
        <v>42639</v>
      </c>
      <c r="C17" s="4">
        <v>100</v>
      </c>
      <c r="D17" s="2">
        <v>30.08</v>
      </c>
      <c r="E17" s="2">
        <v>0</v>
      </c>
      <c r="F17" s="2">
        <f t="shared" si="0"/>
        <v>3008</v>
      </c>
      <c r="W17" s="133">
        <v>42655</v>
      </c>
      <c r="X17" s="10">
        <v>30.24</v>
      </c>
      <c r="Y17" s="10">
        <v>31.44</v>
      </c>
      <c r="Z17" s="10">
        <v>29.97</v>
      </c>
      <c r="AA17" s="10">
        <v>31.17</v>
      </c>
      <c r="AB17" s="95">
        <v>31126500</v>
      </c>
      <c r="AC17" s="10">
        <v>31.17</v>
      </c>
      <c r="AD17" s="2">
        <f t="shared" si="1"/>
        <v>1.4700000000000024</v>
      </c>
      <c r="AE17" s="138">
        <f t="shared" si="2"/>
        <v>3.5204251079375748E-2</v>
      </c>
    </row>
    <row r="18" spans="1:31" x14ac:dyDescent="0.25">
      <c r="B18" s="525">
        <v>42646</v>
      </c>
      <c r="C18" s="4">
        <v>100</v>
      </c>
      <c r="D18" s="2">
        <v>29.4</v>
      </c>
      <c r="E18" s="2">
        <v>0</v>
      </c>
      <c r="F18" s="2">
        <f t="shared" si="0"/>
        <v>2940</v>
      </c>
      <c r="W18" s="133">
        <v>42654</v>
      </c>
      <c r="X18" s="10">
        <v>29.31</v>
      </c>
      <c r="Y18" s="10">
        <v>30.21</v>
      </c>
      <c r="Z18" s="10">
        <v>29.24</v>
      </c>
      <c r="AA18" s="10">
        <v>30.11</v>
      </c>
      <c r="AB18" s="95">
        <v>17782800</v>
      </c>
      <c r="AC18" s="10">
        <v>30.11</v>
      </c>
      <c r="AD18" s="2">
        <f t="shared" si="1"/>
        <v>0.97000000000000242</v>
      </c>
      <c r="AE18" s="138">
        <f t="shared" si="2"/>
        <v>3.6488812392426739E-2</v>
      </c>
    </row>
    <row r="19" spans="1:31" x14ac:dyDescent="0.25">
      <c r="B19" s="525">
        <v>42674</v>
      </c>
      <c r="C19" s="4">
        <v>100</v>
      </c>
      <c r="D19" s="2">
        <v>31.1</v>
      </c>
      <c r="E19" s="2">
        <v>0</v>
      </c>
      <c r="F19" s="2">
        <f t="shared" si="0"/>
        <v>3110</v>
      </c>
      <c r="W19" s="133">
        <v>42653</v>
      </c>
      <c r="X19" s="10">
        <v>29</v>
      </c>
      <c r="Y19" s="10">
        <v>29.39</v>
      </c>
      <c r="Z19" s="10">
        <v>28.95</v>
      </c>
      <c r="AA19" s="10">
        <v>29.05</v>
      </c>
      <c r="AB19" s="95">
        <v>7665700</v>
      </c>
      <c r="AC19" s="10">
        <v>29.05</v>
      </c>
      <c r="AD19" s="2">
        <f t="shared" si="1"/>
        <v>0.44000000000000128</v>
      </c>
      <c r="AE19" s="138">
        <f t="shared" si="2"/>
        <v>1.7241379310344307E-3</v>
      </c>
    </row>
    <row r="20" spans="1:31" x14ac:dyDescent="0.25">
      <c r="W20" s="133">
        <v>42650</v>
      </c>
      <c r="X20" s="10">
        <v>29.37</v>
      </c>
      <c r="Y20" s="10">
        <v>29.59</v>
      </c>
      <c r="Z20" s="10">
        <v>29</v>
      </c>
      <c r="AA20" s="10">
        <v>29</v>
      </c>
      <c r="AB20" s="95">
        <v>11322800</v>
      </c>
      <c r="AC20" s="10">
        <v>29</v>
      </c>
      <c r="AD20" s="2">
        <f t="shared" si="1"/>
        <v>0.58999999999999986</v>
      </c>
      <c r="AE20" s="138">
        <f t="shared" si="2"/>
        <v>-1.2597889002383456E-2</v>
      </c>
    </row>
    <row r="21" spans="1:31" x14ac:dyDescent="0.25">
      <c r="W21" s="133">
        <v>42649</v>
      </c>
      <c r="X21" s="10">
        <v>28.75</v>
      </c>
      <c r="Y21" s="10">
        <v>29.6</v>
      </c>
      <c r="Z21" s="10">
        <v>28.71</v>
      </c>
      <c r="AA21" s="10">
        <v>29.37</v>
      </c>
      <c r="AB21" s="95">
        <v>17280800</v>
      </c>
      <c r="AC21" s="10">
        <v>29.37</v>
      </c>
      <c r="AD21" s="2">
        <f t="shared" si="1"/>
        <v>0.89000000000000057</v>
      </c>
      <c r="AE21" s="138">
        <f t="shared" si="2"/>
        <v>1.8377253814147121E-2</v>
      </c>
    </row>
    <row r="22" spans="1:31" x14ac:dyDescent="0.25">
      <c r="W22" s="133">
        <v>42648</v>
      </c>
      <c r="X22" s="10">
        <v>28.97</v>
      </c>
      <c r="Y22" s="10">
        <v>29.11</v>
      </c>
      <c r="Z22" s="10">
        <v>28.76</v>
      </c>
      <c r="AA22" s="10">
        <v>28.84</v>
      </c>
      <c r="AB22" s="95">
        <v>27597900</v>
      </c>
      <c r="AC22" s="10">
        <v>28.84</v>
      </c>
      <c r="AD22" s="2">
        <f t="shared" si="1"/>
        <v>0.34999999999999787</v>
      </c>
      <c r="AE22" s="138">
        <f t="shared" si="2"/>
        <v>-5.5172413793103114E-3</v>
      </c>
    </row>
    <row r="23" spans="1:31" x14ac:dyDescent="0.25">
      <c r="W23" s="133">
        <v>42647</v>
      </c>
      <c r="X23" s="10">
        <v>29.25</v>
      </c>
      <c r="Y23" s="10">
        <v>29.39</v>
      </c>
      <c r="Z23" s="10">
        <v>28.88</v>
      </c>
      <c r="AA23" s="10">
        <v>29</v>
      </c>
      <c r="AB23" s="95">
        <v>11173200</v>
      </c>
      <c r="AC23" s="10">
        <v>29</v>
      </c>
      <c r="AD23" s="2">
        <f t="shared" si="1"/>
        <v>0.51000000000000156</v>
      </c>
      <c r="AE23" s="138">
        <f t="shared" si="2"/>
        <v>-9.5628415300547109E-3</v>
      </c>
    </row>
    <row r="24" spans="1:31" x14ac:dyDescent="0.25">
      <c r="W24" s="133">
        <v>42646</v>
      </c>
      <c r="X24" s="10">
        <v>29.57</v>
      </c>
      <c r="Y24" s="10">
        <v>29.69</v>
      </c>
      <c r="Z24" s="10">
        <v>29.25</v>
      </c>
      <c r="AA24" s="10">
        <v>29.28</v>
      </c>
      <c r="AB24" s="95">
        <v>7800200</v>
      </c>
      <c r="AC24" s="10">
        <v>29.28</v>
      </c>
      <c r="AD24" s="2">
        <f t="shared" si="1"/>
        <v>0.44000000000000128</v>
      </c>
      <c r="AE24" s="138">
        <f t="shared" si="2"/>
        <v>-1.3477088948786964E-2</v>
      </c>
    </row>
    <row r="25" spans="1:31" x14ac:dyDescent="0.25">
      <c r="W25" s="133">
        <v>42643</v>
      </c>
      <c r="X25" s="10">
        <v>29.51</v>
      </c>
      <c r="Y25" s="10">
        <v>29.99</v>
      </c>
      <c r="Z25" s="10">
        <v>29.51</v>
      </c>
      <c r="AA25" s="10">
        <v>29.68</v>
      </c>
      <c r="AB25" s="95">
        <v>26199600</v>
      </c>
      <c r="AC25" s="10">
        <v>29.68</v>
      </c>
      <c r="AD25" s="2">
        <f t="shared" si="1"/>
        <v>0.47999999999999687</v>
      </c>
      <c r="AE25" s="138">
        <f t="shared" si="2"/>
        <v>6.1016949152541411E-3</v>
      </c>
    </row>
    <row r="26" spans="1:31" x14ac:dyDescent="0.25">
      <c r="W26" s="133">
        <v>42642</v>
      </c>
      <c r="X26" s="10">
        <v>29.84</v>
      </c>
      <c r="Y26" s="10">
        <v>29.86</v>
      </c>
      <c r="Z26" s="10">
        <v>29.49</v>
      </c>
      <c r="AA26" s="10">
        <v>29.5</v>
      </c>
      <c r="AB26" s="95">
        <v>12814500</v>
      </c>
      <c r="AC26" s="10">
        <v>29.5</v>
      </c>
      <c r="AD26" s="2">
        <f t="shared" si="1"/>
        <v>0.37000000000000099</v>
      </c>
      <c r="AE26" s="138">
        <f t="shared" si="2"/>
        <v>-1.1394101876675555E-2</v>
      </c>
    </row>
    <row r="27" spans="1:31" x14ac:dyDescent="0.25">
      <c r="W27" s="133">
        <v>42641</v>
      </c>
      <c r="X27" s="10">
        <v>29.97</v>
      </c>
      <c r="Y27" s="10">
        <v>30.12</v>
      </c>
      <c r="Z27" s="10">
        <v>29.68</v>
      </c>
      <c r="AA27" s="10">
        <v>29.84</v>
      </c>
      <c r="AB27" s="95">
        <v>10820100</v>
      </c>
      <c r="AC27" s="10">
        <v>29.84</v>
      </c>
      <c r="AD27" s="2">
        <f t="shared" si="1"/>
        <v>0.44000000000000128</v>
      </c>
      <c r="AE27" s="138">
        <f t="shared" si="2"/>
        <v>-2.0066889632106566E-3</v>
      </c>
    </row>
    <row r="28" spans="1:31" x14ac:dyDescent="0.25">
      <c r="A28" s="32" t="s">
        <v>81</v>
      </c>
      <c r="B28" s="14"/>
      <c r="C28" s="14">
        <f>SUM(C2:C19)</f>
        <v>1380</v>
      </c>
      <c r="D28" s="18"/>
      <c r="E28" s="18"/>
      <c r="F28" s="18">
        <f>SUM(F2:F19)</f>
        <v>44764.83</v>
      </c>
      <c r="G28" s="14"/>
      <c r="H28" s="14">
        <f>SUM(H2:H27)</f>
        <v>880</v>
      </c>
      <c r="I28" s="18"/>
      <c r="J28" s="18"/>
      <c r="K28" s="18">
        <f>SUM(K2:K27)</f>
        <v>28946.97</v>
      </c>
      <c r="L28" s="14"/>
      <c r="M28" s="18">
        <f>SUM(M2:M27)</f>
        <v>58.5</v>
      </c>
      <c r="W28" s="133">
        <v>42640</v>
      </c>
      <c r="X28" s="10">
        <v>30.05</v>
      </c>
      <c r="Y28" s="10">
        <v>30.17</v>
      </c>
      <c r="Z28" s="10">
        <v>29.84</v>
      </c>
      <c r="AA28" s="10">
        <v>29.9</v>
      </c>
      <c r="AB28" s="95">
        <v>9877300</v>
      </c>
      <c r="AC28" s="10">
        <v>29.9</v>
      </c>
      <c r="AD28" s="2">
        <f t="shared" si="1"/>
        <v>0.33000000000000185</v>
      </c>
      <c r="AE28" s="138">
        <f t="shared" si="2"/>
        <v>-5.9840425531915153E-3</v>
      </c>
    </row>
    <row r="29" spans="1:31" ht="15.75" thickBot="1" x14ac:dyDescent="0.3">
      <c r="A29" s="359" t="s">
        <v>201</v>
      </c>
      <c r="B29" s="360"/>
      <c r="C29" s="361">
        <f>SumByColor($A$29,C2:C27)</f>
        <v>380</v>
      </c>
      <c r="D29" s="361"/>
      <c r="E29" s="361"/>
      <c r="F29" s="362">
        <f>SumByColor($A$29,F2:F27)</f>
        <v>12786</v>
      </c>
      <c r="G29" s="361"/>
      <c r="H29" s="361">
        <f>SumByColor($A$29,H2:H27)</f>
        <v>380</v>
      </c>
      <c r="I29" s="361"/>
      <c r="J29" s="361"/>
      <c r="K29" s="362">
        <f>SumByColor($A$29,K2:K27)</f>
        <v>12943</v>
      </c>
      <c r="L29" s="361"/>
      <c r="M29" s="362">
        <f>SumByColor($A$29,M2:M27)</f>
        <v>58</v>
      </c>
      <c r="W29" s="133">
        <v>42639</v>
      </c>
      <c r="X29" s="10">
        <v>30.38</v>
      </c>
      <c r="Y29" s="10">
        <v>30.47</v>
      </c>
      <c r="Z29" s="10">
        <v>30.06</v>
      </c>
      <c r="AA29" s="10">
        <v>30.08</v>
      </c>
      <c r="AB29" s="95">
        <v>7379800</v>
      </c>
      <c r="AC29" s="10">
        <v>30.08</v>
      </c>
      <c r="AD29" s="2">
        <f t="shared" si="1"/>
        <v>0.41000000000000014</v>
      </c>
      <c r="AE29" s="138">
        <f t="shared" si="2"/>
        <v>-1.2151067323481146E-2</v>
      </c>
    </row>
    <row r="30" spans="1:31" x14ac:dyDescent="0.25">
      <c r="W30" s="133">
        <v>42636</v>
      </c>
      <c r="X30" s="10">
        <v>30.79</v>
      </c>
      <c r="Y30" s="10">
        <v>30.9</v>
      </c>
      <c r="Z30" s="10">
        <v>30.44</v>
      </c>
      <c r="AA30" s="10">
        <v>30.45</v>
      </c>
      <c r="AB30" s="95">
        <v>8599300</v>
      </c>
      <c r="AC30" s="10">
        <v>30.45</v>
      </c>
      <c r="AD30" s="2">
        <f t="shared" si="1"/>
        <v>0.4599999999999973</v>
      </c>
      <c r="AE30" s="138">
        <f t="shared" si="2"/>
        <v>-9.7560975609756184E-3</v>
      </c>
    </row>
    <row r="31" spans="1:31" x14ac:dyDescent="0.25">
      <c r="W31" s="133">
        <v>42635</v>
      </c>
      <c r="X31" s="10">
        <v>30.86</v>
      </c>
      <c r="Y31" s="10">
        <v>31.01</v>
      </c>
      <c r="Z31" s="10">
        <v>30.67</v>
      </c>
      <c r="AA31" s="10">
        <v>30.75</v>
      </c>
      <c r="AB31" s="95">
        <v>12273900</v>
      </c>
      <c r="AC31" s="10">
        <v>30.75</v>
      </c>
      <c r="AD31" s="2">
        <f t="shared" si="1"/>
        <v>0.33999999999999986</v>
      </c>
      <c r="AE31" s="138">
        <f t="shared" si="2"/>
        <v>-2.9182879377431803E-3</v>
      </c>
    </row>
    <row r="32" spans="1:31" x14ac:dyDescent="0.25">
      <c r="W32" s="133">
        <v>42634</v>
      </c>
      <c r="X32" s="10">
        <v>31.17</v>
      </c>
      <c r="Y32" s="10">
        <v>31.25</v>
      </c>
      <c r="Z32" s="10">
        <v>30.62</v>
      </c>
      <c r="AA32" s="10">
        <v>30.84</v>
      </c>
      <c r="AB32" s="95">
        <v>12447100</v>
      </c>
      <c r="AC32" s="10">
        <v>30.84</v>
      </c>
      <c r="AD32" s="2">
        <f t="shared" si="1"/>
        <v>0.62999999999999901</v>
      </c>
      <c r="AE32" s="138">
        <f t="shared" si="2"/>
        <v>-8.0411707944676447E-3</v>
      </c>
    </row>
    <row r="33" spans="2:31" x14ac:dyDescent="0.25">
      <c r="W33" s="133">
        <v>42633</v>
      </c>
      <c r="X33" s="10">
        <v>30.95</v>
      </c>
      <c r="Y33" s="10">
        <v>31.38</v>
      </c>
      <c r="Z33" s="10">
        <v>30.93</v>
      </c>
      <c r="AA33" s="10">
        <v>31.09</v>
      </c>
      <c r="AB33" s="95">
        <v>6114300</v>
      </c>
      <c r="AC33" s="10">
        <v>31.09</v>
      </c>
      <c r="AD33" s="2">
        <f t="shared" si="1"/>
        <v>0.44999999999999929</v>
      </c>
      <c r="AE33" s="138">
        <f t="shared" si="2"/>
        <v>9.7434231893471779E-3</v>
      </c>
    </row>
    <row r="34" spans="2:31" x14ac:dyDescent="0.25">
      <c r="B34" s="191" t="s">
        <v>114</v>
      </c>
      <c r="C34" s="191" t="s">
        <v>149</v>
      </c>
      <c r="D34" s="192" t="s">
        <v>148</v>
      </c>
      <c r="E34" s="194" t="s">
        <v>150</v>
      </c>
      <c r="F34" s="194" t="s">
        <v>65</v>
      </c>
      <c r="G34" s="229" t="s">
        <v>154</v>
      </c>
      <c r="H34" s="229" t="s">
        <v>88</v>
      </c>
      <c r="I34" s="229" t="s">
        <v>158</v>
      </c>
      <c r="W34" s="133">
        <v>42632</v>
      </c>
      <c r="X34" s="10">
        <v>31.06</v>
      </c>
      <c r="Y34" s="10">
        <v>31.26</v>
      </c>
      <c r="Z34" s="10">
        <v>30.75</v>
      </c>
      <c r="AA34" s="10">
        <v>30.79</v>
      </c>
      <c r="AB34" s="95">
        <v>10628000</v>
      </c>
      <c r="AC34" s="10">
        <v>30.79</v>
      </c>
      <c r="AD34" s="2">
        <f t="shared" si="1"/>
        <v>0.51000000000000156</v>
      </c>
      <c r="AE34" s="138">
        <f t="shared" si="2"/>
        <v>-9.3307593307593306E-3</v>
      </c>
    </row>
    <row r="35" spans="2:31" x14ac:dyDescent="0.25">
      <c r="B35" s="193">
        <v>42484</v>
      </c>
      <c r="C35" s="10">
        <v>100</v>
      </c>
      <c r="D35" s="40">
        <v>35.917999999999999</v>
      </c>
      <c r="E35" s="40">
        <v>35.58</v>
      </c>
      <c r="F35" s="40">
        <f t="shared" ref="F35:F48" si="3">C35*(E35-D35)</f>
        <v>-33.800000000000097</v>
      </c>
      <c r="G35" s="40">
        <f t="shared" ref="G35:G48" si="4">D35*C35</f>
        <v>3591.7999999999997</v>
      </c>
      <c r="H35" s="231">
        <f t="shared" ref="H35:H48" si="5">(E35-D35)/D35</f>
        <v>-9.410323514672336E-3</v>
      </c>
      <c r="I35" s="40"/>
      <c r="W35" s="133">
        <v>42629</v>
      </c>
      <c r="X35" s="10">
        <v>31.3</v>
      </c>
      <c r="Y35" s="10">
        <v>31.35</v>
      </c>
      <c r="Z35" s="10">
        <v>30.84</v>
      </c>
      <c r="AA35" s="10">
        <v>31.08</v>
      </c>
      <c r="AB35" s="95">
        <v>11413900</v>
      </c>
      <c r="AC35" s="10">
        <v>31.08</v>
      </c>
      <c r="AD35" s="2">
        <f t="shared" si="1"/>
        <v>0.51000000000000156</v>
      </c>
      <c r="AE35" s="138">
        <f t="shared" si="2"/>
        <v>-5.4400000000000004E-3</v>
      </c>
    </row>
    <row r="36" spans="2:31" x14ac:dyDescent="0.25">
      <c r="B36" s="193">
        <v>42485</v>
      </c>
      <c r="C36" s="10">
        <v>100</v>
      </c>
      <c r="D36" s="40">
        <v>35.917999999999999</v>
      </c>
      <c r="E36" s="40">
        <v>36.770000000000003</v>
      </c>
      <c r="F36" s="40">
        <f t="shared" si="3"/>
        <v>85.200000000000387</v>
      </c>
      <c r="G36" s="40">
        <f t="shared" si="4"/>
        <v>3591.7999999999997</v>
      </c>
      <c r="H36" s="231">
        <f t="shared" si="5"/>
        <v>2.3720697143493622E-2</v>
      </c>
      <c r="I36" s="40"/>
      <c r="W36" s="133">
        <v>42628</v>
      </c>
      <c r="X36" s="10">
        <v>30.76</v>
      </c>
      <c r="Y36" s="10">
        <v>31.27</v>
      </c>
      <c r="Z36" s="10">
        <v>30.46</v>
      </c>
      <c r="AA36" s="10">
        <v>31.25</v>
      </c>
      <c r="AB36" s="95">
        <v>10378500</v>
      </c>
      <c r="AC36" s="10">
        <v>31.25</v>
      </c>
      <c r="AD36" s="2">
        <f t="shared" si="1"/>
        <v>0.80999999999999872</v>
      </c>
      <c r="AE36" s="138">
        <f t="shared" si="2"/>
        <v>1.7583848909149991E-2</v>
      </c>
    </row>
    <row r="37" spans="2:31" x14ac:dyDescent="0.25">
      <c r="B37" s="193">
        <v>42498</v>
      </c>
      <c r="C37" s="10">
        <v>100</v>
      </c>
      <c r="D37" s="40">
        <v>35.917999999999999</v>
      </c>
      <c r="E37" s="40">
        <v>34.549999999999997</v>
      </c>
      <c r="F37" s="40">
        <f t="shared" si="3"/>
        <v>-136.80000000000021</v>
      </c>
      <c r="G37" s="40">
        <f t="shared" si="4"/>
        <v>3591.7999999999997</v>
      </c>
      <c r="H37" s="231">
        <f t="shared" si="5"/>
        <v>-3.8086753159975562E-2</v>
      </c>
      <c r="I37" s="40"/>
      <c r="W37" s="133">
        <v>42627</v>
      </c>
      <c r="X37" s="10">
        <v>30.95</v>
      </c>
      <c r="Y37" s="10">
        <v>31.11</v>
      </c>
      <c r="Z37" s="10">
        <v>30.66</v>
      </c>
      <c r="AA37" s="10">
        <v>30.71</v>
      </c>
      <c r="AB37" s="95">
        <v>9834000</v>
      </c>
      <c r="AC37" s="10">
        <v>30.71</v>
      </c>
      <c r="AD37" s="2">
        <f t="shared" si="1"/>
        <v>0.44999999999999929</v>
      </c>
      <c r="AE37" s="138">
        <f t="shared" si="2"/>
        <v>-7.7544426494344787E-3</v>
      </c>
    </row>
    <row r="38" spans="2:31" x14ac:dyDescent="0.25">
      <c r="B38" s="193">
        <v>42508</v>
      </c>
      <c r="C38" s="10">
        <v>140</v>
      </c>
      <c r="D38" s="40">
        <v>35.423999999999999</v>
      </c>
      <c r="E38" s="40">
        <v>34.369999999999997</v>
      </c>
      <c r="F38" s="40">
        <f t="shared" si="3"/>
        <v>-147.56000000000029</v>
      </c>
      <c r="G38" s="40">
        <f t="shared" si="4"/>
        <v>4959.3599999999997</v>
      </c>
      <c r="H38" s="231">
        <f t="shared" si="5"/>
        <v>-2.9753839205058776E-2</v>
      </c>
      <c r="I38" s="40"/>
      <c r="W38" s="133">
        <v>42626</v>
      </c>
      <c r="X38" s="10">
        <v>30.81</v>
      </c>
      <c r="Y38" s="10">
        <v>31.16</v>
      </c>
      <c r="Z38" s="10">
        <v>30.45</v>
      </c>
      <c r="AA38" s="10">
        <v>30.95</v>
      </c>
      <c r="AB38" s="95">
        <v>14350900</v>
      </c>
      <c r="AC38" s="10">
        <v>30.95</v>
      </c>
      <c r="AD38" s="2">
        <f t="shared" si="1"/>
        <v>0.71000000000000085</v>
      </c>
      <c r="AE38" s="138">
        <f t="shared" si="2"/>
        <v>1.9423761735188894E-3</v>
      </c>
    </row>
    <row r="39" spans="2:31" x14ac:dyDescent="0.25">
      <c r="B39" s="193">
        <v>42509</v>
      </c>
      <c r="C39" s="10">
        <v>240</v>
      </c>
      <c r="D39" s="40">
        <v>35.034999999999997</v>
      </c>
      <c r="E39" s="40">
        <v>34.83</v>
      </c>
      <c r="F39" s="40">
        <f t="shared" si="3"/>
        <v>-49.199999999999591</v>
      </c>
      <c r="G39" s="40">
        <f t="shared" si="4"/>
        <v>8408.4</v>
      </c>
      <c r="H39" s="231">
        <f t="shared" si="5"/>
        <v>-5.8512915655772315E-3</v>
      </c>
      <c r="I39" s="40"/>
      <c r="W39" s="133">
        <v>42625</v>
      </c>
      <c r="X39" s="10">
        <v>31.41</v>
      </c>
      <c r="Y39" s="10">
        <v>31.53</v>
      </c>
      <c r="Z39" s="10">
        <v>30.7</v>
      </c>
      <c r="AA39" s="10">
        <v>30.89</v>
      </c>
      <c r="AB39" s="95">
        <v>20385000</v>
      </c>
      <c r="AC39" s="10">
        <v>30.89</v>
      </c>
      <c r="AD39" s="2">
        <f t="shared" si="1"/>
        <v>0.83000000000000185</v>
      </c>
      <c r="AE39" s="138">
        <f t="shared" si="2"/>
        <v>-1.9676293240241227E-2</v>
      </c>
    </row>
    <row r="40" spans="2:31" ht="20.25" thickBot="1" x14ac:dyDescent="0.35">
      <c r="B40" s="193">
        <v>42514</v>
      </c>
      <c r="C40" s="10">
        <v>200</v>
      </c>
      <c r="D40" s="40">
        <v>34.972000000000001</v>
      </c>
      <c r="E40" s="40">
        <v>35.520000000000003</v>
      </c>
      <c r="F40" s="40">
        <f t="shared" si="3"/>
        <v>109.60000000000036</v>
      </c>
      <c r="G40" s="40">
        <f t="shared" si="4"/>
        <v>6994.4000000000005</v>
      </c>
      <c r="H40" s="231">
        <f t="shared" si="5"/>
        <v>1.5669678600022927E-2</v>
      </c>
      <c r="I40" s="40"/>
      <c r="O40" s="588" t="s">
        <v>78</v>
      </c>
      <c r="P40" s="588"/>
      <c r="W40" s="133">
        <v>42622</v>
      </c>
      <c r="X40" s="10">
        <v>31.05</v>
      </c>
      <c r="Y40" s="10">
        <v>31.91</v>
      </c>
      <c r="Z40" s="10">
        <v>31.05</v>
      </c>
      <c r="AA40" s="10">
        <v>31.51</v>
      </c>
      <c r="AB40" s="95">
        <v>19170200</v>
      </c>
      <c r="AC40" s="10">
        <v>31.51</v>
      </c>
      <c r="AD40" s="2">
        <f t="shared" si="1"/>
        <v>0.85999999999999943</v>
      </c>
      <c r="AE40" s="138">
        <f t="shared" si="2"/>
        <v>6.3877355477484077E-3</v>
      </c>
    </row>
    <row r="41" spans="2:31" ht="15.75" thickTop="1" x14ac:dyDescent="0.25">
      <c r="B41" s="193">
        <v>42515</v>
      </c>
      <c r="C41" s="10">
        <v>200</v>
      </c>
      <c r="D41" s="40">
        <v>34.972000000000001</v>
      </c>
      <c r="E41" s="40">
        <v>34.94</v>
      </c>
      <c r="F41" s="40">
        <f t="shared" si="3"/>
        <v>-6.4000000000007162</v>
      </c>
      <c r="G41" s="40">
        <f t="shared" si="4"/>
        <v>6994.4000000000005</v>
      </c>
      <c r="H41" s="231">
        <f t="shared" si="5"/>
        <v>-9.150177284685914E-4</v>
      </c>
      <c r="I41" s="40"/>
      <c r="O41" s="83">
        <v>1.1000000000000001</v>
      </c>
      <c r="P41" s="83">
        <f>O41*$Q$4</f>
        <v>35.442</v>
      </c>
      <c r="Q41" s="2"/>
      <c r="W41" s="133">
        <v>42621</v>
      </c>
      <c r="X41" s="10">
        <v>31</v>
      </c>
      <c r="Y41" s="10">
        <v>31.73</v>
      </c>
      <c r="Z41" s="10">
        <v>30.7</v>
      </c>
      <c r="AA41" s="10">
        <v>31.31</v>
      </c>
      <c r="AB41" s="95">
        <v>18294900</v>
      </c>
      <c r="AC41" s="10">
        <v>31.31</v>
      </c>
      <c r="AD41" s="2">
        <f t="shared" si="1"/>
        <v>1.0300000000000011</v>
      </c>
      <c r="AE41" s="138">
        <f t="shared" si="2"/>
        <v>-3.1928480204346243E-4</v>
      </c>
    </row>
    <row r="42" spans="2:31" ht="20.25" thickBot="1" x14ac:dyDescent="0.35">
      <c r="B42" s="193">
        <v>42521</v>
      </c>
      <c r="C42" s="7">
        <v>160</v>
      </c>
      <c r="D42" s="44">
        <v>34.718000000000004</v>
      </c>
      <c r="E42" s="40">
        <v>35.76</v>
      </c>
      <c r="F42" s="40">
        <f t="shared" si="3"/>
        <v>166.71999999999912</v>
      </c>
      <c r="G42" s="40">
        <f t="shared" si="4"/>
        <v>5554.880000000001</v>
      </c>
      <c r="H42" s="231">
        <f t="shared" si="5"/>
        <v>3.0013249611152554E-2</v>
      </c>
      <c r="I42" s="40"/>
      <c r="O42" s="83">
        <v>1.0900000000000001</v>
      </c>
      <c r="P42" s="83">
        <f t="shared" ref="P42:P61" si="6">O42*$Q$4</f>
        <v>35.119799999999998</v>
      </c>
      <c r="Q42" s="2"/>
      <c r="T42" s="91" t="s">
        <v>113</v>
      </c>
      <c r="W42" s="133">
        <v>42620</v>
      </c>
      <c r="X42" s="10">
        <v>31.66</v>
      </c>
      <c r="Y42" s="10">
        <v>31.75</v>
      </c>
      <c r="Z42" s="10">
        <v>31.1</v>
      </c>
      <c r="AA42" s="10">
        <v>31.32</v>
      </c>
      <c r="AB42" s="95">
        <v>19365500</v>
      </c>
      <c r="AC42" s="10">
        <v>31.32</v>
      </c>
      <c r="AD42" s="2">
        <f t="shared" si="1"/>
        <v>0.64999999999999858</v>
      </c>
      <c r="AE42" s="138">
        <f t="shared" si="2"/>
        <v>-4.1322314049586861E-2</v>
      </c>
    </row>
    <row r="43" spans="2:31" ht="15.75" thickTop="1" x14ac:dyDescent="0.25">
      <c r="B43" s="193">
        <v>42527</v>
      </c>
      <c r="C43" s="10">
        <v>160</v>
      </c>
      <c r="D43" s="40">
        <v>34.652000000000001</v>
      </c>
      <c r="E43" s="40">
        <v>36.020000000000003</v>
      </c>
      <c r="F43" s="40">
        <f t="shared" si="3"/>
        <v>218.88000000000034</v>
      </c>
      <c r="G43" s="40">
        <f t="shared" si="4"/>
        <v>5544.32</v>
      </c>
      <c r="H43" s="231">
        <f t="shared" si="5"/>
        <v>3.9478240794182211E-2</v>
      </c>
      <c r="I43" s="40"/>
      <c r="O43" s="83">
        <v>1.08</v>
      </c>
      <c r="P43" s="83">
        <f t="shared" si="6"/>
        <v>34.797600000000003</v>
      </c>
      <c r="Q43" s="2"/>
      <c r="T43" s="128" t="s">
        <v>98</v>
      </c>
      <c r="U43" s="98">
        <v>30.79</v>
      </c>
      <c r="W43" s="133">
        <v>42619</v>
      </c>
      <c r="X43" s="10">
        <v>32.58</v>
      </c>
      <c r="Y43" s="10">
        <v>32.71</v>
      </c>
      <c r="Z43" s="10">
        <v>32.17</v>
      </c>
      <c r="AA43" s="10">
        <v>32.67</v>
      </c>
      <c r="AB43" s="95">
        <v>6778400</v>
      </c>
      <c r="AC43" s="10">
        <v>32.67</v>
      </c>
      <c r="AD43" s="2">
        <f t="shared" si="1"/>
        <v>0.53999999999999915</v>
      </c>
      <c r="AE43" s="138">
        <f t="shared" si="2"/>
        <v>5.2307692307693721E-3</v>
      </c>
    </row>
    <row r="44" spans="2:31" x14ac:dyDescent="0.25">
      <c r="B44" s="193">
        <v>42498</v>
      </c>
      <c r="C44" s="10">
        <v>160</v>
      </c>
      <c r="D44" s="40">
        <v>34.652000000000001</v>
      </c>
      <c r="E44" s="40">
        <v>36.520000000000003</v>
      </c>
      <c r="F44" s="40">
        <f t="shared" si="3"/>
        <v>298.88000000000034</v>
      </c>
      <c r="G44" s="40">
        <f t="shared" si="4"/>
        <v>5544.32</v>
      </c>
      <c r="H44" s="231">
        <f t="shared" si="5"/>
        <v>5.3907422371003176E-2</v>
      </c>
      <c r="I44" s="40"/>
      <c r="O44" s="83">
        <v>1.07</v>
      </c>
      <c r="P44" s="83">
        <f t="shared" si="6"/>
        <v>34.4754</v>
      </c>
      <c r="Q44" s="2"/>
      <c r="T44" s="93" t="s">
        <v>99</v>
      </c>
      <c r="U44" s="88">
        <v>30.85</v>
      </c>
      <c r="W44" s="133">
        <v>42615</v>
      </c>
      <c r="X44" s="10">
        <v>32.14</v>
      </c>
      <c r="Y44" s="10">
        <v>32.81</v>
      </c>
      <c r="Z44" s="10">
        <v>32.01</v>
      </c>
      <c r="AA44" s="10">
        <v>32.5</v>
      </c>
      <c r="AB44" s="95">
        <v>7494900</v>
      </c>
      <c r="AC44" s="10">
        <v>32.5</v>
      </c>
      <c r="AD44" s="2">
        <f t="shared" si="1"/>
        <v>0.80000000000000426</v>
      </c>
      <c r="AE44" s="138">
        <f t="shared" si="2"/>
        <v>1.6896120150187599E-2</v>
      </c>
    </row>
    <row r="45" spans="2:31" x14ac:dyDescent="0.25">
      <c r="B45" s="193">
        <v>42531</v>
      </c>
      <c r="C45" s="10">
        <v>60</v>
      </c>
      <c r="D45" s="40">
        <v>30.757000000000001</v>
      </c>
      <c r="E45" s="40">
        <v>36.81</v>
      </c>
      <c r="F45" s="40">
        <f t="shared" si="3"/>
        <v>363.18000000000006</v>
      </c>
      <c r="G45" s="40">
        <f t="shared" si="4"/>
        <v>1845.42</v>
      </c>
      <c r="H45" s="231">
        <f t="shared" si="5"/>
        <v>0.1968007282894951</v>
      </c>
      <c r="I45" s="40"/>
      <c r="O45" s="83">
        <v>1.06</v>
      </c>
      <c r="P45" s="83">
        <f t="shared" si="6"/>
        <v>34.153199999999998</v>
      </c>
      <c r="Q45" s="2"/>
      <c r="T45" s="93" t="s">
        <v>100</v>
      </c>
      <c r="U45" s="88" t="s">
        <v>629</v>
      </c>
      <c r="W45" s="133">
        <v>42614</v>
      </c>
      <c r="X45" s="10">
        <v>32.1</v>
      </c>
      <c r="Y45" s="10">
        <v>32.15</v>
      </c>
      <c r="Z45" s="10">
        <v>31.81</v>
      </c>
      <c r="AA45" s="10">
        <v>31.96</v>
      </c>
      <c r="AB45" s="95">
        <v>7468400</v>
      </c>
      <c r="AC45" s="10">
        <v>31.96</v>
      </c>
      <c r="AD45" s="2">
        <f t="shared" si="1"/>
        <v>0.33999999999999986</v>
      </c>
      <c r="AE45" s="138">
        <f t="shared" si="2"/>
        <v>-9.3779306033126009E-4</v>
      </c>
    </row>
    <row r="46" spans="2:31" x14ac:dyDescent="0.25">
      <c r="B46" s="193">
        <v>42536</v>
      </c>
      <c r="C46" s="7">
        <v>160</v>
      </c>
      <c r="D46" s="44">
        <v>33.652999999999999</v>
      </c>
      <c r="E46" s="40">
        <v>35.71</v>
      </c>
      <c r="F46" s="40">
        <f t="shared" si="3"/>
        <v>329.12000000000035</v>
      </c>
      <c r="G46" s="40">
        <f t="shared" si="4"/>
        <v>5384.48</v>
      </c>
      <c r="H46" s="231">
        <f t="shared" si="5"/>
        <v>6.1123822541823976E-2</v>
      </c>
      <c r="I46" s="40"/>
      <c r="O46" s="83">
        <v>1.05</v>
      </c>
      <c r="P46" s="83">
        <f t="shared" si="6"/>
        <v>33.831000000000003</v>
      </c>
      <c r="Q46" s="2"/>
      <c r="T46" s="93" t="s">
        <v>101</v>
      </c>
      <c r="U46" s="88" t="s">
        <v>559</v>
      </c>
      <c r="W46" s="133">
        <v>42613</v>
      </c>
      <c r="X46" s="10">
        <v>32.159999999999997</v>
      </c>
      <c r="Y46" s="10">
        <v>32.29</v>
      </c>
      <c r="Z46" s="10">
        <v>31.91</v>
      </c>
      <c r="AA46" s="10">
        <v>31.99</v>
      </c>
      <c r="AB46" s="95">
        <v>9102800</v>
      </c>
      <c r="AC46" s="10">
        <v>31.99</v>
      </c>
      <c r="AD46" s="2">
        <f t="shared" si="1"/>
        <v>0.37999999999999901</v>
      </c>
      <c r="AE46" s="138">
        <f t="shared" si="2"/>
        <v>-5.2860696517412764E-3</v>
      </c>
    </row>
    <row r="47" spans="2:31" x14ac:dyDescent="0.25">
      <c r="B47" s="193">
        <v>42542</v>
      </c>
      <c r="C47" s="10">
        <v>160</v>
      </c>
      <c r="D47" s="40">
        <v>33.65</v>
      </c>
      <c r="E47" s="40">
        <v>34.71</v>
      </c>
      <c r="F47" s="40">
        <f t="shared" si="3"/>
        <v>169.60000000000036</v>
      </c>
      <c r="G47" s="40">
        <f t="shared" si="4"/>
        <v>5384</v>
      </c>
      <c r="H47" s="231">
        <f t="shared" si="5"/>
        <v>3.1500742942050589E-2</v>
      </c>
      <c r="I47" s="40"/>
      <c r="O47" s="83">
        <v>1.04</v>
      </c>
      <c r="P47" s="83">
        <f t="shared" si="6"/>
        <v>33.508800000000001</v>
      </c>
      <c r="Q47" s="2"/>
      <c r="T47" s="93" t="s">
        <v>102</v>
      </c>
      <c r="U47" s="88">
        <v>35.909999999999997</v>
      </c>
      <c r="W47" s="133">
        <v>42612</v>
      </c>
      <c r="X47" s="10">
        <v>32.33</v>
      </c>
      <c r="Y47" s="10">
        <v>32.5</v>
      </c>
      <c r="Z47" s="10">
        <v>32.090000000000003</v>
      </c>
      <c r="AA47" s="10">
        <v>32.159999999999997</v>
      </c>
      <c r="AB47" s="95">
        <v>5044600</v>
      </c>
      <c r="AC47" s="10">
        <v>32.159999999999997</v>
      </c>
      <c r="AD47" s="2">
        <f t="shared" si="1"/>
        <v>0.40999999999999659</v>
      </c>
      <c r="AE47" s="138">
        <f t="shared" si="2"/>
        <v>-5.2582740488710256E-3</v>
      </c>
    </row>
    <row r="48" spans="2:31" x14ac:dyDescent="0.25">
      <c r="B48" s="193">
        <v>42548</v>
      </c>
      <c r="C48" s="10">
        <v>160</v>
      </c>
      <c r="D48" s="40">
        <v>33.652999999999999</v>
      </c>
      <c r="E48" s="40">
        <v>36.619999999999997</v>
      </c>
      <c r="F48" s="40">
        <f t="shared" si="3"/>
        <v>474.7199999999998</v>
      </c>
      <c r="G48" s="40">
        <f t="shared" si="4"/>
        <v>5384.48</v>
      </c>
      <c r="H48" s="231">
        <f t="shared" si="5"/>
        <v>8.8164502421775148E-2</v>
      </c>
      <c r="I48" s="40"/>
      <c r="O48" s="83">
        <v>1.03</v>
      </c>
      <c r="P48" s="83">
        <f t="shared" si="6"/>
        <v>33.186599999999999</v>
      </c>
      <c r="Q48" s="2"/>
      <c r="T48" s="93" t="s">
        <v>103</v>
      </c>
      <c r="U48" s="88">
        <v>0.60612600000000005</v>
      </c>
      <c r="W48" s="133">
        <v>42611</v>
      </c>
      <c r="X48" s="10">
        <v>32.46</v>
      </c>
      <c r="Y48" s="10">
        <v>32.72</v>
      </c>
      <c r="Z48" s="10">
        <v>32.17</v>
      </c>
      <c r="AA48" s="10">
        <v>32.33</v>
      </c>
      <c r="AB48" s="95">
        <v>7667300</v>
      </c>
      <c r="AC48" s="10">
        <v>32.33</v>
      </c>
      <c r="AD48" s="2">
        <f t="shared" si="1"/>
        <v>0.54999999999999716</v>
      </c>
      <c r="AE48" s="138">
        <f t="shared" si="2"/>
        <v>-1.0709914320685465E-2</v>
      </c>
    </row>
    <row r="49" spans="2:31" x14ac:dyDescent="0.25">
      <c r="B49" s="193">
        <v>42556</v>
      </c>
      <c r="C49" s="10">
        <v>160</v>
      </c>
      <c r="D49" s="40">
        <v>33.652999999999999</v>
      </c>
      <c r="E49" s="40">
        <v>37.33</v>
      </c>
      <c r="F49" s="40">
        <f t="shared" ref="F49" si="7">C49*(E49-D49)</f>
        <v>588.31999999999994</v>
      </c>
      <c r="G49" s="40">
        <f t="shared" ref="G49" si="8">D49*C49</f>
        <v>5384.48</v>
      </c>
      <c r="H49" s="231">
        <f t="shared" ref="H49" si="9">(E49-D49)/D49</f>
        <v>0.10926217573470418</v>
      </c>
      <c r="I49" s="40"/>
      <c r="O49" s="83">
        <v>1.02</v>
      </c>
      <c r="P49" s="83">
        <f t="shared" si="6"/>
        <v>32.864399999999996</v>
      </c>
      <c r="Q49" s="2"/>
      <c r="T49" s="93" t="s">
        <v>104</v>
      </c>
      <c r="U49" s="88" t="s">
        <v>335</v>
      </c>
      <c r="W49" s="133">
        <v>42608</v>
      </c>
      <c r="X49" s="10">
        <v>32.770000000000003</v>
      </c>
      <c r="Y49" s="10">
        <v>32.94</v>
      </c>
      <c r="Z49" s="10">
        <v>32.46</v>
      </c>
      <c r="AA49" s="10">
        <v>32.68</v>
      </c>
      <c r="AB49" s="95">
        <v>6549100</v>
      </c>
      <c r="AC49" s="10">
        <v>32.68</v>
      </c>
      <c r="AD49" s="2">
        <f t="shared" si="1"/>
        <v>0.47999999999999687</v>
      </c>
      <c r="AE49" s="138">
        <f t="shared" si="2"/>
        <v>-2.4420024420024333E-3</v>
      </c>
    </row>
    <row r="50" spans="2:31" x14ac:dyDescent="0.25">
      <c r="B50" s="193">
        <v>42559</v>
      </c>
      <c r="C50" s="10">
        <v>160</v>
      </c>
      <c r="D50" s="40">
        <v>33.652999999999999</v>
      </c>
      <c r="E50" s="40">
        <v>37.86</v>
      </c>
      <c r="F50" s="40">
        <f t="shared" ref="F50" si="10">C50*(E50-D50)</f>
        <v>673.12000000000012</v>
      </c>
      <c r="G50" s="40">
        <f t="shared" ref="G50" si="11">D50*C50</f>
        <v>5384.48</v>
      </c>
      <c r="H50" s="231">
        <f t="shared" ref="H50" si="12">(E50-D50)/D50</f>
        <v>0.12501114313731318</v>
      </c>
      <c r="I50" s="40"/>
      <c r="O50" s="83">
        <v>1.01</v>
      </c>
      <c r="P50" s="83">
        <f t="shared" si="6"/>
        <v>32.542200000000001</v>
      </c>
      <c r="Q50" s="2"/>
      <c r="T50" s="93"/>
      <c r="U50" s="88"/>
      <c r="W50" s="133">
        <v>42607</v>
      </c>
      <c r="X50" s="10">
        <v>32.85</v>
      </c>
      <c r="Y50" s="10">
        <v>33.06</v>
      </c>
      <c r="Z50" s="10">
        <v>32.67</v>
      </c>
      <c r="AA50" s="10">
        <v>32.76</v>
      </c>
      <c r="AB50" s="95">
        <v>7845500</v>
      </c>
      <c r="AC50" s="10">
        <v>32.76</v>
      </c>
      <c r="AD50" s="2">
        <f t="shared" si="1"/>
        <v>0.39000000000000057</v>
      </c>
      <c r="AE50" s="138">
        <f t="shared" si="2"/>
        <v>-6.9718096392847873E-3</v>
      </c>
    </row>
    <row r="51" spans="2:31" x14ac:dyDescent="0.25">
      <c r="B51" s="193">
        <v>42563</v>
      </c>
      <c r="C51" s="10">
        <v>160</v>
      </c>
      <c r="D51" s="40">
        <v>33.652999999999999</v>
      </c>
      <c r="E51" s="40">
        <v>37.39</v>
      </c>
      <c r="F51" s="40">
        <f t="shared" ref="F51" si="13">C51*(E51-D51)</f>
        <v>597.9200000000003</v>
      </c>
      <c r="G51" s="40">
        <f t="shared" ref="G51" si="14">D51*C51</f>
        <v>5384.48</v>
      </c>
      <c r="H51" s="231">
        <f t="shared" ref="H51" si="15">(E51-D51)/D51</f>
        <v>0.11104507770481092</v>
      </c>
      <c r="I51" s="40"/>
      <c r="O51" s="83">
        <v>1</v>
      </c>
      <c r="P51" s="83">
        <f t="shared" si="6"/>
        <v>32.22</v>
      </c>
      <c r="Q51" s="2"/>
      <c r="T51" s="93" t="s">
        <v>105</v>
      </c>
      <c r="U51" s="88" t="s">
        <v>630</v>
      </c>
      <c r="W51" s="133">
        <v>42606</v>
      </c>
      <c r="X51" s="10">
        <v>32.25</v>
      </c>
      <c r="Y51" s="10">
        <v>33.24</v>
      </c>
      <c r="Z51" s="10">
        <v>32.21</v>
      </c>
      <c r="AA51" s="10">
        <v>32.99</v>
      </c>
      <c r="AB51" s="95">
        <v>12246500</v>
      </c>
      <c r="AC51" s="10">
        <v>32.99</v>
      </c>
      <c r="AD51" s="2">
        <f t="shared" si="1"/>
        <v>1.0300000000000011</v>
      </c>
      <c r="AE51" s="138">
        <f t="shared" si="2"/>
        <v>2.2945736434108577E-2</v>
      </c>
    </row>
    <row r="52" spans="2:31" x14ac:dyDescent="0.25">
      <c r="B52" s="193">
        <v>42566</v>
      </c>
      <c r="C52" s="10">
        <v>160</v>
      </c>
      <c r="D52" s="40">
        <v>33.652999999999999</v>
      </c>
      <c r="E52" s="40">
        <v>36.71</v>
      </c>
      <c r="F52" s="40">
        <f t="shared" ref="F52" si="16">C52*(E52-D52)</f>
        <v>489.12000000000035</v>
      </c>
      <c r="G52" s="40">
        <f t="shared" ref="G52" si="17">D52*C52</f>
        <v>5384.48</v>
      </c>
      <c r="H52" s="231">
        <f t="shared" ref="H52" si="18">(E52-D52)/D52</f>
        <v>9.0838855376935257E-2</v>
      </c>
      <c r="I52" s="40"/>
      <c r="O52" s="83">
        <v>0.99</v>
      </c>
      <c r="P52" s="83">
        <f t="shared" si="6"/>
        <v>31.8978</v>
      </c>
      <c r="Q52" s="2"/>
      <c r="T52" s="93" t="s">
        <v>106</v>
      </c>
      <c r="U52" s="88" t="s">
        <v>373</v>
      </c>
      <c r="W52" s="133">
        <v>42605</v>
      </c>
      <c r="X52" s="10">
        <v>32.58</v>
      </c>
      <c r="Y52" s="10">
        <v>32.979999999999997</v>
      </c>
      <c r="Z52" s="10">
        <v>32.25</v>
      </c>
      <c r="AA52" s="10">
        <v>32.25</v>
      </c>
      <c r="AB52" s="95">
        <v>11039600</v>
      </c>
      <c r="AC52" s="10">
        <v>32.25</v>
      </c>
      <c r="AD52" s="2">
        <f t="shared" si="1"/>
        <v>0.72999999999999687</v>
      </c>
      <c r="AE52" s="138">
        <f t="shared" si="2"/>
        <v>-1.8563603164942211E-2</v>
      </c>
    </row>
    <row r="53" spans="2:31" x14ac:dyDescent="0.25">
      <c r="B53" s="193">
        <v>42570</v>
      </c>
      <c r="C53" s="10">
        <v>160</v>
      </c>
      <c r="D53" s="40">
        <v>33.652999999999999</v>
      </c>
      <c r="E53" s="40">
        <v>36.21</v>
      </c>
      <c r="F53" s="40">
        <f t="shared" ref="F53" si="19">C53*(E53-D53)</f>
        <v>409.12000000000035</v>
      </c>
      <c r="G53" s="40">
        <f t="shared" ref="G53" si="20">D53*C53</f>
        <v>5384.48</v>
      </c>
      <c r="H53" s="231">
        <f t="shared" ref="H53" si="21">(E53-D53)/D53</f>
        <v>7.5981338959379613E-2</v>
      </c>
      <c r="I53" s="40"/>
      <c r="O53" s="83">
        <v>0.98</v>
      </c>
      <c r="P53" s="83">
        <f t="shared" si="6"/>
        <v>31.575599999999998</v>
      </c>
      <c r="Q53" s="2"/>
      <c r="T53" s="93" t="s">
        <v>107</v>
      </c>
      <c r="U53" s="90">
        <v>13547150</v>
      </c>
      <c r="W53" s="133">
        <v>42604</v>
      </c>
      <c r="X53" s="10">
        <v>32.64</v>
      </c>
      <c r="Y53" s="10">
        <v>32.89</v>
      </c>
      <c r="Z53" s="10">
        <v>32.450000000000003</v>
      </c>
      <c r="AA53" s="10">
        <v>32.86</v>
      </c>
      <c r="AB53" s="95">
        <v>7744600</v>
      </c>
      <c r="AC53" s="10">
        <v>32.86</v>
      </c>
      <c r="AD53" s="2">
        <f t="shared" si="1"/>
        <v>0.43999999999999773</v>
      </c>
      <c r="AE53" s="138">
        <f t="shared" si="2"/>
        <v>7.6663600122661713E-3</v>
      </c>
    </row>
    <row r="54" spans="2:31" x14ac:dyDescent="0.25">
      <c r="B54" s="193">
        <v>42571</v>
      </c>
      <c r="C54" s="10">
        <v>160</v>
      </c>
      <c r="D54" s="40">
        <v>33.652999999999999</v>
      </c>
      <c r="E54" s="40">
        <v>36.4</v>
      </c>
      <c r="F54" s="40">
        <f t="shared" ref="F54" si="22">C54*(E54-D54)</f>
        <v>439.52</v>
      </c>
      <c r="G54" s="40">
        <f t="shared" ref="G54" si="23">D54*C54</f>
        <v>5384.48</v>
      </c>
      <c r="H54" s="231">
        <f t="shared" ref="H54" si="24">(E54-D54)/D54</f>
        <v>8.16271951980507E-2</v>
      </c>
      <c r="I54" s="40"/>
      <c r="O54" s="83">
        <v>0.97</v>
      </c>
      <c r="P54" s="83">
        <f t="shared" si="6"/>
        <v>31.253399999999999</v>
      </c>
      <c r="T54" s="93" t="s">
        <v>110</v>
      </c>
      <c r="U54" s="90">
        <v>11261600</v>
      </c>
      <c r="W54" s="133">
        <v>42601</v>
      </c>
      <c r="X54" s="10">
        <v>32.47</v>
      </c>
      <c r="Y54" s="10">
        <v>32.81</v>
      </c>
      <c r="Z54" s="10">
        <v>32.35</v>
      </c>
      <c r="AA54" s="10">
        <v>32.61</v>
      </c>
      <c r="AB54" s="95">
        <v>8885800</v>
      </c>
      <c r="AC54" s="10">
        <v>32.61</v>
      </c>
      <c r="AD54" s="2">
        <f t="shared" si="1"/>
        <v>0.46000000000000085</v>
      </c>
      <c r="AE54" s="138">
        <f t="shared" si="2"/>
        <v>4.6210720887245316E-3</v>
      </c>
    </row>
    <row r="55" spans="2:31" x14ac:dyDescent="0.25">
      <c r="B55" s="193">
        <v>42572</v>
      </c>
      <c r="C55" s="10">
        <v>160</v>
      </c>
      <c r="D55" s="40">
        <v>33.652999999999999</v>
      </c>
      <c r="E55" s="40">
        <v>35.96</v>
      </c>
      <c r="F55" s="40">
        <f t="shared" ref="F55" si="25">C55*(E55-D55)</f>
        <v>369.12000000000035</v>
      </c>
      <c r="G55" s="40">
        <f t="shared" ref="G55" si="26">D55*C55</f>
        <v>5384.48</v>
      </c>
      <c r="H55" s="231">
        <f t="shared" ref="H55" si="27">(E55-D55)/D55</f>
        <v>6.8552580750601791E-2</v>
      </c>
      <c r="I55" s="40"/>
      <c r="O55" s="83">
        <v>0.96</v>
      </c>
      <c r="P55" s="83">
        <f t="shared" si="6"/>
        <v>30.931199999999997</v>
      </c>
      <c r="T55" s="93" t="s">
        <v>108</v>
      </c>
      <c r="U55" s="88" t="s">
        <v>631</v>
      </c>
      <c r="W55" s="133">
        <v>42600</v>
      </c>
      <c r="X55" s="10">
        <v>31.96</v>
      </c>
      <c r="Y55" s="10">
        <v>32.619999999999997</v>
      </c>
      <c r="Z55" s="10">
        <v>31.87</v>
      </c>
      <c r="AA55" s="10">
        <v>32.46</v>
      </c>
      <c r="AB55" s="95">
        <v>12233100</v>
      </c>
      <c r="AC55" s="10">
        <v>32.46</v>
      </c>
      <c r="AD55" s="2">
        <f t="shared" si="1"/>
        <v>0.74999999999999645</v>
      </c>
      <c r="AE55" s="138">
        <f t="shared" si="2"/>
        <v>1.8193224592220947E-2</v>
      </c>
    </row>
    <row r="56" spans="2:31" x14ac:dyDescent="0.25">
      <c r="B56" s="193">
        <v>42576</v>
      </c>
      <c r="C56" s="10">
        <v>160</v>
      </c>
      <c r="D56" s="40">
        <v>33.652999999999999</v>
      </c>
      <c r="E56" s="40">
        <v>35.79</v>
      </c>
      <c r="F56" s="40">
        <f t="shared" ref="F56" si="28">C56*(E56-D56)</f>
        <v>341.92000000000007</v>
      </c>
      <c r="G56" s="40">
        <f t="shared" ref="G56" si="29">D56*C56</f>
        <v>5384.48</v>
      </c>
      <c r="H56" s="231">
        <f t="shared" ref="H56" si="30">(E56-D56)/D56</f>
        <v>6.3501025168632833E-2</v>
      </c>
      <c r="I56" s="40"/>
      <c r="O56" s="83">
        <v>0.95</v>
      </c>
      <c r="P56" s="83">
        <f t="shared" si="6"/>
        <v>30.608999999999998</v>
      </c>
      <c r="T56" s="93" t="s">
        <v>111</v>
      </c>
      <c r="U56" s="88">
        <v>15.28</v>
      </c>
      <c r="W56" s="133">
        <v>42599</v>
      </c>
      <c r="X56" s="10">
        <v>32.119999999999997</v>
      </c>
      <c r="Y56" s="10">
        <v>32.21</v>
      </c>
      <c r="Z56" s="10">
        <v>31.45</v>
      </c>
      <c r="AA56" s="10">
        <v>31.88</v>
      </c>
      <c r="AB56" s="95">
        <v>9413300</v>
      </c>
      <c r="AC56" s="10">
        <v>31.88</v>
      </c>
      <c r="AD56" s="2">
        <f t="shared" si="1"/>
        <v>0.76000000000000156</v>
      </c>
      <c r="AE56" s="138">
        <f t="shared" si="2"/>
        <v>-6.8535825545171791E-3</v>
      </c>
    </row>
    <row r="57" spans="2:31" x14ac:dyDescent="0.25">
      <c r="B57" s="193">
        <v>42577</v>
      </c>
      <c r="C57" s="10">
        <v>160</v>
      </c>
      <c r="D57" s="40">
        <v>33.652999999999999</v>
      </c>
      <c r="E57" s="40">
        <v>36.42</v>
      </c>
      <c r="F57" s="40">
        <f t="shared" ref="F57" si="31">C57*(E57-D57)</f>
        <v>442.72000000000048</v>
      </c>
      <c r="G57" s="40">
        <f t="shared" ref="G57" si="32">D57*C57</f>
        <v>5384.48</v>
      </c>
      <c r="H57" s="231">
        <f t="shared" ref="H57" si="33">(E57-D57)/D57</f>
        <v>8.222149585475301E-2</v>
      </c>
      <c r="I57" s="40"/>
      <c r="O57" s="83">
        <v>0.94</v>
      </c>
      <c r="P57" s="83">
        <f t="shared" si="6"/>
        <v>30.286799999999996</v>
      </c>
      <c r="T57" s="93" t="s">
        <v>112</v>
      </c>
      <c r="U57" s="88">
        <v>2.11</v>
      </c>
      <c r="W57" s="133">
        <v>42598</v>
      </c>
      <c r="X57" s="10">
        <v>32.54</v>
      </c>
      <c r="Y57" s="10">
        <v>32.54</v>
      </c>
      <c r="Z57" s="10">
        <v>32.06</v>
      </c>
      <c r="AA57" s="10">
        <v>32.1</v>
      </c>
      <c r="AB57" s="95">
        <v>11198200</v>
      </c>
      <c r="AC57" s="10">
        <v>32.1</v>
      </c>
      <c r="AD57" s="2">
        <f t="shared" si="1"/>
        <v>0.47999999999999687</v>
      </c>
      <c r="AE57" s="138">
        <f t="shared" si="2"/>
        <v>-1.9248395967002563E-2</v>
      </c>
    </row>
    <row r="58" spans="2:31" x14ac:dyDescent="0.25">
      <c r="B58" s="193">
        <v>42579</v>
      </c>
      <c r="C58" s="10">
        <v>230</v>
      </c>
      <c r="D58" s="40">
        <v>34.006</v>
      </c>
      <c r="E58" s="40">
        <v>34.4</v>
      </c>
      <c r="F58" s="40">
        <f t="shared" ref="F58" si="34">C58*(E58-D58)</f>
        <v>90.619999999999621</v>
      </c>
      <c r="G58" s="40">
        <f t="shared" ref="G58" si="35">D58*C58</f>
        <v>7821.38</v>
      </c>
      <c r="H58" s="231">
        <f t="shared" ref="H58" si="36">(E58-D58)/D58</f>
        <v>1.1586190672234263E-2</v>
      </c>
      <c r="I58" s="40"/>
      <c r="O58" s="83">
        <v>0.93</v>
      </c>
      <c r="P58" s="83">
        <f t="shared" si="6"/>
        <v>29.964600000000001</v>
      </c>
      <c r="T58" s="93" t="s">
        <v>109</v>
      </c>
      <c r="U58" s="88" t="s">
        <v>451</v>
      </c>
      <c r="W58" s="133">
        <v>42597</v>
      </c>
      <c r="X58" s="10">
        <v>32.630000000000003</v>
      </c>
      <c r="Y58" s="10">
        <v>32.97</v>
      </c>
      <c r="Z58" s="10">
        <v>32.46</v>
      </c>
      <c r="AA58" s="10">
        <v>32.729999999999997</v>
      </c>
      <c r="AB58" s="95">
        <v>9027500</v>
      </c>
      <c r="AC58" s="10">
        <v>32.729999999999997</v>
      </c>
      <c r="AD58" s="2">
        <f t="shared" si="1"/>
        <v>0.50999999999999801</v>
      </c>
      <c r="AE58" s="138">
        <f t="shared" si="2"/>
        <v>4.604051565377576E-3</v>
      </c>
    </row>
    <row r="59" spans="2:31" x14ac:dyDescent="0.25">
      <c r="B59" s="193">
        <v>42580</v>
      </c>
      <c r="C59" s="10">
        <v>260</v>
      </c>
      <c r="D59" s="40">
        <v>33.991999999999997</v>
      </c>
      <c r="E59" s="40">
        <v>34.19</v>
      </c>
      <c r="F59" s="40">
        <f t="shared" ref="F59:F61" si="37">C59*(E59-D59)</f>
        <v>51.480000000000103</v>
      </c>
      <c r="G59" s="40">
        <f t="shared" ref="G59:G61" si="38">D59*C59</f>
        <v>8837.92</v>
      </c>
      <c r="H59" s="231">
        <f t="shared" ref="H59:H61" si="39">(E59-D59)/D59</f>
        <v>5.824899976465063E-3</v>
      </c>
      <c r="I59" s="40"/>
      <c r="O59" s="83">
        <v>0.92</v>
      </c>
      <c r="P59" s="83">
        <f t="shared" si="6"/>
        <v>29.642399999999999</v>
      </c>
      <c r="W59" s="133">
        <v>42594</v>
      </c>
      <c r="X59" s="10">
        <v>32.42</v>
      </c>
      <c r="Y59" s="10">
        <v>32.619999999999997</v>
      </c>
      <c r="Z59" s="10">
        <v>32.229999999999997</v>
      </c>
      <c r="AA59" s="10">
        <v>32.58</v>
      </c>
      <c r="AB59" s="95">
        <v>7395200</v>
      </c>
      <c r="AC59" s="10">
        <v>32.58</v>
      </c>
      <c r="AD59" s="2">
        <f t="shared" si="1"/>
        <v>0.39000000000000057</v>
      </c>
      <c r="AE59" s="138">
        <f t="shared" si="2"/>
        <v>8.6687306501549433E-3</v>
      </c>
    </row>
    <row r="60" spans="2:31" x14ac:dyDescent="0.25">
      <c r="B60" s="193">
        <v>42584</v>
      </c>
      <c r="C60" s="10">
        <v>300</v>
      </c>
      <c r="D60" s="40">
        <v>33.866</v>
      </c>
      <c r="E60" s="40">
        <v>32.61</v>
      </c>
      <c r="F60" s="40">
        <f t="shared" si="37"/>
        <v>-376.80000000000007</v>
      </c>
      <c r="G60" s="40">
        <f t="shared" si="38"/>
        <v>10159.799999999999</v>
      </c>
      <c r="H60" s="231">
        <f t="shared" si="39"/>
        <v>-3.7087344239059829E-2</v>
      </c>
      <c r="I60" s="40"/>
      <c r="O60" s="83">
        <v>0.91</v>
      </c>
      <c r="P60" s="83">
        <f t="shared" si="6"/>
        <v>29.3202</v>
      </c>
      <c r="W60" s="133">
        <v>42593</v>
      </c>
      <c r="X60" s="10">
        <v>32.549999999999997</v>
      </c>
      <c r="Y60" s="10">
        <v>32.85</v>
      </c>
      <c r="Z60" s="10">
        <v>32.020000000000003</v>
      </c>
      <c r="AA60" s="10">
        <v>32.299999999999997</v>
      </c>
      <c r="AB60" s="95">
        <v>9605600</v>
      </c>
      <c r="AC60" s="10">
        <v>32.299999999999997</v>
      </c>
      <c r="AD60" s="2">
        <f t="shared" si="1"/>
        <v>0.82999999999999829</v>
      </c>
      <c r="AE60" s="138" t="e">
        <f t="shared" si="2"/>
        <v>#DIV/0!</v>
      </c>
    </row>
    <row r="61" spans="2:31" x14ac:dyDescent="0.25">
      <c r="B61" s="193">
        <v>42586</v>
      </c>
      <c r="C61" s="10">
        <v>400</v>
      </c>
      <c r="D61" s="40">
        <v>33.520000000000003</v>
      </c>
      <c r="E61" s="40">
        <v>32.549999999999997</v>
      </c>
      <c r="F61" s="40">
        <f t="shared" si="37"/>
        <v>-388.00000000000239</v>
      </c>
      <c r="G61" s="40">
        <f t="shared" si="38"/>
        <v>13408.000000000002</v>
      </c>
      <c r="H61" s="231">
        <f t="shared" si="39"/>
        <v>-2.8937947494033587E-2</v>
      </c>
      <c r="I61" s="40"/>
      <c r="O61" s="83">
        <v>0.9</v>
      </c>
      <c r="P61" s="83">
        <f t="shared" si="6"/>
        <v>28.998000000000001</v>
      </c>
      <c r="W61" s="133">
        <v>42593</v>
      </c>
      <c r="X61" s="10" t="s">
        <v>299</v>
      </c>
      <c r="Y61" s="10"/>
      <c r="Z61" s="10"/>
      <c r="AA61" s="10"/>
      <c r="AB61" s="95"/>
      <c r="AC61" s="10"/>
      <c r="AD61" s="2">
        <f t="shared" si="1"/>
        <v>0</v>
      </c>
      <c r="AE61" s="138">
        <f t="shared" si="2"/>
        <v>-1</v>
      </c>
    </row>
    <row r="62" spans="2:31" x14ac:dyDescent="0.25">
      <c r="B62" s="193">
        <v>42587</v>
      </c>
      <c r="C62" s="10">
        <v>400</v>
      </c>
      <c r="D62" s="40">
        <v>33.387349999999998</v>
      </c>
      <c r="E62" s="40">
        <v>32.729999999999997</v>
      </c>
      <c r="F62" s="40">
        <f t="shared" ref="F62:F64" si="40">C62*(E62-D62)</f>
        <v>-262.9400000000004</v>
      </c>
      <c r="G62" s="40">
        <f t="shared" ref="G62" si="41">D62*C62</f>
        <v>13354.939999999999</v>
      </c>
      <c r="H62" s="231">
        <f t="shared" ref="H62:H64" si="42">(E62-D62)/D62</f>
        <v>-1.9688594632398231E-2</v>
      </c>
      <c r="I62" s="40"/>
      <c r="W62" s="133">
        <v>42592</v>
      </c>
      <c r="X62" s="10">
        <v>32.380000000000003</v>
      </c>
      <c r="Y62" s="10">
        <v>32.630000000000003</v>
      </c>
      <c r="Z62" s="10">
        <v>32.270000000000003</v>
      </c>
      <c r="AA62" s="10">
        <v>32.5</v>
      </c>
      <c r="AB62" s="95">
        <v>12735400</v>
      </c>
      <c r="AC62" s="10">
        <v>32.380000000000003</v>
      </c>
      <c r="AD62" s="2">
        <f t="shared" si="1"/>
        <v>0.35999999999999943</v>
      </c>
      <c r="AE62" s="138">
        <f t="shared" si="2"/>
        <v>6.52782095119675E-3</v>
      </c>
    </row>
    <row r="63" spans="2:31" x14ac:dyDescent="0.25">
      <c r="B63" s="193">
        <v>42598</v>
      </c>
      <c r="C63" s="10">
        <v>400</v>
      </c>
      <c r="D63" s="40">
        <v>33.387349999999998</v>
      </c>
      <c r="E63" s="40">
        <v>32.1</v>
      </c>
      <c r="F63" s="40">
        <f t="shared" si="40"/>
        <v>-514.93999999999858</v>
      </c>
      <c r="G63" s="40">
        <f t="shared" ref="G63:G68" si="43">D63*C63</f>
        <v>13354.939999999999</v>
      </c>
      <c r="H63" s="231">
        <f t="shared" si="42"/>
        <v>-3.8558016733882636E-2</v>
      </c>
      <c r="I63" s="40"/>
      <c r="W63" s="133">
        <v>42591</v>
      </c>
      <c r="X63" s="10">
        <v>32.380000000000003</v>
      </c>
      <c r="Y63" s="10">
        <v>32.86</v>
      </c>
      <c r="Z63" s="10">
        <v>32.26</v>
      </c>
      <c r="AA63" s="10">
        <v>32.29</v>
      </c>
      <c r="AB63" s="95">
        <v>11696400</v>
      </c>
      <c r="AC63" s="10">
        <v>32.17</v>
      </c>
      <c r="AD63" s="2">
        <f t="shared" si="1"/>
        <v>0.60000000000000142</v>
      </c>
      <c r="AE63" s="138">
        <f t="shared" si="2"/>
        <v>-6.2131096613837755E-4</v>
      </c>
    </row>
    <row r="64" spans="2:31" x14ac:dyDescent="0.25">
      <c r="B64" s="193">
        <v>42599</v>
      </c>
      <c r="C64" s="449">
        <v>500</v>
      </c>
      <c r="D64" s="528">
        <v>33.045879999999997</v>
      </c>
      <c r="E64" s="40">
        <v>31.88</v>
      </c>
      <c r="F64" s="40">
        <f t="shared" si="40"/>
        <v>-582.93999999999892</v>
      </c>
      <c r="G64" s="40">
        <f t="shared" si="43"/>
        <v>16522.939999999999</v>
      </c>
      <c r="H64" s="231">
        <f t="shared" si="42"/>
        <v>-3.5280646180401248E-2</v>
      </c>
      <c r="I64" s="40"/>
      <c r="W64" s="133">
        <v>42590</v>
      </c>
      <c r="X64" s="10">
        <v>32.619999999999997</v>
      </c>
      <c r="Y64" s="10">
        <v>32.71</v>
      </c>
      <c r="Z64" s="10">
        <v>32.270000000000003</v>
      </c>
      <c r="AA64" s="10">
        <v>32.31</v>
      </c>
      <c r="AB64" s="95">
        <v>11837900</v>
      </c>
      <c r="AC64" s="10">
        <v>32.19</v>
      </c>
      <c r="AD64" s="2">
        <f t="shared" si="1"/>
        <v>0.43999999999999773</v>
      </c>
      <c r="AE64" s="138">
        <f t="shared" si="2"/>
        <v>-9.5384615384616067E-3</v>
      </c>
    </row>
    <row r="65" spans="2:31" x14ac:dyDescent="0.25">
      <c r="B65" s="193">
        <v>42600</v>
      </c>
      <c r="C65" s="10">
        <v>500</v>
      </c>
      <c r="D65" s="40">
        <v>33.045879999999997</v>
      </c>
      <c r="E65" s="40">
        <v>32.46</v>
      </c>
      <c r="F65" s="40">
        <f t="shared" ref="F65" si="44">C65*(E65-D65)</f>
        <v>-292.93999999999801</v>
      </c>
      <c r="G65" s="40">
        <f t="shared" si="43"/>
        <v>16522.939999999999</v>
      </c>
      <c r="H65" s="231">
        <f t="shared" ref="H65" si="45">(E65-D65)/D65</f>
        <v>-1.7729290307899079E-2</v>
      </c>
      <c r="I65" s="40"/>
      <c r="W65" s="133">
        <v>42587</v>
      </c>
      <c r="X65" s="10">
        <v>32.65</v>
      </c>
      <c r="Y65" s="10">
        <v>32.909999999999997</v>
      </c>
      <c r="Z65" s="10">
        <v>32.42</v>
      </c>
      <c r="AA65" s="10">
        <v>32.619999999999997</v>
      </c>
      <c r="AB65" s="95">
        <v>10343200</v>
      </c>
      <c r="AC65" s="10">
        <v>32.5</v>
      </c>
      <c r="AD65" s="2">
        <f t="shared" si="1"/>
        <v>0.48999999999999488</v>
      </c>
      <c r="AE65" s="138">
        <f t="shared" si="2"/>
        <v>2.1584952204749541E-3</v>
      </c>
    </row>
    <row r="66" spans="2:31" x14ac:dyDescent="0.25">
      <c r="B66" s="193">
        <v>42601</v>
      </c>
      <c r="C66" s="10">
        <v>500</v>
      </c>
      <c r="D66" s="40">
        <v>33.045879999999997</v>
      </c>
      <c r="E66" s="40">
        <v>32.61</v>
      </c>
      <c r="F66" s="40">
        <f t="shared" ref="F66" si="46">C66*(E66-D66)</f>
        <v>-217.93999999999869</v>
      </c>
      <c r="G66" s="40">
        <f t="shared" si="43"/>
        <v>16522.939999999999</v>
      </c>
      <c r="H66" s="231">
        <f t="shared" ref="H66" si="47">(E66-D66)/D66</f>
        <v>-1.3190146547769266E-2</v>
      </c>
      <c r="I66" s="40"/>
      <c r="W66" s="133">
        <v>42586</v>
      </c>
      <c r="X66" s="10">
        <v>33.200000000000003</v>
      </c>
      <c r="Y66" s="10">
        <v>33.28</v>
      </c>
      <c r="Z66" s="10">
        <v>32.11</v>
      </c>
      <c r="AA66" s="10">
        <v>32.549999999999997</v>
      </c>
      <c r="AB66" s="95">
        <v>12247300</v>
      </c>
      <c r="AC66" s="10">
        <v>32.43</v>
      </c>
      <c r="AD66" s="2">
        <f t="shared" si="1"/>
        <v>1.1700000000000017</v>
      </c>
      <c r="AE66" s="138">
        <f t="shared" si="2"/>
        <v>-1.9649334945586405E-2</v>
      </c>
    </row>
    <row r="67" spans="2:31" x14ac:dyDescent="0.25">
      <c r="B67" s="193">
        <v>42604</v>
      </c>
      <c r="C67" s="10">
        <v>500</v>
      </c>
      <c r="D67" s="40">
        <v>33.045879999999997</v>
      </c>
      <c r="E67" s="40">
        <v>32.86</v>
      </c>
      <c r="F67" s="40">
        <f t="shared" ref="F67" si="48">C67*(E67-D67)</f>
        <v>-92.93999999999869</v>
      </c>
      <c r="G67" s="40">
        <f t="shared" si="43"/>
        <v>16522.939999999999</v>
      </c>
      <c r="H67" s="231">
        <f t="shared" ref="H67" si="49">(E67-D67)/D67</f>
        <v>-5.624906947552839E-3</v>
      </c>
      <c r="I67" s="40"/>
      <c r="W67" s="133">
        <v>42585</v>
      </c>
      <c r="X67" s="10">
        <v>32.69</v>
      </c>
      <c r="Y67" s="10">
        <v>33.53</v>
      </c>
      <c r="Z67" s="10">
        <v>32.64</v>
      </c>
      <c r="AA67" s="10">
        <v>33.200000000000003</v>
      </c>
      <c r="AB67" s="95">
        <v>10630600</v>
      </c>
      <c r="AC67" s="10">
        <v>33.08</v>
      </c>
      <c r="AD67" s="2">
        <f>Y67-Z67</f>
        <v>0.89000000000000057</v>
      </c>
      <c r="AE67" s="138" t="e">
        <f>AC67/#REF!-1</f>
        <v>#REF!</v>
      </c>
    </row>
    <row r="68" spans="2:31" x14ac:dyDescent="0.25">
      <c r="B68" s="193">
        <v>42605</v>
      </c>
      <c r="C68" s="10">
        <v>500</v>
      </c>
      <c r="D68" s="40">
        <v>33.045879999999997</v>
      </c>
      <c r="E68" s="40">
        <v>32.25</v>
      </c>
      <c r="F68" s="40">
        <f t="shared" ref="F68" si="50">C68*(E68-D68)</f>
        <v>-397.93999999999841</v>
      </c>
      <c r="G68" s="40">
        <f t="shared" si="43"/>
        <v>16522.939999999999</v>
      </c>
      <c r="H68" s="231">
        <f t="shared" ref="H68" si="51">(E68-D68)/D68</f>
        <v>-2.4084091572080902E-2</v>
      </c>
      <c r="I68" s="40"/>
      <c r="W68" s="133">
        <v>42584</v>
      </c>
      <c r="X68" s="10">
        <v>33.450000000000003</v>
      </c>
      <c r="Y68" s="10">
        <v>33.799999999999997</v>
      </c>
      <c r="Z68" s="10">
        <v>32.49</v>
      </c>
      <c r="AA68" s="10">
        <v>32.61</v>
      </c>
      <c r="AB68" s="95">
        <v>18255400</v>
      </c>
      <c r="AC68" s="10">
        <v>32.49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42606</v>
      </c>
      <c r="C69" s="10">
        <v>500</v>
      </c>
      <c r="D69" s="40">
        <v>33.045879999999997</v>
      </c>
      <c r="E69" s="40">
        <v>32.99</v>
      </c>
      <c r="F69" s="40">
        <f t="shared" ref="F69" si="52">C69*(E69-D69)</f>
        <v>-27.939999999997411</v>
      </c>
      <c r="G69" s="40">
        <f t="shared" ref="G69" si="53">D69*C69</f>
        <v>16522.939999999999</v>
      </c>
      <c r="H69" s="231">
        <f t="shared" ref="H69" si="54">(E69-D69)/D69</f>
        <v>-1.6909823554402191E-3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42607</v>
      </c>
      <c r="C70" s="10">
        <v>500</v>
      </c>
      <c r="D70" s="40">
        <v>33.045879999999997</v>
      </c>
      <c r="E70" s="40">
        <v>32.76</v>
      </c>
      <c r="F70" s="40">
        <f t="shared" ref="F70" si="55">C70*(E70-D70)</f>
        <v>-142.9399999999994</v>
      </c>
      <c r="G70" s="40">
        <f t="shared" ref="G70" si="56">D70*C70</f>
        <v>16522.939999999999</v>
      </c>
      <c r="H70" s="231">
        <f t="shared" ref="H70" si="57">(E70-D70)/D70</f>
        <v>-8.6510027876394533E-3</v>
      </c>
      <c r="I70" s="40"/>
    </row>
    <row r="71" spans="2:31" x14ac:dyDescent="0.25">
      <c r="B71" s="193">
        <v>42611</v>
      </c>
      <c r="C71" s="10">
        <v>500</v>
      </c>
      <c r="D71" s="40">
        <v>33.045879999999997</v>
      </c>
      <c r="E71" s="40">
        <v>32.33</v>
      </c>
      <c r="F71" s="40">
        <f t="shared" ref="F71" si="58">C71*(E71-D71)</f>
        <v>-357.93999999999926</v>
      </c>
      <c r="G71" s="40">
        <f t="shared" ref="G71" si="59">D71*C71</f>
        <v>16522.939999999999</v>
      </c>
      <c r="H71" s="231">
        <f t="shared" ref="H71" si="60">(E71-D71)/D71</f>
        <v>-2.1663214900011697E-2</v>
      </c>
      <c r="I71" s="40"/>
    </row>
    <row r="72" spans="2:31" x14ac:dyDescent="0.25">
      <c r="B72" s="193">
        <v>42612</v>
      </c>
      <c r="C72" s="10">
        <v>500</v>
      </c>
      <c r="D72" s="40">
        <v>33.045879999999997</v>
      </c>
      <c r="E72" s="40">
        <v>32.159999999999997</v>
      </c>
      <c r="F72" s="40">
        <f t="shared" ref="F72" si="61">C72*(E72-D72)</f>
        <v>-442.94000000000011</v>
      </c>
      <c r="G72" s="40">
        <f t="shared" ref="G72" si="62">D72*C72</f>
        <v>16522.939999999999</v>
      </c>
      <c r="H72" s="231">
        <f t="shared" ref="H72" si="63">(E72-D72)/D72</f>
        <v>-2.6807577828158919E-2</v>
      </c>
      <c r="I72" s="40"/>
    </row>
    <row r="73" spans="2:31" x14ac:dyDescent="0.25">
      <c r="B73" s="193">
        <v>42614</v>
      </c>
      <c r="C73" s="10">
        <v>500</v>
      </c>
      <c r="D73" s="40">
        <v>33.045879999999997</v>
      </c>
      <c r="E73" s="40">
        <v>31.96</v>
      </c>
      <c r="F73" s="40">
        <f t="shared" ref="F73" si="64">C73*(E73-D73)</f>
        <v>-542.93999999999801</v>
      </c>
      <c r="G73" s="40">
        <f t="shared" ref="G73" si="65">D73*C73</f>
        <v>16522.939999999999</v>
      </c>
      <c r="H73" s="231">
        <f t="shared" ref="H73" si="66">(E73-D73)/D73</f>
        <v>-3.2859769508331936E-2</v>
      </c>
      <c r="I73" s="40"/>
    </row>
    <row r="74" spans="2:31" x14ac:dyDescent="0.25">
      <c r="B74" s="193">
        <v>42615</v>
      </c>
      <c r="C74" s="449">
        <v>500</v>
      </c>
      <c r="D74" s="528">
        <v>32.94988</v>
      </c>
      <c r="E74" s="40">
        <v>32.5</v>
      </c>
      <c r="F74" s="40">
        <f t="shared" ref="F74" si="67">C74*(E74-D74)</f>
        <v>-224.94000000000014</v>
      </c>
      <c r="G74" s="40">
        <f t="shared" ref="G74" si="68">D74*C74</f>
        <v>16474.939999999999</v>
      </c>
      <c r="H74" s="231">
        <f t="shared" ref="H74" si="69">(E74-D74)/D74</f>
        <v>-1.3653463988336233E-2</v>
      </c>
      <c r="I74" s="40" t="s">
        <v>192</v>
      </c>
    </row>
    <row r="75" spans="2:31" x14ac:dyDescent="0.25">
      <c r="B75" s="193">
        <v>42619</v>
      </c>
      <c r="C75" s="10">
        <v>500</v>
      </c>
      <c r="D75" s="40">
        <v>32.94988</v>
      </c>
      <c r="E75" s="40">
        <v>32.67</v>
      </c>
      <c r="F75" s="40">
        <f t="shared" ref="F75:F76" si="70">C75*(E75-D75)</f>
        <v>-139.93999999999929</v>
      </c>
      <c r="G75" s="40">
        <f t="shared" ref="G75:G76" si="71">D75*C75</f>
        <v>16474.939999999999</v>
      </c>
      <c r="H75" s="231">
        <f t="shared" ref="H75:H76" si="72">(E75-D75)/D75</f>
        <v>-8.4941128768905548E-3</v>
      </c>
      <c r="I75" s="40"/>
    </row>
    <row r="76" spans="2:31" x14ac:dyDescent="0.25">
      <c r="B76" s="193">
        <v>42620</v>
      </c>
      <c r="C76" s="10">
        <v>600</v>
      </c>
      <c r="D76" s="40">
        <v>32.733229999999999</v>
      </c>
      <c r="E76" s="40">
        <v>31.32</v>
      </c>
      <c r="F76" s="40">
        <f t="shared" si="70"/>
        <v>-847.93799999999919</v>
      </c>
      <c r="G76" s="40">
        <f t="shared" si="71"/>
        <v>19639.937999999998</v>
      </c>
      <c r="H76" s="231">
        <f t="shared" si="72"/>
        <v>-4.3174168879759153E-2</v>
      </c>
      <c r="I76" s="40"/>
    </row>
    <row r="77" spans="2:31" x14ac:dyDescent="0.25">
      <c r="B77" s="193">
        <v>42620</v>
      </c>
      <c r="C77" s="10">
        <v>700</v>
      </c>
      <c r="D77" s="40">
        <v>32.511339999999997</v>
      </c>
      <c r="E77" s="40">
        <v>31.32</v>
      </c>
      <c r="F77" s="40">
        <f t="shared" ref="F77" si="73">C77*(E77-D77)</f>
        <v>-833.93799999999771</v>
      </c>
      <c r="G77" s="40">
        <f t="shared" ref="G77" si="74">D77*C77</f>
        <v>22757.937999999998</v>
      </c>
      <c r="H77" s="231">
        <f t="shared" ref="H77" si="75">(E77-D77)/D77</f>
        <v>-3.6643829506873504E-2</v>
      </c>
      <c r="I77" s="40"/>
    </row>
    <row r="78" spans="2:31" x14ac:dyDescent="0.25">
      <c r="B78" s="193">
        <v>42621</v>
      </c>
      <c r="C78" s="10">
        <v>700</v>
      </c>
      <c r="D78" s="40">
        <v>32.511339999999997</v>
      </c>
      <c r="E78" s="40">
        <v>31.31</v>
      </c>
      <c r="F78" s="40">
        <f t="shared" ref="F78" si="76">C78*(E78-D78)</f>
        <v>-840.93799999999885</v>
      </c>
      <c r="G78" s="40">
        <f t="shared" ref="G78" si="77">D78*C78</f>
        <v>22757.937999999998</v>
      </c>
      <c r="H78" s="231">
        <f t="shared" ref="H78" si="78">(E78-D78)/D78</f>
        <v>-3.6951414491066759E-2</v>
      </c>
      <c r="I78" s="40"/>
    </row>
    <row r="79" spans="2:31" x14ac:dyDescent="0.25">
      <c r="B79" s="193">
        <v>42622</v>
      </c>
      <c r="C79" s="10">
        <v>700</v>
      </c>
      <c r="D79" s="40">
        <v>32.511339999999997</v>
      </c>
      <c r="E79" s="40">
        <v>31.51</v>
      </c>
      <c r="F79" s="40">
        <f t="shared" ref="F79:F80" si="79">C79*(E79-D79)</f>
        <v>-700.9379999999968</v>
      </c>
      <c r="G79" s="40">
        <f t="shared" ref="G79:G80" si="80">D79*C79</f>
        <v>22757.937999999998</v>
      </c>
      <c r="H79" s="231">
        <f t="shared" ref="H79:H80" si="81">(E79-D79)/D79</f>
        <v>-3.0799714807202519E-2</v>
      </c>
      <c r="I79" s="40"/>
    </row>
    <row r="80" spans="2:31" x14ac:dyDescent="0.25">
      <c r="B80" s="193">
        <v>42625</v>
      </c>
      <c r="C80" s="10">
        <v>800</v>
      </c>
      <c r="D80" s="40">
        <v>32.297429999999999</v>
      </c>
      <c r="E80" s="40">
        <v>30.89</v>
      </c>
      <c r="F80" s="40">
        <f t="shared" si="79"/>
        <v>-1125.9439999999984</v>
      </c>
      <c r="G80" s="40">
        <f t="shared" si="80"/>
        <v>25837.944</v>
      </c>
      <c r="H80" s="231">
        <f t="shared" si="81"/>
        <v>-4.3577151494716394E-2</v>
      </c>
      <c r="I80" s="40"/>
    </row>
    <row r="81" spans="2:9" x14ac:dyDescent="0.25">
      <c r="B81" s="193">
        <v>42632</v>
      </c>
      <c r="C81" s="10">
        <v>800</v>
      </c>
      <c r="D81" s="40">
        <v>32.297429999999999</v>
      </c>
      <c r="E81" s="40">
        <v>30.79</v>
      </c>
      <c r="F81" s="40">
        <f t="shared" ref="F81" si="82">C81*(E81-D81)</f>
        <v>-1205.9439999999995</v>
      </c>
      <c r="G81" s="40">
        <f t="shared" ref="G81" si="83">D81*C81</f>
        <v>25837.944</v>
      </c>
      <c r="H81" s="231">
        <f t="shared" ref="H81" si="84">(E81-D81)/D81</f>
        <v>-4.6673373082626063E-2</v>
      </c>
      <c r="I81" s="40"/>
    </row>
    <row r="82" spans="2:9" x14ac:dyDescent="0.25">
      <c r="B82" s="193">
        <v>42633</v>
      </c>
      <c r="C82" s="10">
        <v>800</v>
      </c>
      <c r="D82" s="40">
        <v>32.297429999999999</v>
      </c>
      <c r="E82" s="40">
        <v>31.09</v>
      </c>
      <c r="F82" s="40">
        <f t="shared" ref="F82" si="85">C82*(E82-D82)</f>
        <v>-965.94399999999894</v>
      </c>
      <c r="G82" s="40">
        <f t="shared" ref="G82" si="86">D82*C82</f>
        <v>25837.944</v>
      </c>
      <c r="H82" s="231">
        <f t="shared" ref="H82" si="87">(E82-D82)/D82</f>
        <v>-3.7384708318897161E-2</v>
      </c>
      <c r="I82" s="40"/>
    </row>
    <row r="83" spans="2:9" x14ac:dyDescent="0.25">
      <c r="B83" s="193">
        <v>42605</v>
      </c>
      <c r="C83" s="10">
        <v>800</v>
      </c>
      <c r="D83" s="40">
        <v>32.297429999999999</v>
      </c>
      <c r="E83" s="40">
        <v>30.45</v>
      </c>
      <c r="F83" s="40">
        <f t="shared" ref="F83:F84" si="88">C83*(E83-D83)</f>
        <v>-1477.9439999999995</v>
      </c>
      <c r="G83" s="40">
        <f t="shared" ref="G83:G84" si="89">D83*C83</f>
        <v>25837.944</v>
      </c>
      <c r="H83" s="231">
        <f t="shared" ref="H83:H84" si="90">(E83-D83)/D83</f>
        <v>-5.7200526481518785E-2</v>
      </c>
      <c r="I83" s="40"/>
    </row>
    <row r="84" spans="2:9" x14ac:dyDescent="0.25">
      <c r="B84" s="193">
        <v>42639</v>
      </c>
      <c r="C84" s="10">
        <v>900</v>
      </c>
      <c r="D84" s="40">
        <v>32.05104</v>
      </c>
      <c r="E84" s="40">
        <v>30.08</v>
      </c>
      <c r="F84" s="40">
        <f t="shared" si="88"/>
        <v>-1773.936000000002</v>
      </c>
      <c r="G84" s="40">
        <f t="shared" si="89"/>
        <v>28845.936000000002</v>
      </c>
      <c r="H84" s="231">
        <f t="shared" si="90"/>
        <v>-6.14969124246827E-2</v>
      </c>
      <c r="I84" s="40"/>
    </row>
    <row r="85" spans="2:9" x14ac:dyDescent="0.25">
      <c r="B85" s="193">
        <v>42640</v>
      </c>
      <c r="C85" s="10">
        <v>900</v>
      </c>
      <c r="D85" s="40">
        <v>32.05104</v>
      </c>
      <c r="E85" s="40">
        <v>29.9</v>
      </c>
      <c r="F85" s="40">
        <f t="shared" ref="F85" si="91">C85*(E85-D85)</f>
        <v>-1935.9360000000017</v>
      </c>
      <c r="G85" s="40">
        <f t="shared" ref="G85" si="92">D85*C85</f>
        <v>28845.936000000002</v>
      </c>
      <c r="H85" s="231">
        <f t="shared" ref="H85" si="93">(E85-D85)/D85</f>
        <v>-6.7112954837034985E-2</v>
      </c>
      <c r="I85" s="40"/>
    </row>
    <row r="86" spans="2:9" x14ac:dyDescent="0.25">
      <c r="B86" s="193">
        <v>42641</v>
      </c>
      <c r="C86" s="10">
        <v>900</v>
      </c>
      <c r="D86" s="40">
        <v>32.05104</v>
      </c>
      <c r="E86" s="40">
        <v>29.84</v>
      </c>
      <c r="F86" s="40">
        <f t="shared" ref="F86" si="94">C86*(E86-D86)</f>
        <v>-1989.9360000000006</v>
      </c>
      <c r="G86" s="40">
        <f t="shared" ref="G86" si="95">D86*C86</f>
        <v>28845.936000000002</v>
      </c>
      <c r="H86" s="231">
        <f t="shared" ref="H86" si="96">(E86-D86)/D86</f>
        <v>-6.8984968974485708E-2</v>
      </c>
      <c r="I86" s="40"/>
    </row>
    <row r="87" spans="2:9" x14ac:dyDescent="0.25">
      <c r="B87" s="193">
        <v>42643</v>
      </c>
      <c r="C87" s="10">
        <v>900</v>
      </c>
      <c r="D87" s="40">
        <v>32.05104</v>
      </c>
      <c r="E87" s="40">
        <v>29.68</v>
      </c>
      <c r="F87" s="40">
        <f t="shared" ref="F87:F88" si="97">C87*(E87-D87)</f>
        <v>-2133.9360000000006</v>
      </c>
      <c r="G87" s="40">
        <f t="shared" ref="G87:G88" si="98">D87*C87</f>
        <v>28845.936000000002</v>
      </c>
      <c r="H87" s="231">
        <f t="shared" ref="H87:H88" si="99">(E87-D87)/D87</f>
        <v>-7.3977006674354431E-2</v>
      </c>
      <c r="I87" s="40"/>
    </row>
    <row r="88" spans="2:9" x14ac:dyDescent="0.25">
      <c r="B88" s="193">
        <v>42646</v>
      </c>
      <c r="C88" s="10">
        <v>1000</v>
      </c>
      <c r="D88" s="40">
        <v>31.78594</v>
      </c>
      <c r="E88" s="40">
        <v>29.28</v>
      </c>
      <c r="F88" s="40">
        <f t="shared" si="97"/>
        <v>-2505.9399999999991</v>
      </c>
      <c r="G88" s="40">
        <f t="shared" si="98"/>
        <v>31785.94</v>
      </c>
      <c r="H88" s="231">
        <f t="shared" si="99"/>
        <v>-7.8838001959356835E-2</v>
      </c>
      <c r="I88" s="40"/>
    </row>
    <row r="89" spans="2:9" x14ac:dyDescent="0.25">
      <c r="B89" s="193">
        <v>42648</v>
      </c>
      <c r="C89" s="10">
        <v>1000</v>
      </c>
      <c r="D89" s="40">
        <v>31.78594</v>
      </c>
      <c r="E89" s="40">
        <v>28.84</v>
      </c>
      <c r="F89" s="40">
        <f t="shared" ref="F89" si="100">C89*(E89-D89)</f>
        <v>-2945.94</v>
      </c>
      <c r="G89" s="40">
        <f t="shared" ref="G89" si="101">D89*C89</f>
        <v>31785.94</v>
      </c>
      <c r="H89" s="231">
        <f t="shared" ref="H89" si="102">(E89-D89)/D89</f>
        <v>-9.2680600290568724E-2</v>
      </c>
      <c r="I89" s="40"/>
    </row>
    <row r="90" spans="2:9" x14ac:dyDescent="0.25">
      <c r="B90" s="193">
        <v>42649</v>
      </c>
      <c r="C90" s="10">
        <v>1000</v>
      </c>
      <c r="D90" s="40">
        <v>31.78594</v>
      </c>
      <c r="E90" s="40">
        <v>29.37</v>
      </c>
      <c r="F90" s="40">
        <f t="shared" ref="F90" si="103">C90*(E90-D90)</f>
        <v>-2415.9399999999991</v>
      </c>
      <c r="G90" s="40">
        <f t="shared" ref="G90" si="104">D90*C90</f>
        <v>31785.94</v>
      </c>
      <c r="H90" s="231">
        <f t="shared" ref="H90" si="105">(E90-D90)/D90</f>
        <v>-7.6006561391608968E-2</v>
      </c>
      <c r="I90" s="40"/>
    </row>
    <row r="91" spans="2:9" x14ac:dyDescent="0.25">
      <c r="B91" s="193">
        <v>42650</v>
      </c>
      <c r="C91" s="10">
        <v>1000</v>
      </c>
      <c r="D91" s="40">
        <v>31.78594</v>
      </c>
      <c r="E91" s="40">
        <v>29</v>
      </c>
      <c r="F91" s="40">
        <f t="shared" ref="F91" si="106">C91*(E91-D91)</f>
        <v>-2785.94</v>
      </c>
      <c r="G91" s="40">
        <f t="shared" ref="G91" si="107">D91*C91</f>
        <v>31785.94</v>
      </c>
      <c r="H91" s="231">
        <f t="shared" ref="H91" si="108">(E91-D91)/D91</f>
        <v>-8.7646928170128049E-2</v>
      </c>
      <c r="I91" s="40"/>
    </row>
    <row r="92" spans="2:9" x14ac:dyDescent="0.25">
      <c r="B92" s="193">
        <v>42661</v>
      </c>
      <c r="C92" s="10">
        <v>1000</v>
      </c>
      <c r="D92" s="40">
        <v>31.78594</v>
      </c>
      <c r="E92" s="40">
        <v>30.64</v>
      </c>
      <c r="F92" s="40">
        <f t="shared" ref="F92:F95" si="109">C92*(E92-D92)</f>
        <v>-1145.9399999999996</v>
      </c>
      <c r="G92" s="40">
        <f t="shared" ref="G92:G95" si="110">D92*C92</f>
        <v>31785.94</v>
      </c>
      <c r="H92" s="231">
        <f t="shared" ref="H92:H95" si="111">(E92-D92)/D92</f>
        <v>-3.6051788935611138E-2</v>
      </c>
      <c r="I92" s="40"/>
    </row>
    <row r="93" spans="2:9" x14ac:dyDescent="0.25">
      <c r="B93" s="193">
        <v>42671</v>
      </c>
      <c r="C93" s="10">
        <v>900</v>
      </c>
      <c r="D93" s="40">
        <v>31.837789999999998</v>
      </c>
      <c r="E93" s="40">
        <v>31.26</v>
      </c>
      <c r="F93" s="40">
        <f t="shared" si="109"/>
        <v>-520.01099999999701</v>
      </c>
      <c r="G93" s="40">
        <f t="shared" si="110"/>
        <v>28654.010999999999</v>
      </c>
      <c r="H93" s="231">
        <f t="shared" si="111"/>
        <v>-1.8147930493919232E-2</v>
      </c>
      <c r="I93" s="40"/>
    </row>
    <row r="94" spans="2:9" x14ac:dyDescent="0.25">
      <c r="B94" s="193">
        <v>42674</v>
      </c>
      <c r="C94" s="10">
        <v>1000</v>
      </c>
      <c r="D94" s="40">
        <v>31.763999999999999</v>
      </c>
      <c r="E94" s="40">
        <v>30.98</v>
      </c>
      <c r="F94" s="40">
        <f t="shared" si="109"/>
        <v>-783.99999999999886</v>
      </c>
      <c r="G94" s="40">
        <f t="shared" si="110"/>
        <v>31764</v>
      </c>
      <c r="H94" s="231">
        <f t="shared" si="111"/>
        <v>-2.468202997103636E-2</v>
      </c>
      <c r="I94" s="40"/>
    </row>
    <row r="95" spans="2:9" x14ac:dyDescent="0.25">
      <c r="B95" s="193">
        <v>42676</v>
      </c>
      <c r="C95" s="449">
        <v>500</v>
      </c>
      <c r="D95" s="528">
        <v>31.518719999999998</v>
      </c>
      <c r="E95" s="40">
        <v>32.22</v>
      </c>
      <c r="F95" s="40">
        <f t="shared" si="109"/>
        <v>350.64000000000027</v>
      </c>
      <c r="G95" s="40">
        <f t="shared" si="110"/>
        <v>15759.359999999999</v>
      </c>
      <c r="H95" s="231">
        <f t="shared" si="111"/>
        <v>2.2249634502923995E-2</v>
      </c>
      <c r="I95" s="40"/>
    </row>
    <row r="96" spans="2:9" x14ac:dyDescent="0.25">
      <c r="B96" s="193"/>
      <c r="C96" s="10"/>
      <c r="D96" s="40"/>
      <c r="E96" s="40"/>
      <c r="F96" s="40"/>
      <c r="G96" s="40"/>
      <c r="H96" s="231"/>
      <c r="I96" s="40"/>
    </row>
    <row r="97" spans="2:9" x14ac:dyDescent="0.25">
      <c r="B97" s="193"/>
      <c r="C97" s="10"/>
      <c r="D97" s="40"/>
      <c r="E97" s="40"/>
      <c r="F97" s="40"/>
      <c r="G97" s="40"/>
      <c r="H97" s="231"/>
      <c r="I97" s="40"/>
    </row>
    <row r="98" spans="2:9" x14ac:dyDescent="0.25">
      <c r="B98" s="193"/>
      <c r="C98" s="10"/>
      <c r="D98" s="40"/>
      <c r="E98" s="40"/>
      <c r="F98" s="40"/>
      <c r="G98" s="40"/>
      <c r="H98" s="231"/>
      <c r="I98" s="40"/>
    </row>
    <row r="99" spans="2:9" x14ac:dyDescent="0.25">
      <c r="B99" s="193"/>
      <c r="C99" s="10"/>
      <c r="D99" s="40"/>
      <c r="E99" s="40"/>
      <c r="F99" s="40"/>
      <c r="G99" s="40"/>
      <c r="H99" s="231"/>
      <c r="I99" s="40"/>
    </row>
    <row r="100" spans="2:9" x14ac:dyDescent="0.25">
      <c r="B100" s="193"/>
      <c r="C100" s="10"/>
      <c r="D100" s="40"/>
      <c r="E100" s="40"/>
      <c r="F100" s="40"/>
      <c r="G100" s="40"/>
      <c r="H100" s="231"/>
      <c r="I100" s="40"/>
    </row>
    <row r="101" spans="2:9" x14ac:dyDescent="0.25">
      <c r="B101" s="193"/>
      <c r="C101" s="10"/>
      <c r="D101" s="40"/>
      <c r="E101" s="40"/>
      <c r="F101" s="40"/>
      <c r="G101" s="40"/>
      <c r="H101" s="231"/>
      <c r="I101" s="40"/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9:F43">
    <cfRule type="expression" dxfId="629" priority="31">
      <formula>F39&gt;0</formula>
    </cfRule>
    <cfRule type="expression" dxfId="628" priority="32">
      <formula>F39&lt;0</formula>
    </cfRule>
  </conditionalFormatting>
  <conditionalFormatting sqref="F44:F57 F60:F101">
    <cfRule type="expression" dxfId="627" priority="27">
      <formula>F44&gt;0</formula>
    </cfRule>
    <cfRule type="expression" dxfId="626" priority="28">
      <formula>F44&lt;0</formula>
    </cfRule>
  </conditionalFormatting>
  <conditionalFormatting sqref="F44:F57 F60:F101">
    <cfRule type="expression" dxfId="625" priority="29">
      <formula>F44&gt;0</formula>
    </cfRule>
    <cfRule type="expression" dxfId="624" priority="30">
      <formula>F44&lt;0</formula>
    </cfRule>
  </conditionalFormatting>
  <conditionalFormatting sqref="H39:H57 H60:H101">
    <cfRule type="expression" dxfId="623" priority="25">
      <formula>H39&gt;0</formula>
    </cfRule>
    <cfRule type="expression" dxfId="622" priority="26">
      <formula>H39&lt;0</formula>
    </cfRule>
  </conditionalFormatting>
  <conditionalFormatting sqref="F35:F38">
    <cfRule type="expression" dxfId="621" priority="19">
      <formula>F35&gt;0</formula>
    </cfRule>
    <cfRule type="expression" dxfId="620" priority="20">
      <formula>F35&lt;0</formula>
    </cfRule>
  </conditionalFormatting>
  <conditionalFormatting sqref="H35:H38">
    <cfRule type="expression" dxfId="619" priority="17">
      <formula>H35&gt;0</formula>
    </cfRule>
    <cfRule type="expression" dxfId="618" priority="18">
      <formula>H35&lt;0</formula>
    </cfRule>
  </conditionalFormatting>
  <conditionalFormatting sqref="Q8">
    <cfRule type="expression" dxfId="617" priority="13">
      <formula>Q8&gt;0</formula>
    </cfRule>
    <cfRule type="expression" dxfId="616" priority="14">
      <formula>Q8&lt;0</formula>
    </cfRule>
  </conditionalFormatting>
  <conditionalFormatting sqref="Q7">
    <cfRule type="expression" dxfId="615" priority="15">
      <formula>Q7&gt;0</formula>
    </cfRule>
    <cfRule type="expression" dxfId="614" priority="16">
      <formula>Q7&lt;0</formula>
    </cfRule>
  </conditionalFormatting>
  <conditionalFormatting sqref="F58">
    <cfRule type="expression" dxfId="613" priority="9">
      <formula>F58&gt;0</formula>
    </cfRule>
    <cfRule type="expression" dxfId="612" priority="10">
      <formula>F58&lt;0</formula>
    </cfRule>
  </conditionalFormatting>
  <conditionalFormatting sqref="F58">
    <cfRule type="expression" dxfId="611" priority="11">
      <formula>F58&gt;0</formula>
    </cfRule>
    <cfRule type="expression" dxfId="610" priority="12">
      <formula>F58&lt;0</formula>
    </cfRule>
  </conditionalFormatting>
  <conditionalFormatting sqref="H58">
    <cfRule type="expression" dxfId="609" priority="7">
      <formula>H58&gt;0</formula>
    </cfRule>
    <cfRule type="expression" dxfId="608" priority="8">
      <formula>H58&lt;0</formula>
    </cfRule>
  </conditionalFormatting>
  <conditionalFormatting sqref="F59">
    <cfRule type="expression" dxfId="607" priority="3">
      <formula>F59&gt;0</formula>
    </cfRule>
    <cfRule type="expression" dxfId="606" priority="4">
      <formula>F59&lt;0</formula>
    </cfRule>
  </conditionalFormatting>
  <conditionalFormatting sqref="F59">
    <cfRule type="expression" dxfId="605" priority="5">
      <formula>F59&gt;0</formula>
    </cfRule>
    <cfRule type="expression" dxfId="604" priority="6">
      <formula>F59&lt;0</formula>
    </cfRule>
  </conditionalFormatting>
  <conditionalFormatting sqref="H59">
    <cfRule type="expression" dxfId="603" priority="1">
      <formula>H59&gt;0</formula>
    </cfRule>
    <cfRule type="expression" dxfId="602" priority="2">
      <formula>H59&lt;0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205</v>
      </c>
      <c r="B2" s="473">
        <v>42488</v>
      </c>
      <c r="C2" s="7">
        <v>100</v>
      </c>
      <c r="D2" s="44">
        <v>13.8</v>
      </c>
      <c r="E2" s="44">
        <v>0</v>
      </c>
      <c r="F2" s="44">
        <f t="shared" ref="F2:F8" si="0">D2*C2+E2</f>
        <v>1380</v>
      </c>
      <c r="G2" s="473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42614</v>
      </c>
      <c r="M2" s="44">
        <v>45</v>
      </c>
      <c r="O2" s="11" t="s">
        <v>57</v>
      </c>
      <c r="Q2">
        <f>C18-H18</f>
        <v>450</v>
      </c>
      <c r="T2" s="1">
        <v>42627</v>
      </c>
      <c r="U2" t="s">
        <v>320</v>
      </c>
      <c r="W2" s="133">
        <v>42676</v>
      </c>
      <c r="X2" s="10">
        <v>11.51</v>
      </c>
      <c r="Y2" s="10">
        <v>11.56</v>
      </c>
      <c r="Z2" s="10">
        <v>11.36</v>
      </c>
      <c r="AA2" s="10">
        <v>11.4</v>
      </c>
      <c r="AB2" s="95">
        <v>36139400</v>
      </c>
      <c r="AC2" s="10">
        <v>11.4</v>
      </c>
      <c r="AD2" s="2">
        <f>Y2-Z2</f>
        <v>0.20000000000000107</v>
      </c>
      <c r="AE2" s="138">
        <f>AC2/AC3-1</f>
        <v>-1.8087855297157507E-2</v>
      </c>
    </row>
    <row r="3" spans="1:31" x14ac:dyDescent="0.25">
      <c r="A3" s="23" t="s">
        <v>71</v>
      </c>
      <c r="B3" s="473">
        <v>42507</v>
      </c>
      <c r="C3" s="7">
        <v>100</v>
      </c>
      <c r="D3" s="44">
        <v>13.08</v>
      </c>
      <c r="E3" s="44">
        <v>0</v>
      </c>
      <c r="F3" s="44">
        <f t="shared" si="0"/>
        <v>1308</v>
      </c>
      <c r="G3" s="473">
        <v>42559</v>
      </c>
      <c r="H3" s="82">
        <v>100</v>
      </c>
      <c r="I3" s="44">
        <v>13.08</v>
      </c>
      <c r="J3" s="44">
        <v>0.03</v>
      </c>
      <c r="K3" s="44">
        <f>I3*H3-J3</f>
        <v>1307.97</v>
      </c>
      <c r="O3" s="11" t="s">
        <v>58</v>
      </c>
      <c r="Q3" s="230">
        <f>IF(Q2=0, Q4, (F18-K18-M18)/Q2)</f>
        <v>11.793577777777777</v>
      </c>
      <c r="T3" s="1"/>
      <c r="W3" s="133">
        <v>42675</v>
      </c>
      <c r="X3" s="10">
        <v>11.78</v>
      </c>
      <c r="Y3" s="10">
        <v>11.84</v>
      </c>
      <c r="Z3" s="10">
        <v>11.5</v>
      </c>
      <c r="AA3" s="10">
        <v>11.61</v>
      </c>
      <c r="AB3" s="95">
        <v>35585600</v>
      </c>
      <c r="AC3" s="10">
        <v>11.61</v>
      </c>
      <c r="AD3" s="2">
        <f t="shared" ref="AD3:AD66" si="1">Y3-Z3</f>
        <v>0.33999999999999986</v>
      </c>
      <c r="AE3" s="138">
        <f t="shared" ref="AE3:AE66" si="2">AC3/AC4-1</f>
        <v>-1.1073253833049468E-2</v>
      </c>
    </row>
    <row r="4" spans="1:31" x14ac:dyDescent="0.25">
      <c r="B4" s="473">
        <v>42545</v>
      </c>
      <c r="C4" s="7">
        <v>50</v>
      </c>
      <c r="D4" s="44">
        <v>12.75</v>
      </c>
      <c r="E4" s="44">
        <v>0</v>
      </c>
      <c r="F4" s="44">
        <f t="shared" si="0"/>
        <v>637.5</v>
      </c>
      <c r="G4" s="473">
        <v>42577</v>
      </c>
      <c r="H4" s="82">
        <v>50</v>
      </c>
      <c r="I4" s="44">
        <v>13.78</v>
      </c>
      <c r="J4" s="44">
        <v>0.02</v>
      </c>
      <c r="K4" s="44">
        <f>I4*H4-J4</f>
        <v>688.98</v>
      </c>
      <c r="O4" s="11" t="s">
        <v>66</v>
      </c>
      <c r="Q4" s="55">
        <v>11.4</v>
      </c>
      <c r="R4" s="527">
        <v>-1.8100000000000002E-2</v>
      </c>
      <c r="T4" s="163"/>
      <c r="W4" s="133">
        <v>42674</v>
      </c>
      <c r="X4" s="10">
        <v>11.75</v>
      </c>
      <c r="Y4" s="10">
        <v>11.81</v>
      </c>
      <c r="Z4" s="10">
        <v>11.69</v>
      </c>
      <c r="AA4" s="10">
        <v>11.74</v>
      </c>
      <c r="AB4" s="95">
        <v>31898400</v>
      </c>
      <c r="AC4" s="10">
        <v>11.74</v>
      </c>
      <c r="AD4" s="2">
        <f t="shared" si="1"/>
        <v>0.12000000000000099</v>
      </c>
      <c r="AE4" s="138">
        <f t="shared" si="2"/>
        <v>1.7064846416381396E-3</v>
      </c>
    </row>
    <row r="5" spans="1:31" x14ac:dyDescent="0.25">
      <c r="B5" s="473">
        <v>42545</v>
      </c>
      <c r="C5" s="7">
        <v>100</v>
      </c>
      <c r="D5" s="44">
        <v>12.75</v>
      </c>
      <c r="E5" s="44">
        <v>0</v>
      </c>
      <c r="F5" s="44">
        <f t="shared" si="0"/>
        <v>1275</v>
      </c>
      <c r="G5" s="473">
        <v>42620</v>
      </c>
      <c r="H5" s="82">
        <v>100</v>
      </c>
      <c r="I5" s="44">
        <v>12.7</v>
      </c>
      <c r="J5" s="44">
        <v>0.53</v>
      </c>
      <c r="K5" s="44">
        <f>I5*H5-J5</f>
        <v>1269.47</v>
      </c>
      <c r="O5" s="11" t="s">
        <v>67</v>
      </c>
      <c r="Q5" s="3">
        <f>Q4*Q2</f>
        <v>5130</v>
      </c>
      <c r="W5" s="133">
        <v>42671</v>
      </c>
      <c r="X5" s="10">
        <v>11.74</v>
      </c>
      <c r="Y5" s="10">
        <v>11.85</v>
      </c>
      <c r="Z5" s="10">
        <v>11.63</v>
      </c>
      <c r="AA5" s="10">
        <v>11.72</v>
      </c>
      <c r="AB5" s="95">
        <v>37142400</v>
      </c>
      <c r="AC5" s="10">
        <v>11.72</v>
      </c>
      <c r="AD5" s="2">
        <f t="shared" si="1"/>
        <v>0.21999999999999886</v>
      </c>
      <c r="AE5" s="138">
        <f t="shared" si="2"/>
        <v>-1.7035775127768327E-3</v>
      </c>
    </row>
    <row r="6" spans="1:31" x14ac:dyDescent="0.25">
      <c r="B6" s="74">
        <v>42548</v>
      </c>
      <c r="C6" s="4">
        <v>150</v>
      </c>
      <c r="D6" s="3">
        <v>12.18</v>
      </c>
      <c r="E6" s="3">
        <v>0</v>
      </c>
      <c r="F6" s="3">
        <f t="shared" si="0"/>
        <v>1827</v>
      </c>
      <c r="G6" s="4"/>
      <c r="H6" s="185"/>
      <c r="I6" s="3"/>
      <c r="J6" s="3"/>
      <c r="K6" s="3"/>
      <c r="O6" s="11" t="s">
        <v>64</v>
      </c>
      <c r="Q6" s="2">
        <f>Q3*Q2</f>
        <v>5307.11</v>
      </c>
      <c r="W6" s="133">
        <v>42670</v>
      </c>
      <c r="X6" s="10">
        <v>11.81</v>
      </c>
      <c r="Y6" s="10">
        <v>11.83</v>
      </c>
      <c r="Z6" s="10">
        <v>11.6</v>
      </c>
      <c r="AA6" s="10">
        <v>11.74</v>
      </c>
      <c r="AB6" s="95">
        <v>48402000</v>
      </c>
      <c r="AC6" s="10">
        <v>11.74</v>
      </c>
      <c r="AD6" s="2">
        <f t="shared" si="1"/>
        <v>0.23000000000000043</v>
      </c>
      <c r="AE6" s="138">
        <f t="shared" si="2"/>
        <v>-1.1784511784511786E-2</v>
      </c>
    </row>
    <row r="7" spans="1:31" x14ac:dyDescent="0.25">
      <c r="B7" s="74">
        <v>42627</v>
      </c>
      <c r="C7" s="4">
        <v>100</v>
      </c>
      <c r="D7" s="3">
        <v>12.14</v>
      </c>
      <c r="E7" s="3">
        <v>0</v>
      </c>
      <c r="F7" s="3">
        <f t="shared" si="0"/>
        <v>1214</v>
      </c>
      <c r="G7" s="4"/>
      <c r="H7" s="185"/>
      <c r="I7" s="3"/>
      <c r="J7" s="3"/>
      <c r="K7" s="3"/>
      <c r="O7" s="11" t="s">
        <v>184</v>
      </c>
      <c r="Q7" s="2">
        <f>Q10+Q8</f>
        <v>-177.10999999999967</v>
      </c>
      <c r="R7">
        <v>250</v>
      </c>
      <c r="W7" s="133">
        <v>42669</v>
      </c>
      <c r="X7" s="10">
        <v>11.8</v>
      </c>
      <c r="Y7" s="10">
        <v>11.93</v>
      </c>
      <c r="Z7" s="10">
        <v>11.76</v>
      </c>
      <c r="AA7" s="10">
        <v>11.88</v>
      </c>
      <c r="AB7" s="95">
        <v>36219900</v>
      </c>
      <c r="AC7" s="10">
        <v>11.88</v>
      </c>
      <c r="AD7" s="2">
        <f t="shared" si="1"/>
        <v>0.16999999999999993</v>
      </c>
      <c r="AE7" s="138">
        <f t="shared" si="2"/>
        <v>2.5316455696202667E-3</v>
      </c>
    </row>
    <row r="8" spans="1:31" x14ac:dyDescent="0.25">
      <c r="B8" s="525">
        <v>42670</v>
      </c>
      <c r="C8" s="4">
        <v>200</v>
      </c>
      <c r="D8" s="2">
        <v>11.68</v>
      </c>
      <c r="E8" s="2">
        <v>0</v>
      </c>
      <c r="F8" s="2">
        <f t="shared" si="0"/>
        <v>2336</v>
      </c>
      <c r="H8" s="72"/>
      <c r="O8" s="11" t="s">
        <v>187</v>
      </c>
      <c r="P8" s="34"/>
      <c r="Q8" s="2">
        <f>K18+M18-F18+Q2*Q4</f>
        <v>-177.10999999999967</v>
      </c>
      <c r="W8" s="133">
        <v>42668</v>
      </c>
      <c r="X8" s="10">
        <v>12.05</v>
      </c>
      <c r="Y8" s="10">
        <v>12.1</v>
      </c>
      <c r="Z8" s="10">
        <v>11.76</v>
      </c>
      <c r="AA8" s="10">
        <v>11.85</v>
      </c>
      <c r="AB8" s="95">
        <v>42486000</v>
      </c>
      <c r="AC8" s="10">
        <v>11.85</v>
      </c>
      <c r="AD8" s="2">
        <f t="shared" si="1"/>
        <v>0.33999999999999986</v>
      </c>
      <c r="AE8" s="138" t="e">
        <f t="shared" si="2"/>
        <v>#DIV/0!</v>
      </c>
    </row>
    <row r="9" spans="1:31" x14ac:dyDescent="0.25">
      <c r="H9" s="72"/>
      <c r="O9" s="11" t="s">
        <v>219</v>
      </c>
      <c r="Q9" s="138">
        <f>IF(Q2=0, 0, Q8/Q6)</f>
        <v>-3.337221199485213E-2</v>
      </c>
      <c r="W9" s="133">
        <v>42668</v>
      </c>
      <c r="X9" s="10" t="s">
        <v>182</v>
      </c>
      <c r="Y9" s="10"/>
      <c r="Z9" s="10"/>
      <c r="AA9" s="10"/>
      <c r="AB9" s="95"/>
      <c r="AC9" s="10"/>
      <c r="AD9" s="2">
        <f t="shared" si="1"/>
        <v>0</v>
      </c>
      <c r="AE9" s="138">
        <f t="shared" si="2"/>
        <v>-1</v>
      </c>
    </row>
    <row r="10" spans="1:31" x14ac:dyDescent="0.25">
      <c r="H10" s="72"/>
      <c r="O10" s="11" t="s">
        <v>218</v>
      </c>
      <c r="P10" s="34"/>
      <c r="Q10" s="2">
        <f>M32</f>
        <v>0</v>
      </c>
      <c r="W10" s="133">
        <v>42667</v>
      </c>
      <c r="X10" s="10">
        <v>12.06</v>
      </c>
      <c r="Y10" s="10">
        <v>12.2</v>
      </c>
      <c r="Z10" s="10">
        <v>12.06</v>
      </c>
      <c r="AA10" s="10">
        <v>12.19</v>
      </c>
      <c r="AB10" s="95">
        <v>33733600</v>
      </c>
      <c r="AC10" s="10">
        <v>12.04</v>
      </c>
      <c r="AD10" s="2">
        <f t="shared" si="1"/>
        <v>0.13999999999999879</v>
      </c>
      <c r="AE10" s="138">
        <f t="shared" si="2"/>
        <v>1.4321819713563499E-2</v>
      </c>
    </row>
    <row r="11" spans="1:31" x14ac:dyDescent="0.25">
      <c r="H11" s="72"/>
      <c r="O11" s="11" t="s">
        <v>181</v>
      </c>
      <c r="P11" s="34"/>
      <c r="Q11" s="138">
        <f>VALUE(TRIM(CLEAN(MID(U58, FIND("(", U58)+1, 5))))</f>
        <v>5.1200000000000002E-2</v>
      </c>
      <c r="W11" s="133">
        <v>42664</v>
      </c>
      <c r="X11" s="10">
        <v>11.93</v>
      </c>
      <c r="Y11" s="10">
        <v>12.04</v>
      </c>
      <c r="Z11" s="10">
        <v>11.85</v>
      </c>
      <c r="AA11" s="10">
        <v>12.02</v>
      </c>
      <c r="AB11" s="95">
        <v>24364200</v>
      </c>
      <c r="AC11" s="10">
        <v>11.87</v>
      </c>
      <c r="AD11" s="2">
        <f t="shared" si="1"/>
        <v>0.1899999999999995</v>
      </c>
      <c r="AE11" s="138">
        <f t="shared" si="2"/>
        <v>4.230118443316222E-3</v>
      </c>
    </row>
    <row r="12" spans="1:31" x14ac:dyDescent="0.25">
      <c r="H12" s="72"/>
      <c r="W12" s="133">
        <v>42663</v>
      </c>
      <c r="X12" s="10">
        <v>12.02</v>
      </c>
      <c r="Y12" s="10">
        <v>12.03</v>
      </c>
      <c r="Z12" s="10">
        <v>11.9</v>
      </c>
      <c r="AA12" s="10">
        <v>11.97</v>
      </c>
      <c r="AB12" s="95">
        <v>18116000</v>
      </c>
      <c r="AC12" s="10">
        <v>11.82</v>
      </c>
      <c r="AD12" s="2">
        <f t="shared" si="1"/>
        <v>0.12999999999999901</v>
      </c>
      <c r="AE12" s="138">
        <f t="shared" si="2"/>
        <v>-3.3726812816188279E-3</v>
      </c>
    </row>
    <row r="13" spans="1:31" x14ac:dyDescent="0.25">
      <c r="H13" s="72"/>
      <c r="W13" s="133">
        <v>42662</v>
      </c>
      <c r="X13" s="10">
        <v>11.89</v>
      </c>
      <c r="Y13" s="10">
        <v>12.05</v>
      </c>
      <c r="Z13" s="10">
        <v>11.88</v>
      </c>
      <c r="AA13" s="10">
        <v>12.01</v>
      </c>
      <c r="AB13" s="95">
        <v>26094000</v>
      </c>
      <c r="AC13" s="10">
        <v>11.86</v>
      </c>
      <c r="AD13" s="2">
        <f t="shared" si="1"/>
        <v>0.16999999999999993</v>
      </c>
      <c r="AE13" s="138">
        <f t="shared" si="2"/>
        <v>1.0221465076660996E-2</v>
      </c>
    </row>
    <row r="14" spans="1:31" x14ac:dyDescent="0.25">
      <c r="H14" s="72"/>
      <c r="W14" s="133">
        <v>42661</v>
      </c>
      <c r="X14" s="10">
        <v>11.92</v>
      </c>
      <c r="Y14" s="10">
        <v>11.93</v>
      </c>
      <c r="Z14" s="10">
        <v>11.71</v>
      </c>
      <c r="AA14" s="10">
        <v>11.89</v>
      </c>
      <c r="AB14" s="95">
        <v>39911300</v>
      </c>
      <c r="AC14" s="10">
        <v>11.74</v>
      </c>
      <c r="AD14" s="2">
        <f t="shared" si="1"/>
        <v>0.21999999999999886</v>
      </c>
      <c r="AE14" s="138">
        <f t="shared" si="2"/>
        <v>8.5251491901106036E-4</v>
      </c>
    </row>
    <row r="15" spans="1:31" x14ac:dyDescent="0.25">
      <c r="H15" s="72"/>
      <c r="W15" s="133">
        <v>42660</v>
      </c>
      <c r="X15" s="10">
        <v>11.91</v>
      </c>
      <c r="Y15" s="10">
        <v>12</v>
      </c>
      <c r="Z15" s="10">
        <v>11.88</v>
      </c>
      <c r="AA15" s="10">
        <v>11.88</v>
      </c>
      <c r="AB15" s="95">
        <v>19875000</v>
      </c>
      <c r="AC15" s="10">
        <v>11.73</v>
      </c>
      <c r="AD15" s="2">
        <f t="shared" si="1"/>
        <v>0.11999999999999922</v>
      </c>
      <c r="AE15" s="138">
        <f t="shared" si="2"/>
        <v>-2.5510204081632404E-3</v>
      </c>
    </row>
    <row r="16" spans="1:31" x14ac:dyDescent="0.25">
      <c r="H16" s="72"/>
      <c r="W16" s="133">
        <v>42657</v>
      </c>
      <c r="X16" s="10">
        <v>11.96</v>
      </c>
      <c r="Y16" s="10">
        <v>12</v>
      </c>
      <c r="Z16" s="10">
        <v>11.89</v>
      </c>
      <c r="AA16" s="10">
        <v>11.91</v>
      </c>
      <c r="AB16" s="95">
        <v>25775700</v>
      </c>
      <c r="AC16" s="10">
        <v>11.76</v>
      </c>
      <c r="AD16" s="2">
        <f t="shared" si="1"/>
        <v>0.10999999999999943</v>
      </c>
      <c r="AE16" s="138">
        <f t="shared" si="2"/>
        <v>0</v>
      </c>
    </row>
    <row r="17" spans="1:31" x14ac:dyDescent="0.25">
      <c r="H17" s="72"/>
      <c r="W17" s="133">
        <v>42656</v>
      </c>
      <c r="X17" s="10">
        <v>11.91</v>
      </c>
      <c r="Y17" s="10">
        <v>11.91</v>
      </c>
      <c r="Z17" s="10">
        <v>11.69</v>
      </c>
      <c r="AA17" s="10">
        <v>11.91</v>
      </c>
      <c r="AB17" s="95">
        <v>39904200</v>
      </c>
      <c r="AC17" s="10">
        <v>11.76</v>
      </c>
      <c r="AD17" s="2">
        <f t="shared" si="1"/>
        <v>0.22000000000000064</v>
      </c>
      <c r="AE17" s="138">
        <f t="shared" si="2"/>
        <v>-4.2337002540220325E-3</v>
      </c>
    </row>
    <row r="18" spans="1:31" x14ac:dyDescent="0.25">
      <c r="A18" s="32" t="s">
        <v>81</v>
      </c>
      <c r="B18" s="14"/>
      <c r="C18" s="14">
        <f>SUM(C2:C8)</f>
        <v>800</v>
      </c>
      <c r="D18" s="18"/>
      <c r="E18" s="18"/>
      <c r="F18" s="18">
        <f>SUM(F2:F8)</f>
        <v>9977.5</v>
      </c>
      <c r="G18" s="14"/>
      <c r="H18" s="14">
        <f>SUM(H2:H17)</f>
        <v>350</v>
      </c>
      <c r="I18" s="18"/>
      <c r="J18" s="18"/>
      <c r="K18" s="18">
        <f>SUM(K2:K17)</f>
        <v>4625.3900000000003</v>
      </c>
      <c r="L18" s="14"/>
      <c r="M18" s="18">
        <f>SUM(M2:M17)</f>
        <v>45</v>
      </c>
      <c r="W18" s="133">
        <v>42655</v>
      </c>
      <c r="X18" s="10">
        <v>12</v>
      </c>
      <c r="Y18" s="10">
        <v>12.01</v>
      </c>
      <c r="Z18" s="10">
        <v>11.94</v>
      </c>
      <c r="AA18" s="10">
        <v>11.96</v>
      </c>
      <c r="AB18" s="95">
        <v>20627000</v>
      </c>
      <c r="AC18" s="10">
        <v>11.81</v>
      </c>
      <c r="AD18" s="2">
        <f t="shared" si="1"/>
        <v>7.0000000000000284E-2</v>
      </c>
      <c r="AE18" s="138">
        <f t="shared" si="2"/>
        <v>-2.5337837837837718E-3</v>
      </c>
    </row>
    <row r="19" spans="1:31" ht="15.75" thickBot="1" x14ac:dyDescent="0.3">
      <c r="A19" s="359" t="s">
        <v>201</v>
      </c>
      <c r="B19" s="360"/>
      <c r="C19" s="361">
        <f>SumByColor($A$19,C2:C17)</f>
        <v>350</v>
      </c>
      <c r="D19" s="361"/>
      <c r="E19" s="361"/>
      <c r="F19" s="362">
        <f>SumByColor($A$19,F2:F17)</f>
        <v>4601</v>
      </c>
      <c r="G19" s="361"/>
      <c r="H19" s="361">
        <f>SumByColor($A$19,H2:H17)</f>
        <v>350</v>
      </c>
      <c r="I19" s="361"/>
      <c r="J19" s="361"/>
      <c r="K19" s="362">
        <f>SumByColor($A$19,K2:K17)</f>
        <v>4625</v>
      </c>
      <c r="L19" s="361"/>
      <c r="M19" s="362">
        <f t="shared" ref="M19" si="3">SumByColor($A$19,M2:M17)</f>
        <v>45</v>
      </c>
      <c r="W19" s="133">
        <v>42654</v>
      </c>
      <c r="X19" s="10">
        <v>12.17</v>
      </c>
      <c r="Y19" s="10">
        <v>12.17</v>
      </c>
      <c r="Z19" s="10">
        <v>11.91</v>
      </c>
      <c r="AA19" s="10">
        <v>11.99</v>
      </c>
      <c r="AB19" s="95">
        <v>40053500</v>
      </c>
      <c r="AC19" s="10">
        <v>11.84</v>
      </c>
      <c r="AD19" s="2">
        <f t="shared" si="1"/>
        <v>0.25999999999999979</v>
      </c>
      <c r="AE19" s="138">
        <f t="shared" si="2"/>
        <v>-1.0860484544695126E-2</v>
      </c>
    </row>
    <row r="20" spans="1:31" x14ac:dyDescent="0.25">
      <c r="W20" s="133">
        <v>42653</v>
      </c>
      <c r="X20" s="10">
        <v>12.35</v>
      </c>
      <c r="Y20" s="10">
        <v>12.38</v>
      </c>
      <c r="Z20" s="10">
        <v>12.1</v>
      </c>
      <c r="AA20" s="10">
        <v>12.12</v>
      </c>
      <c r="AB20" s="95">
        <v>24951400</v>
      </c>
      <c r="AC20" s="10">
        <v>11.97</v>
      </c>
      <c r="AD20" s="2">
        <f t="shared" si="1"/>
        <v>0.28000000000000114</v>
      </c>
      <c r="AE20" s="138">
        <f t="shared" si="2"/>
        <v>-1.4003294892915963E-2</v>
      </c>
    </row>
    <row r="21" spans="1:31" x14ac:dyDescent="0.25">
      <c r="W21" s="133">
        <v>42650</v>
      </c>
      <c r="X21" s="10">
        <v>12.39</v>
      </c>
      <c r="Y21" s="10">
        <v>12.42</v>
      </c>
      <c r="Z21" s="10">
        <v>12.2</v>
      </c>
      <c r="AA21" s="10">
        <v>12.29</v>
      </c>
      <c r="AB21" s="95">
        <v>22093200</v>
      </c>
      <c r="AC21" s="10">
        <v>12.14</v>
      </c>
      <c r="AD21" s="2">
        <f t="shared" si="1"/>
        <v>0.22000000000000064</v>
      </c>
      <c r="AE21" s="138">
        <f t="shared" si="2"/>
        <v>-8.1699346405228468E-3</v>
      </c>
    </row>
    <row r="22" spans="1:31" x14ac:dyDescent="0.25">
      <c r="W22" s="133">
        <v>42649</v>
      </c>
      <c r="X22" s="10">
        <v>12.43</v>
      </c>
      <c r="Y22" s="10">
        <v>12.51</v>
      </c>
      <c r="Z22" s="10">
        <v>12.33</v>
      </c>
      <c r="AA22" s="10">
        <v>12.39</v>
      </c>
      <c r="AB22" s="95">
        <v>25880900</v>
      </c>
      <c r="AC22" s="10">
        <v>12.24</v>
      </c>
      <c r="AD22" s="2">
        <f t="shared" si="1"/>
        <v>0.17999999999999972</v>
      </c>
      <c r="AE22" s="138">
        <f t="shared" si="2"/>
        <v>-7.2992700729926918E-3</v>
      </c>
    </row>
    <row r="23" spans="1:31" x14ac:dyDescent="0.25">
      <c r="W23" s="133">
        <v>42648</v>
      </c>
      <c r="X23" s="10">
        <v>12.22</v>
      </c>
      <c r="Y23" s="10">
        <v>12.53</v>
      </c>
      <c r="Z23" s="10">
        <v>12.22</v>
      </c>
      <c r="AA23" s="10">
        <v>12.48</v>
      </c>
      <c r="AB23" s="95">
        <v>55529100</v>
      </c>
      <c r="AC23" s="10">
        <v>12.33</v>
      </c>
      <c r="AD23" s="2">
        <f t="shared" si="1"/>
        <v>0.30999999999999872</v>
      </c>
      <c r="AE23" s="138">
        <f t="shared" si="2"/>
        <v>2.3236514522821494E-2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42647</v>
      </c>
      <c r="X24" s="10">
        <v>12.11</v>
      </c>
      <c r="Y24" s="10">
        <v>12.25</v>
      </c>
      <c r="Z24" s="10">
        <v>12.09</v>
      </c>
      <c r="AA24" s="10">
        <v>12.2</v>
      </c>
      <c r="AB24" s="95">
        <v>23948700</v>
      </c>
      <c r="AC24" s="10">
        <v>12.05</v>
      </c>
      <c r="AD24" s="2">
        <f t="shared" si="1"/>
        <v>0.16000000000000014</v>
      </c>
      <c r="AE24" s="138">
        <f t="shared" si="2"/>
        <v>8.3682008368202165E-3</v>
      </c>
    </row>
    <row r="25" spans="1:31" x14ac:dyDescent="0.25">
      <c r="B25" s="193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31">
        <f>(E25-D25)/D25</f>
        <v>-1.7391304347826101E-2</v>
      </c>
      <c r="I25" s="40"/>
      <c r="W25" s="133">
        <v>42646</v>
      </c>
      <c r="X25" s="10">
        <v>12.06</v>
      </c>
      <c r="Y25" s="10">
        <v>12.15</v>
      </c>
      <c r="Z25" s="10">
        <v>12.02</v>
      </c>
      <c r="AA25" s="10">
        <v>12.1</v>
      </c>
      <c r="AB25" s="95">
        <v>20683100</v>
      </c>
      <c r="AC25" s="10">
        <v>11.95</v>
      </c>
      <c r="AD25" s="2">
        <f t="shared" si="1"/>
        <v>0.13000000000000078</v>
      </c>
      <c r="AE25" s="138">
        <f t="shared" si="2"/>
        <v>2.5167785234898599E-3</v>
      </c>
    </row>
    <row r="26" spans="1:31" x14ac:dyDescent="0.25">
      <c r="B26" s="193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31">
        <f>(E26-D26)/D26</f>
        <v>-3.5507246376811609E-2</v>
      </c>
      <c r="I26" s="40"/>
      <c r="W26" s="133">
        <v>42643</v>
      </c>
      <c r="X26" s="10">
        <v>12</v>
      </c>
      <c r="Y26" s="10">
        <v>12.14</v>
      </c>
      <c r="Z26" s="10">
        <v>11.99</v>
      </c>
      <c r="AA26" s="10">
        <v>12.07</v>
      </c>
      <c r="AB26" s="95">
        <v>34903800</v>
      </c>
      <c r="AC26" s="10">
        <v>11.92</v>
      </c>
      <c r="AD26" s="2">
        <f t="shared" si="1"/>
        <v>0.15000000000000036</v>
      </c>
      <c r="AE26" s="138">
        <f t="shared" si="2"/>
        <v>8.4602368866328881E-3</v>
      </c>
    </row>
    <row r="27" spans="1:31" x14ac:dyDescent="0.25">
      <c r="B27" s="193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31">
        <f>(E27-D27)/D27</f>
        <v>-2.2321428571428492E-2</v>
      </c>
      <c r="I27" s="40"/>
      <c r="W27" s="133">
        <v>42642</v>
      </c>
      <c r="X27" s="10">
        <v>12.03</v>
      </c>
      <c r="Y27" s="10">
        <v>12.12</v>
      </c>
      <c r="Z27" s="10">
        <v>11.95</v>
      </c>
      <c r="AA27" s="10">
        <v>11.97</v>
      </c>
      <c r="AB27" s="95">
        <v>23397400</v>
      </c>
      <c r="AC27" s="10">
        <v>11.82</v>
      </c>
      <c r="AD27" s="2">
        <f t="shared" si="1"/>
        <v>0.16999999999999993</v>
      </c>
      <c r="AE27" s="138">
        <f t="shared" si="2"/>
        <v>-1.005025125628134E-2</v>
      </c>
    </row>
    <row r="28" spans="1:31" x14ac:dyDescent="0.25">
      <c r="B28" s="193">
        <v>42515</v>
      </c>
      <c r="C28" s="10">
        <v>100</v>
      </c>
      <c r="D28" s="40">
        <v>13.2903</v>
      </c>
      <c r="E28" s="40">
        <v>13.52</v>
      </c>
      <c r="F28" s="40">
        <f t="shared" ref="F28:F34" si="4">C28*(E28-D28)</f>
        <v>22.969999999999935</v>
      </c>
      <c r="G28" s="40">
        <f t="shared" ref="G28:G34" si="5">D28*C28</f>
        <v>1329.03</v>
      </c>
      <c r="H28" s="231">
        <f t="shared" ref="H28:H34" si="6">(E28-D28)/D28</f>
        <v>1.7283281791983577E-2</v>
      </c>
      <c r="I28" s="40"/>
      <c r="W28" s="133">
        <v>42641</v>
      </c>
      <c r="X28" s="10">
        <v>12.02</v>
      </c>
      <c r="Y28" s="10">
        <v>12.09</v>
      </c>
      <c r="Z28" s="10">
        <v>11.96</v>
      </c>
      <c r="AA28" s="10">
        <v>12.09</v>
      </c>
      <c r="AB28" s="95">
        <v>29341500</v>
      </c>
      <c r="AC28" s="10">
        <v>11.94</v>
      </c>
      <c r="AD28" s="2">
        <f t="shared" si="1"/>
        <v>0.12999999999999901</v>
      </c>
      <c r="AE28" s="138">
        <f t="shared" si="2"/>
        <v>9.2983939137785132E-3</v>
      </c>
    </row>
    <row r="29" spans="1:31" x14ac:dyDescent="0.25">
      <c r="B29" s="193">
        <v>42527</v>
      </c>
      <c r="C29" s="10">
        <v>100</v>
      </c>
      <c r="D29" s="40">
        <v>13.2903</v>
      </c>
      <c r="E29" s="40">
        <v>13.18</v>
      </c>
      <c r="F29" s="40">
        <f t="shared" si="4"/>
        <v>-11.030000000000051</v>
      </c>
      <c r="G29" s="40">
        <f t="shared" si="5"/>
        <v>1329.03</v>
      </c>
      <c r="H29" s="231">
        <f t="shared" si="6"/>
        <v>-8.2992859453887811E-3</v>
      </c>
      <c r="I29" s="40"/>
      <c r="W29" s="133">
        <v>42640</v>
      </c>
      <c r="X29" s="10">
        <v>12.02</v>
      </c>
      <c r="Y29" s="10">
        <v>12.09</v>
      </c>
      <c r="Z29" s="10">
        <v>11.93</v>
      </c>
      <c r="AA29" s="10">
        <v>11.98</v>
      </c>
      <c r="AB29" s="95">
        <v>28965800</v>
      </c>
      <c r="AC29" s="10">
        <v>11.83</v>
      </c>
      <c r="AD29" s="2">
        <f t="shared" si="1"/>
        <v>0.16000000000000014</v>
      </c>
      <c r="AE29" s="138">
        <f t="shared" si="2"/>
        <v>-2.5295109612141209E-3</v>
      </c>
    </row>
    <row r="30" spans="1:31" x14ac:dyDescent="0.25">
      <c r="B30" s="193">
        <v>42528</v>
      </c>
      <c r="C30" s="10">
        <v>100</v>
      </c>
      <c r="D30" s="40">
        <v>13.2903</v>
      </c>
      <c r="E30" s="40">
        <v>13.38</v>
      </c>
      <c r="F30" s="40">
        <f t="shared" si="4"/>
        <v>8.9700000000000557</v>
      </c>
      <c r="G30" s="40">
        <f t="shared" si="5"/>
        <v>1329.03</v>
      </c>
      <c r="H30" s="231">
        <f t="shared" si="6"/>
        <v>6.7492833118891638E-3</v>
      </c>
      <c r="I30" s="40"/>
      <c r="W30" s="133">
        <v>42639</v>
      </c>
      <c r="X30" s="10">
        <v>12.12</v>
      </c>
      <c r="Y30" s="10">
        <v>12.12</v>
      </c>
      <c r="Z30" s="10">
        <v>12</v>
      </c>
      <c r="AA30" s="10">
        <v>12.01</v>
      </c>
      <c r="AB30" s="95">
        <v>26758600</v>
      </c>
      <c r="AC30" s="10">
        <v>11.86</v>
      </c>
      <c r="AD30" s="2">
        <f t="shared" si="1"/>
        <v>0.11999999999999922</v>
      </c>
      <c r="AE30" s="138">
        <f t="shared" si="2"/>
        <v>-1.3311148086522451E-2</v>
      </c>
    </row>
    <row r="31" spans="1:31" x14ac:dyDescent="0.25">
      <c r="B31" s="193">
        <v>42535</v>
      </c>
      <c r="C31" s="10">
        <v>100</v>
      </c>
      <c r="D31" s="40">
        <v>13.29</v>
      </c>
      <c r="E31" s="40">
        <v>12.84</v>
      </c>
      <c r="F31" s="40">
        <f t="shared" si="4"/>
        <v>-44.999999999999929</v>
      </c>
      <c r="G31" s="40">
        <f t="shared" si="5"/>
        <v>1329</v>
      </c>
      <c r="H31" s="231">
        <f t="shared" si="6"/>
        <v>-3.386004514672681E-2</v>
      </c>
      <c r="I31" s="40"/>
      <c r="W31" s="133">
        <v>42636</v>
      </c>
      <c r="X31" s="10">
        <v>12.12</v>
      </c>
      <c r="Y31" s="10">
        <v>12.22</v>
      </c>
      <c r="Z31" s="10">
        <v>12.12</v>
      </c>
      <c r="AA31" s="10">
        <v>12.17</v>
      </c>
      <c r="AB31" s="95">
        <v>18993500</v>
      </c>
      <c r="AC31" s="10">
        <v>12.02</v>
      </c>
      <c r="AD31" s="2">
        <f t="shared" si="1"/>
        <v>0.10000000000000142</v>
      </c>
      <c r="AE31" s="138">
        <f t="shared" si="2"/>
        <v>-8.3125519534499315E-4</v>
      </c>
    </row>
    <row r="32" spans="1:31" x14ac:dyDescent="0.25">
      <c r="B32" s="193">
        <v>42542</v>
      </c>
      <c r="C32" s="10">
        <v>100</v>
      </c>
      <c r="D32" s="40">
        <v>13.2903</v>
      </c>
      <c r="E32" s="40">
        <v>13.42</v>
      </c>
      <c r="F32" s="40">
        <f t="shared" si="4"/>
        <v>12.96999999999997</v>
      </c>
      <c r="G32" s="40">
        <f t="shared" si="5"/>
        <v>1329.03</v>
      </c>
      <c r="H32" s="231">
        <f t="shared" si="6"/>
        <v>9.758997163344673E-3</v>
      </c>
      <c r="I32" s="40"/>
      <c r="W32" s="133">
        <v>42635</v>
      </c>
      <c r="X32" s="10">
        <v>12.17</v>
      </c>
      <c r="Y32" s="10">
        <v>12.29</v>
      </c>
      <c r="Z32" s="10">
        <v>12.16</v>
      </c>
      <c r="AA32" s="10">
        <v>12.18</v>
      </c>
      <c r="AB32" s="95">
        <v>36136200</v>
      </c>
      <c r="AC32" s="10">
        <v>12.03</v>
      </c>
      <c r="AD32" s="2">
        <f t="shared" si="1"/>
        <v>0.12999999999999901</v>
      </c>
      <c r="AE32" s="138">
        <f t="shared" si="2"/>
        <v>7.5376884422111434E-3</v>
      </c>
    </row>
    <row r="33" spans="2:31" x14ac:dyDescent="0.25">
      <c r="B33" s="193">
        <v>42545</v>
      </c>
      <c r="C33" s="455">
        <v>250</v>
      </c>
      <c r="D33" s="457">
        <v>12.966100000000001</v>
      </c>
      <c r="E33" s="40">
        <v>12.52</v>
      </c>
      <c r="F33" s="40">
        <f t="shared" si="4"/>
        <v>-111.52500000000032</v>
      </c>
      <c r="G33" s="40">
        <f t="shared" si="5"/>
        <v>3241.5250000000001</v>
      </c>
      <c r="H33" s="231">
        <f t="shared" si="6"/>
        <v>-3.4405102536614808E-2</v>
      </c>
      <c r="I33" s="40"/>
      <c r="W33" s="133">
        <v>42634</v>
      </c>
      <c r="X33" s="10">
        <v>12.08</v>
      </c>
      <c r="Y33" s="10">
        <v>12.11</v>
      </c>
      <c r="Z33" s="10">
        <v>12.01</v>
      </c>
      <c r="AA33" s="10">
        <v>12.09</v>
      </c>
      <c r="AB33" s="95">
        <v>32934600</v>
      </c>
      <c r="AC33" s="10">
        <v>11.94</v>
      </c>
      <c r="AD33" s="2">
        <f t="shared" si="1"/>
        <v>9.9999999999999645E-2</v>
      </c>
      <c r="AE33" s="138">
        <f t="shared" si="2"/>
        <v>7.5949367088608E-3</v>
      </c>
    </row>
    <row r="34" spans="2:31" x14ac:dyDescent="0.25">
      <c r="B34" s="193">
        <v>42548</v>
      </c>
      <c r="C34" s="10">
        <v>400</v>
      </c>
      <c r="D34" s="40">
        <v>12.6713</v>
      </c>
      <c r="E34" s="40">
        <v>12.16</v>
      </c>
      <c r="F34" s="40">
        <f t="shared" si="4"/>
        <v>-204.52000000000012</v>
      </c>
      <c r="G34" s="40">
        <f t="shared" si="5"/>
        <v>5068.5200000000004</v>
      </c>
      <c r="H34" s="231">
        <f t="shared" si="6"/>
        <v>-4.0351029491843798E-2</v>
      </c>
      <c r="I34" s="40"/>
      <c r="W34" s="133">
        <v>42633</v>
      </c>
      <c r="X34" s="10">
        <v>12.09</v>
      </c>
      <c r="Y34" s="10">
        <v>12.19</v>
      </c>
      <c r="Z34" s="10">
        <v>11.96</v>
      </c>
      <c r="AA34" s="10">
        <v>12</v>
      </c>
      <c r="AB34" s="95">
        <v>37820800</v>
      </c>
      <c r="AC34" s="10">
        <v>11.85</v>
      </c>
      <c r="AD34" s="2">
        <f t="shared" si="1"/>
        <v>0.22999999999999865</v>
      </c>
      <c r="AE34" s="138">
        <f t="shared" si="2"/>
        <v>-9.1973244147157684E-3</v>
      </c>
    </row>
    <row r="35" spans="2:31" x14ac:dyDescent="0.25">
      <c r="B35" s="193">
        <v>42552</v>
      </c>
      <c r="C35" s="10">
        <v>400</v>
      </c>
      <c r="D35" s="40">
        <v>12.6713</v>
      </c>
      <c r="E35" s="40">
        <v>12.72</v>
      </c>
      <c r="F35" s="40">
        <f t="shared" ref="F35" si="7">C35*(E35-D35)</f>
        <v>19.480000000000075</v>
      </c>
      <c r="G35" s="40">
        <f t="shared" ref="G35" si="8">D35*C35</f>
        <v>5068.5200000000004</v>
      </c>
      <c r="H35" s="231">
        <f t="shared" ref="H35" si="9">(E35-D35)/D35</f>
        <v>3.843330992084489E-3</v>
      </c>
      <c r="I35" s="40"/>
      <c r="W35" s="133">
        <v>42632</v>
      </c>
      <c r="X35" s="10">
        <v>12.12</v>
      </c>
      <c r="Y35" s="10">
        <v>12.33</v>
      </c>
      <c r="Z35" s="10">
        <v>12.06</v>
      </c>
      <c r="AA35" s="10">
        <v>12.11</v>
      </c>
      <c r="AB35" s="95">
        <v>41175500</v>
      </c>
      <c r="AC35" s="10">
        <v>11.96</v>
      </c>
      <c r="AD35" s="2">
        <f t="shared" si="1"/>
        <v>0.26999999999999957</v>
      </c>
      <c r="AE35" s="138">
        <f t="shared" si="2"/>
        <v>0</v>
      </c>
    </row>
    <row r="36" spans="2:31" x14ac:dyDescent="0.25">
      <c r="B36" s="193">
        <v>42556</v>
      </c>
      <c r="C36" s="7">
        <v>400</v>
      </c>
      <c r="D36" s="44">
        <v>12.6713</v>
      </c>
      <c r="E36" s="40">
        <v>12.4</v>
      </c>
      <c r="F36" s="40">
        <f t="shared" ref="F36:F37" si="10">C36*(E36-D36)</f>
        <v>-108.52000000000004</v>
      </c>
      <c r="G36" s="40">
        <f t="shared" ref="G36:G37" si="11">D36*C36</f>
        <v>5068.5200000000004</v>
      </c>
      <c r="H36" s="231">
        <f t="shared" ref="H36:H37" si="12">(E36-D36)/D36</f>
        <v>-2.1410589284445961E-2</v>
      </c>
      <c r="I36" s="236">
        <v>11.5</v>
      </c>
      <c r="W36" s="133">
        <v>42629</v>
      </c>
      <c r="X36" s="10">
        <v>12.05</v>
      </c>
      <c r="Y36" s="10">
        <v>12.13</v>
      </c>
      <c r="Z36" s="10">
        <v>12.01</v>
      </c>
      <c r="AA36" s="10">
        <v>12.11</v>
      </c>
      <c r="AB36" s="95">
        <v>26271600</v>
      </c>
      <c r="AC36" s="10">
        <v>11.96</v>
      </c>
      <c r="AD36" s="2">
        <f t="shared" si="1"/>
        <v>0.12000000000000099</v>
      </c>
      <c r="AE36" s="138">
        <f t="shared" si="2"/>
        <v>0</v>
      </c>
    </row>
    <row r="37" spans="2:31" x14ac:dyDescent="0.25">
      <c r="B37" s="193">
        <v>42566</v>
      </c>
      <c r="C37" s="10">
        <v>300</v>
      </c>
      <c r="D37" s="40">
        <v>12.5352</v>
      </c>
      <c r="E37" s="40">
        <v>13.57</v>
      </c>
      <c r="F37" s="40">
        <f t="shared" si="10"/>
        <v>310.44000000000017</v>
      </c>
      <c r="G37" s="40">
        <f t="shared" si="11"/>
        <v>3760.56</v>
      </c>
      <c r="H37" s="231">
        <f t="shared" si="12"/>
        <v>8.2551534877784216E-2</v>
      </c>
      <c r="I37" s="236"/>
      <c r="W37" s="133">
        <v>42628</v>
      </c>
      <c r="X37" s="10">
        <v>12.14</v>
      </c>
      <c r="Y37" s="10">
        <v>12.18</v>
      </c>
      <c r="Z37" s="10">
        <v>12.06</v>
      </c>
      <c r="AA37" s="10">
        <v>12.11</v>
      </c>
      <c r="AB37" s="95">
        <v>57334800</v>
      </c>
      <c r="AC37" s="10">
        <v>11.96</v>
      </c>
      <c r="AD37" s="2">
        <f t="shared" si="1"/>
        <v>0.11999999999999922</v>
      </c>
      <c r="AE37" s="138">
        <f t="shared" si="2"/>
        <v>-2.5020850708923348E-3</v>
      </c>
    </row>
    <row r="38" spans="2:31" x14ac:dyDescent="0.25">
      <c r="B38" s="193">
        <v>42570</v>
      </c>
      <c r="C38" s="10">
        <v>300</v>
      </c>
      <c r="D38" s="40">
        <v>12.5352</v>
      </c>
      <c r="E38" s="40">
        <v>13.65</v>
      </c>
      <c r="F38" s="40">
        <f t="shared" ref="F38" si="13">C38*(E38-D38)</f>
        <v>334.44000000000023</v>
      </c>
      <c r="G38" s="40">
        <f t="shared" ref="G38" si="14">D38*C38</f>
        <v>3760.56</v>
      </c>
      <c r="H38" s="231">
        <f t="shared" ref="H38" si="15">(E38-D38)/D38</f>
        <v>8.8933563086348894E-2</v>
      </c>
      <c r="I38" s="40"/>
      <c r="W38" s="133">
        <v>42627</v>
      </c>
      <c r="X38" s="10">
        <v>12.18</v>
      </c>
      <c r="Y38" s="10">
        <v>12.31</v>
      </c>
      <c r="Z38" s="10">
        <v>12.11</v>
      </c>
      <c r="AA38" s="10">
        <v>12.14</v>
      </c>
      <c r="AB38" s="95">
        <v>62450600</v>
      </c>
      <c r="AC38" s="10">
        <v>11.99</v>
      </c>
      <c r="AD38" s="2">
        <f t="shared" si="1"/>
        <v>0.20000000000000107</v>
      </c>
      <c r="AE38" s="138">
        <f t="shared" si="2"/>
        <v>-1.9623875715453765E-2</v>
      </c>
    </row>
    <row r="39" spans="2:31" x14ac:dyDescent="0.25">
      <c r="B39" s="193">
        <v>42571</v>
      </c>
      <c r="C39" s="10">
        <v>300</v>
      </c>
      <c r="D39" s="40">
        <v>12.5352</v>
      </c>
      <c r="E39" s="40">
        <v>13.74</v>
      </c>
      <c r="F39" s="40">
        <f t="shared" ref="F39" si="16">C39*(E39-D39)</f>
        <v>361.44000000000017</v>
      </c>
      <c r="G39" s="40">
        <f t="shared" ref="G39" si="17">D39*C39</f>
        <v>3760.56</v>
      </c>
      <c r="H39" s="231">
        <f t="shared" ref="H39" si="18">(E39-D39)/D39</f>
        <v>9.6113344820984159E-2</v>
      </c>
      <c r="I39" s="40"/>
      <c r="W39" s="133">
        <v>42626</v>
      </c>
      <c r="X39" s="10">
        <v>12.53</v>
      </c>
      <c r="Y39" s="10">
        <v>12.68</v>
      </c>
      <c r="Z39" s="10">
        <v>12.33</v>
      </c>
      <c r="AA39" s="10">
        <v>12.38</v>
      </c>
      <c r="AB39" s="95">
        <v>56549100</v>
      </c>
      <c r="AC39" s="10">
        <v>12.23</v>
      </c>
      <c r="AD39" s="2">
        <f t="shared" si="1"/>
        <v>0.34999999999999964</v>
      </c>
      <c r="AE39" s="138">
        <f t="shared" si="2"/>
        <v>-2.4720893141945699E-2</v>
      </c>
    </row>
    <row r="40" spans="2:31" ht="20.25" thickBot="1" x14ac:dyDescent="0.35">
      <c r="B40" s="193">
        <v>42572</v>
      </c>
      <c r="C40" s="10">
        <v>300</v>
      </c>
      <c r="D40" s="40">
        <v>12.5352</v>
      </c>
      <c r="E40" s="40">
        <v>13.92</v>
      </c>
      <c r="F40" s="40">
        <f t="shared" ref="F40" si="19">C40*(E40-D40)</f>
        <v>415.44000000000005</v>
      </c>
      <c r="G40" s="40">
        <f t="shared" ref="G40" si="20">D40*C40</f>
        <v>3760.56</v>
      </c>
      <c r="H40" s="231">
        <f t="shared" ref="H40" si="21">(E40-D40)/D40</f>
        <v>0.11047290829025466</v>
      </c>
      <c r="I40" s="40"/>
      <c r="O40" s="588" t="s">
        <v>78</v>
      </c>
      <c r="P40" s="588"/>
      <c r="W40" s="133">
        <v>42625</v>
      </c>
      <c r="X40" s="10">
        <v>12.32</v>
      </c>
      <c r="Y40" s="10">
        <v>12.77</v>
      </c>
      <c r="Z40" s="10">
        <v>12.28</v>
      </c>
      <c r="AA40" s="10">
        <v>12.7</v>
      </c>
      <c r="AB40" s="95">
        <v>42690200</v>
      </c>
      <c r="AC40" s="10">
        <v>12.54</v>
      </c>
      <c r="AD40" s="2">
        <f t="shared" si="1"/>
        <v>0.49000000000000021</v>
      </c>
      <c r="AE40" s="138">
        <f t="shared" si="2"/>
        <v>2.5347506132461062E-2</v>
      </c>
    </row>
    <row r="41" spans="2:31" ht="15.75" thickTop="1" x14ac:dyDescent="0.25">
      <c r="B41" s="193">
        <v>42575</v>
      </c>
      <c r="C41" s="10">
        <v>300</v>
      </c>
      <c r="D41" s="40">
        <v>12.5352</v>
      </c>
      <c r="E41" s="40">
        <v>13.82</v>
      </c>
      <c r="F41" s="40">
        <f t="shared" ref="F41:F42" si="22">C41*(E41-D41)</f>
        <v>385.44000000000017</v>
      </c>
      <c r="G41" s="40">
        <f t="shared" ref="G41:G42" si="23">D41*C41</f>
        <v>3760.56</v>
      </c>
      <c r="H41" s="231">
        <f t="shared" ref="H41:H42" si="24">(E41-D41)/D41</f>
        <v>0.10249537302954884</v>
      </c>
      <c r="I41" s="40"/>
      <c r="O41" s="83">
        <v>1.1000000000000001</v>
      </c>
      <c r="P41" s="83">
        <f>O41*$Q$4</f>
        <v>12.540000000000001</v>
      </c>
      <c r="Q41" s="2"/>
      <c r="W41" s="133">
        <v>42622</v>
      </c>
      <c r="X41" s="10">
        <v>12.61</v>
      </c>
      <c r="Y41" s="10">
        <v>12.69</v>
      </c>
      <c r="Z41" s="10">
        <v>12.38</v>
      </c>
      <c r="AA41" s="10">
        <v>12.38</v>
      </c>
      <c r="AB41" s="95">
        <v>35733600</v>
      </c>
      <c r="AC41" s="10">
        <v>12.23</v>
      </c>
      <c r="AD41" s="2">
        <f t="shared" si="1"/>
        <v>0.30999999999999872</v>
      </c>
      <c r="AE41" s="138">
        <f t="shared" si="2"/>
        <v>-2.7048528241845671E-2</v>
      </c>
    </row>
    <row r="42" spans="2:31" ht="20.25" thickBot="1" x14ac:dyDescent="0.35">
      <c r="B42" s="193">
        <v>42577</v>
      </c>
      <c r="C42" s="455">
        <v>250</v>
      </c>
      <c r="D42" s="457">
        <v>12.286300000000001</v>
      </c>
      <c r="E42" s="40">
        <v>13.86</v>
      </c>
      <c r="F42" s="40">
        <f t="shared" si="22"/>
        <v>393.42499999999967</v>
      </c>
      <c r="G42" s="40">
        <f t="shared" si="23"/>
        <v>3071.5750000000003</v>
      </c>
      <c r="H42" s="231">
        <f t="shared" si="24"/>
        <v>0.12808575405126024</v>
      </c>
      <c r="I42" s="490" t="s">
        <v>290</v>
      </c>
      <c r="O42" s="83">
        <v>1.0900000000000001</v>
      </c>
      <c r="P42" s="83">
        <f t="shared" ref="P42:P61" si="25">O42*$Q$4</f>
        <v>12.426000000000002</v>
      </c>
      <c r="Q42" s="2"/>
      <c r="T42" s="91" t="s">
        <v>113</v>
      </c>
      <c r="W42" s="133">
        <v>42621</v>
      </c>
      <c r="X42" s="10">
        <v>12.5</v>
      </c>
      <c r="Y42" s="10">
        <v>12.75</v>
      </c>
      <c r="Z42" s="10">
        <v>12.5</v>
      </c>
      <c r="AA42" s="10">
        <v>12.73</v>
      </c>
      <c r="AB42" s="95">
        <v>34017900</v>
      </c>
      <c r="AC42" s="10">
        <v>12.57</v>
      </c>
      <c r="AD42" s="2">
        <f t="shared" si="1"/>
        <v>0.25</v>
      </c>
      <c r="AE42" s="138">
        <f t="shared" si="2"/>
        <v>2.3923444976077235E-3</v>
      </c>
    </row>
    <row r="43" spans="2:31" ht="15.75" thickTop="1" x14ac:dyDescent="0.25">
      <c r="B43" s="193">
        <v>42579</v>
      </c>
      <c r="C43" s="10">
        <v>250</v>
      </c>
      <c r="D43" s="40">
        <v>12.286300000000001</v>
      </c>
      <c r="E43" s="40">
        <v>12.71</v>
      </c>
      <c r="F43" s="40">
        <f t="shared" ref="F43" si="26">C43*(E43-D43)</f>
        <v>105.92500000000004</v>
      </c>
      <c r="G43" s="40">
        <f t="shared" ref="G43" si="27">D43*C43</f>
        <v>3071.5750000000003</v>
      </c>
      <c r="H43" s="231">
        <f t="shared" ref="H43" si="28">(E43-D43)/D43</f>
        <v>3.4485565223053335E-2</v>
      </c>
      <c r="I43" s="40"/>
      <c r="O43" s="83">
        <v>1.08</v>
      </c>
      <c r="P43" s="83">
        <f t="shared" si="25"/>
        <v>12.312000000000001</v>
      </c>
      <c r="Q43" s="2"/>
      <c r="T43" s="128" t="s">
        <v>98</v>
      </c>
      <c r="U43" s="98">
        <v>11.61</v>
      </c>
      <c r="W43" s="133">
        <v>42620</v>
      </c>
      <c r="X43" s="10">
        <v>12.62</v>
      </c>
      <c r="Y43" s="10">
        <v>12.75</v>
      </c>
      <c r="Z43" s="10">
        <v>12.62</v>
      </c>
      <c r="AA43" s="10">
        <v>12.7</v>
      </c>
      <c r="AB43" s="95">
        <v>22879100</v>
      </c>
      <c r="AC43" s="10">
        <v>12.54</v>
      </c>
      <c r="AD43" s="2">
        <f t="shared" si="1"/>
        <v>0.13000000000000078</v>
      </c>
      <c r="AE43" s="138">
        <f t="shared" si="2"/>
        <v>2.3980815347721673E-3</v>
      </c>
    </row>
    <row r="44" spans="2:31" x14ac:dyDescent="0.25">
      <c r="B44" s="193">
        <v>42585</v>
      </c>
      <c r="C44" s="10">
        <v>250</v>
      </c>
      <c r="D44" s="40">
        <v>12.286300000000001</v>
      </c>
      <c r="E44" s="40">
        <v>11.94</v>
      </c>
      <c r="F44" s="40">
        <f t="shared" ref="F44" si="29">C44*(E44-D44)</f>
        <v>-86.575000000000287</v>
      </c>
      <c r="G44" s="40">
        <f t="shared" ref="G44" si="30">D44*C44</f>
        <v>3071.5750000000003</v>
      </c>
      <c r="H44" s="231">
        <f t="shared" ref="H44" si="31">(E44-D44)/D44</f>
        <v>-2.8185865557572347E-2</v>
      </c>
      <c r="I44" s="40"/>
      <c r="O44" s="83">
        <v>1.07</v>
      </c>
      <c r="P44" s="83">
        <f t="shared" si="25"/>
        <v>12.198</v>
      </c>
      <c r="Q44" s="2"/>
      <c r="T44" s="93" t="s">
        <v>99</v>
      </c>
      <c r="U44" s="88">
        <v>11.51</v>
      </c>
      <c r="W44" s="133">
        <v>42619</v>
      </c>
      <c r="X44" s="10">
        <v>12.49</v>
      </c>
      <c r="Y44" s="10">
        <v>12.67</v>
      </c>
      <c r="Z44" s="10">
        <v>12.43</v>
      </c>
      <c r="AA44" s="10">
        <v>12.67</v>
      </c>
      <c r="AB44" s="95">
        <v>36098900</v>
      </c>
      <c r="AC44" s="10">
        <v>12.51</v>
      </c>
      <c r="AD44" s="2">
        <f t="shared" si="1"/>
        <v>0.24000000000000021</v>
      </c>
      <c r="AE44" s="138">
        <f t="shared" si="2"/>
        <v>1.2955465587044523E-2</v>
      </c>
    </row>
    <row r="45" spans="2:31" x14ac:dyDescent="0.25">
      <c r="B45" s="193">
        <v>42593</v>
      </c>
      <c r="C45" s="10">
        <v>250</v>
      </c>
      <c r="D45" s="40">
        <v>12.286300000000001</v>
      </c>
      <c r="E45" s="40">
        <v>12.25</v>
      </c>
      <c r="F45" s="40">
        <f t="shared" ref="F45:F46" si="32">C45*(E45-D45)</f>
        <v>-9.0750000000001663</v>
      </c>
      <c r="G45" s="40">
        <f t="shared" ref="G45:G46" si="33">D45*C45</f>
        <v>3071.5750000000003</v>
      </c>
      <c r="H45" s="231">
        <f t="shared" ref="H45:H46" si="34">(E45-D45)/D45</f>
        <v>-2.9545103082295452E-3</v>
      </c>
      <c r="I45" s="40"/>
      <c r="O45" s="83">
        <v>1.06</v>
      </c>
      <c r="P45" s="83">
        <f t="shared" si="25"/>
        <v>12.084000000000001</v>
      </c>
      <c r="Q45" s="2"/>
      <c r="T45" s="93" t="s">
        <v>100</v>
      </c>
      <c r="U45" s="88" t="s">
        <v>472</v>
      </c>
      <c r="W45" s="133">
        <v>42615</v>
      </c>
      <c r="X45" s="10">
        <v>12.53</v>
      </c>
      <c r="Y45" s="10">
        <v>12.57</v>
      </c>
      <c r="Z45" s="10">
        <v>12.46</v>
      </c>
      <c r="AA45" s="10">
        <v>12.5</v>
      </c>
      <c r="AB45" s="95">
        <v>21079800</v>
      </c>
      <c r="AC45" s="10">
        <v>12.35</v>
      </c>
      <c r="AD45" s="2">
        <f t="shared" si="1"/>
        <v>0.10999999999999943</v>
      </c>
      <c r="AE45" s="138">
        <f t="shared" si="2"/>
        <v>4.8820179007322828E-3</v>
      </c>
    </row>
    <row r="46" spans="2:31" x14ac:dyDescent="0.25">
      <c r="B46" s="193">
        <v>42597</v>
      </c>
      <c r="C46" s="10">
        <v>250</v>
      </c>
      <c r="D46" s="40">
        <v>12.286300000000001</v>
      </c>
      <c r="E46" s="40">
        <v>12.43</v>
      </c>
      <c r="F46" s="40">
        <f t="shared" si="32"/>
        <v>35.924999999999763</v>
      </c>
      <c r="G46" s="40">
        <f t="shared" si="33"/>
        <v>3071.5750000000003</v>
      </c>
      <c r="H46" s="231">
        <f t="shared" si="34"/>
        <v>1.1695954030098488E-2</v>
      </c>
      <c r="I46" s="40"/>
      <c r="O46" s="83">
        <v>1.05</v>
      </c>
      <c r="P46" s="83">
        <f t="shared" si="25"/>
        <v>11.97</v>
      </c>
      <c r="Q46" s="2"/>
      <c r="T46" s="93" t="s">
        <v>101</v>
      </c>
      <c r="U46" s="88" t="s">
        <v>473</v>
      </c>
      <c r="W46" s="133">
        <v>42614</v>
      </c>
      <c r="X46" s="10">
        <v>12.66</v>
      </c>
      <c r="Y46" s="10">
        <v>12.72</v>
      </c>
      <c r="Z46" s="10">
        <v>12.35</v>
      </c>
      <c r="AA46" s="10">
        <v>12.44</v>
      </c>
      <c r="AB46" s="95">
        <v>40510400</v>
      </c>
      <c r="AC46" s="10">
        <v>12.29</v>
      </c>
      <c r="AD46" s="2">
        <f t="shared" si="1"/>
        <v>0.37000000000000099</v>
      </c>
      <c r="AE46" s="138">
        <f t="shared" si="2"/>
        <v>-1.2057877813504869E-2</v>
      </c>
    </row>
    <row r="47" spans="2:31" x14ac:dyDescent="0.25">
      <c r="B47" s="193">
        <v>42600</v>
      </c>
      <c r="C47" s="10">
        <v>250</v>
      </c>
      <c r="D47" s="40">
        <v>12.286300000000001</v>
      </c>
      <c r="E47" s="40">
        <v>12.33</v>
      </c>
      <c r="F47" s="40">
        <f t="shared" ref="F47" si="35">C47*(E47-D47)</f>
        <v>10.924999999999851</v>
      </c>
      <c r="G47" s="40">
        <f t="shared" ref="G47" si="36">D47*C47</f>
        <v>3071.5750000000003</v>
      </c>
      <c r="H47" s="231">
        <f t="shared" ref="H47" si="37">(E47-D47)/D47</f>
        <v>3.5568071754718184E-3</v>
      </c>
      <c r="I47" s="40"/>
      <c r="O47" s="83">
        <v>1.04</v>
      </c>
      <c r="P47" s="83">
        <f t="shared" si="25"/>
        <v>11.856000000000002</v>
      </c>
      <c r="Q47" s="2"/>
      <c r="T47" s="93" t="s">
        <v>102</v>
      </c>
      <c r="U47" s="88">
        <v>12.78</v>
      </c>
      <c r="W47" s="133">
        <v>42613</v>
      </c>
      <c r="X47" s="10">
        <v>12.48</v>
      </c>
      <c r="Y47" s="10">
        <v>12.61</v>
      </c>
      <c r="Z47" s="10">
        <v>12.48</v>
      </c>
      <c r="AA47" s="10">
        <v>12.6</v>
      </c>
      <c r="AB47" s="95">
        <v>26030600</v>
      </c>
      <c r="AC47" s="10">
        <v>12.44</v>
      </c>
      <c r="AD47" s="2">
        <f t="shared" si="1"/>
        <v>0.12999999999999901</v>
      </c>
      <c r="AE47" s="138">
        <f t="shared" si="2"/>
        <v>3.225806451612856E-3</v>
      </c>
    </row>
    <row r="48" spans="2:31" x14ac:dyDescent="0.25">
      <c r="B48" s="193">
        <v>42601</v>
      </c>
      <c r="C48" s="10">
        <v>250</v>
      </c>
      <c r="D48" s="40">
        <v>12.286300000000001</v>
      </c>
      <c r="E48" s="40">
        <v>12.39</v>
      </c>
      <c r="F48" s="40">
        <f t="shared" ref="F48" si="38">C48*(E48-D48)</f>
        <v>25.924999999999976</v>
      </c>
      <c r="G48" s="40">
        <f t="shared" ref="G48" si="39">D48*C48</f>
        <v>3071.5750000000003</v>
      </c>
      <c r="H48" s="231">
        <f t="shared" ref="H48" si="40">(E48-D48)/D48</f>
        <v>8.4402952882478774E-3</v>
      </c>
      <c r="I48" s="40"/>
      <c r="O48" s="83">
        <v>1.03</v>
      </c>
      <c r="P48" s="83">
        <f t="shared" si="25"/>
        <v>11.742000000000001</v>
      </c>
      <c r="Q48" s="2"/>
      <c r="T48" s="93" t="s">
        <v>103</v>
      </c>
      <c r="U48" s="88">
        <v>1.2166999999999999</v>
      </c>
      <c r="W48" s="133">
        <v>42612</v>
      </c>
      <c r="X48" s="10">
        <v>12.47</v>
      </c>
      <c r="Y48" s="10">
        <v>12.56</v>
      </c>
      <c r="Z48" s="10">
        <v>12.43</v>
      </c>
      <c r="AA48" s="10">
        <v>12.55</v>
      </c>
      <c r="AB48" s="95">
        <v>26040400</v>
      </c>
      <c r="AC48" s="10">
        <v>12.4</v>
      </c>
      <c r="AD48" s="2">
        <f t="shared" si="1"/>
        <v>0.13000000000000078</v>
      </c>
      <c r="AE48" s="138">
        <f t="shared" si="2"/>
        <v>6.4935064935065512E-3</v>
      </c>
    </row>
    <row r="49" spans="2:31" x14ac:dyDescent="0.25">
      <c r="B49" s="193">
        <v>42604</v>
      </c>
      <c r="C49" s="10">
        <v>250</v>
      </c>
      <c r="D49" s="40">
        <v>12.286300000000001</v>
      </c>
      <c r="E49" s="40">
        <v>12.36</v>
      </c>
      <c r="F49" s="40">
        <f t="shared" ref="F49" si="41">C49*(E49-D49)</f>
        <v>18.424999999999692</v>
      </c>
      <c r="G49" s="40">
        <f t="shared" ref="G49" si="42">D49*C49</f>
        <v>3071.5750000000003</v>
      </c>
      <c r="H49" s="231">
        <f t="shared" ref="H49" si="43">(E49-D49)/D49</f>
        <v>5.9985512318597757E-3</v>
      </c>
      <c r="I49" s="40"/>
      <c r="O49" s="83">
        <v>1.02</v>
      </c>
      <c r="P49" s="83">
        <f t="shared" si="25"/>
        <v>11.628</v>
      </c>
      <c r="Q49" s="2"/>
      <c r="T49" s="93" t="s">
        <v>122</v>
      </c>
      <c r="U49" s="88" t="s">
        <v>413</v>
      </c>
      <c r="W49" s="133">
        <v>42611</v>
      </c>
      <c r="X49" s="10">
        <v>12.38</v>
      </c>
      <c r="Y49" s="10">
        <v>12.5</v>
      </c>
      <c r="Z49" s="10">
        <v>12.38</v>
      </c>
      <c r="AA49" s="10">
        <v>12.47</v>
      </c>
      <c r="AB49" s="95">
        <v>22243200</v>
      </c>
      <c r="AC49" s="10">
        <v>12.32</v>
      </c>
      <c r="AD49" s="2">
        <f t="shared" si="1"/>
        <v>0.11999999999999922</v>
      </c>
      <c r="AE49" s="138">
        <f t="shared" si="2"/>
        <v>7.3589533932951756E-3</v>
      </c>
    </row>
    <row r="50" spans="2:31" x14ac:dyDescent="0.25">
      <c r="B50" s="193">
        <v>42607</v>
      </c>
      <c r="C50" s="10">
        <v>250</v>
      </c>
      <c r="D50" s="40">
        <v>12.286300000000001</v>
      </c>
      <c r="E50" s="40">
        <v>12.47</v>
      </c>
      <c r="F50" s="40">
        <f t="shared" ref="F50:F52" si="44">C50*(E50-D50)</f>
        <v>45.924999999999997</v>
      </c>
      <c r="G50" s="40">
        <f t="shared" ref="G50:G52" si="45">D50*C50</f>
        <v>3071.5750000000003</v>
      </c>
      <c r="H50" s="231">
        <f t="shared" ref="H50:H52" si="46">(E50-D50)/D50</f>
        <v>1.4951612771949242E-2</v>
      </c>
      <c r="I50" s="40"/>
      <c r="O50" s="83">
        <v>1.01</v>
      </c>
      <c r="P50" s="83">
        <f t="shared" si="25"/>
        <v>11.514000000000001</v>
      </c>
      <c r="Q50" s="2"/>
      <c r="T50" s="93"/>
      <c r="U50" s="88"/>
      <c r="W50" s="133">
        <v>42608</v>
      </c>
      <c r="X50" s="10">
        <v>12.47</v>
      </c>
      <c r="Y50" s="10">
        <v>12.55</v>
      </c>
      <c r="Z50" s="10">
        <v>12.34</v>
      </c>
      <c r="AA50" s="10">
        <v>12.38</v>
      </c>
      <c r="AB50" s="95">
        <v>22645900</v>
      </c>
      <c r="AC50" s="10">
        <v>12.23</v>
      </c>
      <c r="AD50" s="2">
        <f t="shared" si="1"/>
        <v>0.21000000000000085</v>
      </c>
      <c r="AE50" s="138">
        <f t="shared" si="2"/>
        <v>-7.3051948051947591E-3</v>
      </c>
    </row>
    <row r="51" spans="2:31" x14ac:dyDescent="0.25">
      <c r="B51" s="193">
        <v>42615</v>
      </c>
      <c r="C51" s="455">
        <v>250</v>
      </c>
      <c r="D51" s="457">
        <v>12.106299999999999</v>
      </c>
      <c r="E51" s="40">
        <v>12.5</v>
      </c>
      <c r="F51" s="40">
        <f t="shared" si="44"/>
        <v>98.42500000000021</v>
      </c>
      <c r="G51" s="40">
        <f t="shared" si="45"/>
        <v>3026.5749999999998</v>
      </c>
      <c r="H51" s="231">
        <f t="shared" si="46"/>
        <v>3.252025804746296E-2</v>
      </c>
      <c r="I51" s="548" t="s">
        <v>317</v>
      </c>
      <c r="O51" s="83">
        <v>1</v>
      </c>
      <c r="P51" s="83">
        <f t="shared" si="25"/>
        <v>11.4</v>
      </c>
      <c r="Q51" s="2"/>
      <c r="T51" s="93" t="s">
        <v>105</v>
      </c>
      <c r="U51" s="88" t="s">
        <v>474</v>
      </c>
      <c r="W51" s="133">
        <v>42607</v>
      </c>
      <c r="X51" s="10">
        <v>12.3</v>
      </c>
      <c r="Y51" s="10">
        <v>12.52</v>
      </c>
      <c r="Z51" s="10">
        <v>12.21</v>
      </c>
      <c r="AA51" s="10">
        <v>12.47</v>
      </c>
      <c r="AB51" s="95">
        <v>44713700</v>
      </c>
      <c r="AC51" s="10">
        <v>12.32</v>
      </c>
      <c r="AD51" s="2">
        <f t="shared" si="1"/>
        <v>0.30999999999999872</v>
      </c>
      <c r="AE51" s="138">
        <f t="shared" si="2"/>
        <v>1.3991769547325061E-2</v>
      </c>
    </row>
    <row r="52" spans="2:31" x14ac:dyDescent="0.25">
      <c r="B52" s="193">
        <v>42620</v>
      </c>
      <c r="C52" s="10">
        <v>150</v>
      </c>
      <c r="D52" s="40">
        <v>11.7141</v>
      </c>
      <c r="E52" s="40">
        <v>12.7</v>
      </c>
      <c r="F52" s="40">
        <f t="shared" si="44"/>
        <v>147.88499999999988</v>
      </c>
      <c r="G52" s="40">
        <f t="shared" si="45"/>
        <v>1757.115</v>
      </c>
      <c r="H52" s="231">
        <f t="shared" si="46"/>
        <v>8.4163529421807826E-2</v>
      </c>
      <c r="I52" s="40"/>
      <c r="O52" s="83">
        <v>0.99</v>
      </c>
      <c r="P52" s="83">
        <f t="shared" si="25"/>
        <v>11.286</v>
      </c>
      <c r="Q52" s="2"/>
      <c r="T52" s="93" t="s">
        <v>106</v>
      </c>
      <c r="U52" s="88" t="s">
        <v>475</v>
      </c>
      <c r="W52" s="133">
        <v>42606</v>
      </c>
      <c r="X52" s="10">
        <v>12.41</v>
      </c>
      <c r="Y52" s="10">
        <v>12.44</v>
      </c>
      <c r="Z52" s="10">
        <v>12.28</v>
      </c>
      <c r="AA52" s="10">
        <v>12.3</v>
      </c>
      <c r="AB52" s="95">
        <v>19999600</v>
      </c>
      <c r="AC52" s="10">
        <v>12.15</v>
      </c>
      <c r="AD52" s="2">
        <f t="shared" si="1"/>
        <v>0.16000000000000014</v>
      </c>
      <c r="AE52" s="138">
        <f t="shared" si="2"/>
        <v>-9.7799511002444328E-3</v>
      </c>
    </row>
    <row r="53" spans="2:31" x14ac:dyDescent="0.25">
      <c r="B53" s="193">
        <v>42621</v>
      </c>
      <c r="C53" s="10">
        <v>150</v>
      </c>
      <c r="D53" s="40">
        <v>11.7141</v>
      </c>
      <c r="E53" s="40">
        <v>12.73</v>
      </c>
      <c r="F53" s="40">
        <f t="shared" ref="F53" si="47">C53*(E53-D53)</f>
        <v>152.38500000000005</v>
      </c>
      <c r="G53" s="40">
        <f t="shared" ref="G53" si="48">D53*C53</f>
        <v>1757.115</v>
      </c>
      <c r="H53" s="231">
        <f t="shared" ref="H53" si="49">(E53-D53)/D53</f>
        <v>8.6724545633040537E-2</v>
      </c>
      <c r="I53" s="40"/>
      <c r="O53" s="83">
        <v>0.98</v>
      </c>
      <c r="P53" s="83">
        <f t="shared" si="25"/>
        <v>11.172000000000001</v>
      </c>
      <c r="Q53" s="2"/>
      <c r="T53" s="93" t="s">
        <v>107</v>
      </c>
      <c r="U53" s="90">
        <v>36229377</v>
      </c>
      <c r="W53" s="133">
        <v>42605</v>
      </c>
      <c r="X53" s="10">
        <v>12.4</v>
      </c>
      <c r="Y53" s="10">
        <v>12.43</v>
      </c>
      <c r="Z53" s="10">
        <v>12.33</v>
      </c>
      <c r="AA53" s="10">
        <v>12.42</v>
      </c>
      <c r="AB53" s="95">
        <v>34634100</v>
      </c>
      <c r="AC53" s="10">
        <v>12.27</v>
      </c>
      <c r="AD53" s="2">
        <f t="shared" si="1"/>
        <v>9.9999999999999645E-2</v>
      </c>
      <c r="AE53" s="138">
        <f t="shared" si="2"/>
        <v>4.9140049140048436E-3</v>
      </c>
    </row>
    <row r="54" spans="2:31" x14ac:dyDescent="0.25">
      <c r="B54" s="193">
        <v>42622</v>
      </c>
      <c r="C54" s="10">
        <v>150</v>
      </c>
      <c r="D54" s="40">
        <v>11.7141</v>
      </c>
      <c r="E54" s="40">
        <v>12.38</v>
      </c>
      <c r="F54" s="40">
        <f t="shared" ref="F54" si="50">C54*(E54-D54)</f>
        <v>99.88500000000009</v>
      </c>
      <c r="G54" s="40">
        <f t="shared" ref="G54" si="51">D54*C54</f>
        <v>1757.115</v>
      </c>
      <c r="H54" s="231">
        <f t="shared" ref="H54" si="52">(E54-D54)/D54</f>
        <v>5.684602316866004E-2</v>
      </c>
      <c r="I54" s="40"/>
      <c r="O54" s="83">
        <v>0.97</v>
      </c>
      <c r="P54" s="83">
        <f t="shared" si="25"/>
        <v>11.058</v>
      </c>
      <c r="T54" s="93" t="s">
        <v>110</v>
      </c>
      <c r="U54" s="90">
        <v>31519700</v>
      </c>
      <c r="W54" s="133">
        <v>42604</v>
      </c>
      <c r="X54" s="10">
        <v>12.35</v>
      </c>
      <c r="Y54" s="10">
        <v>12.38</v>
      </c>
      <c r="Z54" s="10">
        <v>12.29</v>
      </c>
      <c r="AA54" s="10">
        <v>12.36</v>
      </c>
      <c r="AB54" s="95">
        <v>22458400</v>
      </c>
      <c r="AC54" s="10">
        <v>12.21</v>
      </c>
      <c r="AD54" s="2">
        <f t="shared" si="1"/>
        <v>9.0000000000001634E-2</v>
      </c>
      <c r="AE54" s="138">
        <f t="shared" si="2"/>
        <v>-2.450980392156854E-3</v>
      </c>
    </row>
    <row r="55" spans="2:31" x14ac:dyDescent="0.25">
      <c r="B55" s="193">
        <v>42625</v>
      </c>
      <c r="C55" s="10">
        <v>150</v>
      </c>
      <c r="D55" s="40">
        <v>11.7141</v>
      </c>
      <c r="E55" s="40">
        <v>12.7</v>
      </c>
      <c r="F55" s="40">
        <f t="shared" ref="F55:F56" si="53">C55*(E55-D55)</f>
        <v>147.88499999999988</v>
      </c>
      <c r="G55" s="40">
        <f t="shared" ref="G55:G56" si="54">D55*C55</f>
        <v>1757.115</v>
      </c>
      <c r="H55" s="231">
        <f t="shared" ref="H55:H56" si="55">(E55-D55)/D55</f>
        <v>8.4163529421807826E-2</v>
      </c>
      <c r="I55" s="40"/>
      <c r="O55" s="83">
        <v>0.96</v>
      </c>
      <c r="P55" s="83">
        <f t="shared" si="25"/>
        <v>10.943999999999999</v>
      </c>
      <c r="T55" s="93" t="s">
        <v>108</v>
      </c>
      <c r="U55" s="88" t="s">
        <v>476</v>
      </c>
      <c r="W55" s="133">
        <v>42601</v>
      </c>
      <c r="X55" s="10">
        <v>12.3</v>
      </c>
      <c r="Y55" s="10">
        <v>12.41</v>
      </c>
      <c r="Z55" s="10">
        <v>12.25</v>
      </c>
      <c r="AA55" s="10">
        <v>12.39</v>
      </c>
      <c r="AB55" s="95">
        <v>21891400</v>
      </c>
      <c r="AC55" s="10">
        <v>12.24</v>
      </c>
      <c r="AD55" s="2">
        <f t="shared" si="1"/>
        <v>0.16000000000000014</v>
      </c>
      <c r="AE55" s="138">
        <f t="shared" si="2"/>
        <v>4.9261083743843415E-3</v>
      </c>
    </row>
    <row r="56" spans="2:31" x14ac:dyDescent="0.25">
      <c r="B56" s="193">
        <v>42627</v>
      </c>
      <c r="C56" s="455">
        <v>250</v>
      </c>
      <c r="D56" s="457">
        <v>11.884399999999999</v>
      </c>
      <c r="E56" s="40">
        <v>12.14</v>
      </c>
      <c r="F56" s="40">
        <f t="shared" si="53"/>
        <v>63.90000000000029</v>
      </c>
      <c r="G56" s="40">
        <f t="shared" si="54"/>
        <v>2971.1</v>
      </c>
      <c r="H56" s="231">
        <f t="shared" si="55"/>
        <v>2.1507185890747633E-2</v>
      </c>
      <c r="I56" s="548" t="s">
        <v>339</v>
      </c>
      <c r="O56" s="83">
        <v>0.95</v>
      </c>
      <c r="P56" s="83">
        <f t="shared" si="25"/>
        <v>10.83</v>
      </c>
      <c r="T56" s="93" t="s">
        <v>111</v>
      </c>
      <c r="U56" s="88">
        <v>6.3</v>
      </c>
      <c r="W56" s="133">
        <v>42600</v>
      </c>
      <c r="X56" s="10">
        <v>12.33</v>
      </c>
      <c r="Y56" s="10">
        <v>12.36</v>
      </c>
      <c r="Z56" s="10">
        <v>12.27</v>
      </c>
      <c r="AA56" s="10">
        <v>12.33</v>
      </c>
      <c r="AB56" s="95">
        <v>23629500</v>
      </c>
      <c r="AC56" s="10">
        <v>12.18</v>
      </c>
      <c r="AD56" s="2">
        <f t="shared" si="1"/>
        <v>8.9999999999999858E-2</v>
      </c>
      <c r="AE56" s="138">
        <f t="shared" si="2"/>
        <v>-4.9019607843138191E-3</v>
      </c>
    </row>
    <row r="57" spans="2:31" x14ac:dyDescent="0.25">
      <c r="B57" s="193">
        <v>42648</v>
      </c>
      <c r="C57" s="10">
        <v>250</v>
      </c>
      <c r="D57" s="40">
        <v>11.884399999999999</v>
      </c>
      <c r="E57" s="40">
        <v>12.48</v>
      </c>
      <c r="F57" s="40">
        <f t="shared" ref="F57" si="56">C57*(E57-D57)</f>
        <v>148.90000000000026</v>
      </c>
      <c r="G57" s="40">
        <f t="shared" ref="G57" si="57">D57*C57</f>
        <v>2971.1</v>
      </c>
      <c r="H57" s="231">
        <f t="shared" ref="H57" si="58">(E57-D57)/D57</f>
        <v>5.0116118609269379E-2</v>
      </c>
      <c r="I57" s="40"/>
      <c r="O57" s="83">
        <v>0.94</v>
      </c>
      <c r="P57" s="83">
        <f t="shared" si="25"/>
        <v>10.715999999999999</v>
      </c>
      <c r="T57" s="93" t="s">
        <v>112</v>
      </c>
      <c r="U57" s="88">
        <v>1.81</v>
      </c>
      <c r="W57" s="133">
        <v>42599</v>
      </c>
      <c r="X57" s="10">
        <v>12.33</v>
      </c>
      <c r="Y57" s="10">
        <v>12.39</v>
      </c>
      <c r="Z57" s="10">
        <v>12.23</v>
      </c>
      <c r="AA57" s="10">
        <v>12.39</v>
      </c>
      <c r="AB57" s="95">
        <v>23434500</v>
      </c>
      <c r="AC57" s="10">
        <v>12.24</v>
      </c>
      <c r="AD57" s="2">
        <f t="shared" si="1"/>
        <v>0.16000000000000014</v>
      </c>
      <c r="AE57" s="138">
        <f t="shared" si="2"/>
        <v>4.1017227235440323E-3</v>
      </c>
    </row>
    <row r="58" spans="2:31" x14ac:dyDescent="0.25">
      <c r="B58" s="193">
        <v>42649</v>
      </c>
      <c r="C58" s="10">
        <v>250</v>
      </c>
      <c r="D58" s="40">
        <v>11.884399999999999</v>
      </c>
      <c r="E58" s="40">
        <v>12.39</v>
      </c>
      <c r="F58" s="40">
        <f t="shared" ref="F58" si="59">C58*(E58-D58)</f>
        <v>126.40000000000029</v>
      </c>
      <c r="G58" s="40">
        <f t="shared" ref="G58" si="60">D58*C58</f>
        <v>2971.1</v>
      </c>
      <c r="H58" s="231">
        <f t="shared" ref="H58" si="61">(E58-D58)/D58</f>
        <v>4.2543165830837164E-2</v>
      </c>
      <c r="I58" s="40"/>
      <c r="O58" s="83">
        <v>0.93</v>
      </c>
      <c r="P58" s="83">
        <f t="shared" si="25"/>
        <v>10.602</v>
      </c>
      <c r="T58" s="93" t="s">
        <v>109</v>
      </c>
      <c r="U58" s="88" t="s">
        <v>424</v>
      </c>
      <c r="W58" s="133">
        <v>42598</v>
      </c>
      <c r="X58" s="10">
        <v>12.35</v>
      </c>
      <c r="Y58" s="10">
        <v>12.43</v>
      </c>
      <c r="Z58" s="10">
        <v>12.33</v>
      </c>
      <c r="AA58" s="10">
        <v>12.34</v>
      </c>
      <c r="AB58" s="95">
        <v>20450100</v>
      </c>
      <c r="AC58" s="10">
        <v>12.19</v>
      </c>
      <c r="AD58" s="2">
        <f t="shared" si="1"/>
        <v>9.9999999999999645E-2</v>
      </c>
      <c r="AE58" s="138">
        <f t="shared" si="2"/>
        <v>-7.3289902280130326E-3</v>
      </c>
    </row>
    <row r="59" spans="2:31" x14ac:dyDescent="0.25">
      <c r="B59" s="193">
        <v>42668</v>
      </c>
      <c r="C59" s="10">
        <v>250</v>
      </c>
      <c r="D59" s="40">
        <v>11.884399999999999</v>
      </c>
      <c r="E59" s="40">
        <v>11.85</v>
      </c>
      <c r="F59" s="40">
        <f t="shared" ref="F59:F60" si="62">C59*(E59-D59)</f>
        <v>-8.599999999999941</v>
      </c>
      <c r="G59" s="40">
        <f t="shared" ref="G59:G60" si="63">D59*C59</f>
        <v>2971.1</v>
      </c>
      <c r="H59" s="231">
        <f t="shared" ref="H59:H60" si="64">(E59-D59)/D59</f>
        <v>-2.8945508397562993E-3</v>
      </c>
      <c r="I59" s="40"/>
      <c r="O59" s="83">
        <v>0.92</v>
      </c>
      <c r="P59" s="83">
        <f t="shared" si="25"/>
        <v>10.488000000000001</v>
      </c>
      <c r="W59" s="133">
        <v>42597</v>
      </c>
      <c r="X59" s="10">
        <v>12.37</v>
      </c>
      <c r="Y59" s="10">
        <v>12.44</v>
      </c>
      <c r="Z59" s="10">
        <v>12.36</v>
      </c>
      <c r="AA59" s="10">
        <v>12.43</v>
      </c>
      <c r="AB59" s="95">
        <v>16371100</v>
      </c>
      <c r="AC59" s="10">
        <v>12.28</v>
      </c>
      <c r="AD59" s="2">
        <f t="shared" si="1"/>
        <v>8.0000000000000071E-2</v>
      </c>
      <c r="AE59" s="138">
        <f t="shared" si="2"/>
        <v>8.2101806239736064E-3</v>
      </c>
    </row>
    <row r="60" spans="2:31" x14ac:dyDescent="0.25">
      <c r="B60" s="193">
        <v>42670</v>
      </c>
      <c r="C60" s="10">
        <v>450</v>
      </c>
      <c r="D60" s="40">
        <v>11.7936</v>
      </c>
      <c r="E60" s="40">
        <v>11.74</v>
      </c>
      <c r="F60" s="40">
        <f t="shared" si="62"/>
        <v>-24.119999999999742</v>
      </c>
      <c r="G60" s="40">
        <f t="shared" si="63"/>
        <v>5307.12</v>
      </c>
      <c r="H60" s="231">
        <f t="shared" si="64"/>
        <v>-4.5448378781711629E-3</v>
      </c>
      <c r="I60" s="40"/>
      <c r="O60" s="83">
        <v>0.91</v>
      </c>
      <c r="P60" s="83">
        <f t="shared" si="25"/>
        <v>10.374000000000001</v>
      </c>
      <c r="W60" s="133">
        <v>42594</v>
      </c>
      <c r="X60" s="10">
        <v>12.29</v>
      </c>
      <c r="Y60" s="10">
        <v>12.37</v>
      </c>
      <c r="Z60" s="10">
        <v>12.25</v>
      </c>
      <c r="AA60" s="10">
        <v>12.33</v>
      </c>
      <c r="AB60" s="95">
        <v>18816900</v>
      </c>
      <c r="AC60" s="10">
        <v>12.18</v>
      </c>
      <c r="AD60" s="2">
        <f t="shared" si="1"/>
        <v>0.11999999999999922</v>
      </c>
      <c r="AE60" s="138">
        <f t="shared" si="2"/>
        <v>1.6447368421053099E-3</v>
      </c>
    </row>
    <row r="61" spans="2:31" x14ac:dyDescent="0.25">
      <c r="B61" s="193">
        <v>42676</v>
      </c>
      <c r="C61" s="10">
        <v>450</v>
      </c>
      <c r="D61" s="40">
        <v>11.7936</v>
      </c>
      <c r="E61" s="40">
        <v>11.4</v>
      </c>
      <c r="F61" s="40">
        <f t="shared" ref="F61" si="65">C61*(E61-D61)</f>
        <v>-177.11999999999966</v>
      </c>
      <c r="G61" s="40">
        <f t="shared" ref="G61" si="66">D61*C61</f>
        <v>5307.12</v>
      </c>
      <c r="H61" s="231">
        <f t="shared" ref="H61" si="67">(E61-D61)/D61</f>
        <v>-3.3374033374033316E-2</v>
      </c>
      <c r="I61" s="40"/>
      <c r="O61" s="83">
        <v>0.9</v>
      </c>
      <c r="P61" s="83">
        <f t="shared" si="25"/>
        <v>10.26</v>
      </c>
      <c r="W61" s="133">
        <v>42593</v>
      </c>
      <c r="X61" s="10">
        <v>12.31</v>
      </c>
      <c r="Y61" s="10">
        <v>12.37</v>
      </c>
      <c r="Z61" s="10">
        <v>12.26</v>
      </c>
      <c r="AA61" s="10">
        <v>12.31</v>
      </c>
      <c r="AB61" s="95">
        <v>24987300</v>
      </c>
      <c r="AC61" s="10">
        <v>12.16</v>
      </c>
      <c r="AD61" s="2">
        <f t="shared" si="1"/>
        <v>0.10999999999999943</v>
      </c>
      <c r="AE61" s="138">
        <f t="shared" si="2"/>
        <v>4.9586776859504855E-3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42592</v>
      </c>
      <c r="X62" s="10">
        <v>12.3</v>
      </c>
      <c r="Y62" s="10">
        <v>12.36</v>
      </c>
      <c r="Z62" s="10">
        <v>12.23</v>
      </c>
      <c r="AA62" s="10">
        <v>12.25</v>
      </c>
      <c r="AB62" s="95">
        <v>24555800</v>
      </c>
      <c r="AC62" s="10">
        <v>12.1</v>
      </c>
      <c r="AD62" s="2">
        <f t="shared" si="1"/>
        <v>0.12999999999999901</v>
      </c>
      <c r="AE62" s="138">
        <f t="shared" si="2"/>
        <v>-4.9342105263158187E-3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42591</v>
      </c>
      <c r="X63" s="10">
        <v>12.16</v>
      </c>
      <c r="Y63" s="10">
        <v>12.38</v>
      </c>
      <c r="Z63" s="10">
        <v>12.15</v>
      </c>
      <c r="AA63" s="10">
        <v>12.31</v>
      </c>
      <c r="AB63" s="95">
        <v>30097800</v>
      </c>
      <c r="AC63" s="10">
        <v>12.16</v>
      </c>
      <c r="AD63" s="2">
        <f t="shared" si="1"/>
        <v>0.23000000000000043</v>
      </c>
      <c r="AE63" s="138">
        <f t="shared" si="2"/>
        <v>1.0806317539484578E-2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42590</v>
      </c>
      <c r="X64" s="10">
        <v>12.22</v>
      </c>
      <c r="Y64" s="10">
        <v>12.33</v>
      </c>
      <c r="Z64" s="10">
        <v>12.15</v>
      </c>
      <c r="AA64" s="10">
        <v>12.18</v>
      </c>
      <c r="AB64" s="95">
        <v>33310600</v>
      </c>
      <c r="AC64" s="10">
        <v>12.03</v>
      </c>
      <c r="AD64" s="2">
        <f t="shared" si="1"/>
        <v>0.17999999999999972</v>
      </c>
      <c r="AE64" s="138">
        <f t="shared" si="2"/>
        <v>-8.3056478405318934E-4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42587</v>
      </c>
      <c r="X65" s="10">
        <v>12.16</v>
      </c>
      <c r="Y65" s="10">
        <v>12.26</v>
      </c>
      <c r="Z65" s="10">
        <v>12.16</v>
      </c>
      <c r="AA65" s="10">
        <v>12.19</v>
      </c>
      <c r="AB65" s="95">
        <v>31219500</v>
      </c>
      <c r="AC65" s="10">
        <v>12.04</v>
      </c>
      <c r="AD65" s="2">
        <f t="shared" si="1"/>
        <v>9.9999999999999645E-2</v>
      </c>
      <c r="AE65" s="138">
        <f t="shared" si="2"/>
        <v>9.2204526404022769E-3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42586</v>
      </c>
      <c r="X66" s="10">
        <v>12.12</v>
      </c>
      <c r="Y66" s="10">
        <v>12.23</v>
      </c>
      <c r="Z66" s="10">
        <v>12.05</v>
      </c>
      <c r="AA66" s="10">
        <v>12.08</v>
      </c>
      <c r="AB66" s="95">
        <v>38443200</v>
      </c>
      <c r="AC66" s="10">
        <v>11.93</v>
      </c>
      <c r="AD66" s="2">
        <f t="shared" si="1"/>
        <v>0.17999999999999972</v>
      </c>
      <c r="AE66" s="138">
        <f t="shared" si="2"/>
        <v>-4.1736227045076069E-3</v>
      </c>
    </row>
    <row r="67" spans="2:31" x14ac:dyDescent="0.25">
      <c r="W67" s="133">
        <v>42585</v>
      </c>
      <c r="X67" s="10">
        <v>12.02</v>
      </c>
      <c r="Y67" s="10">
        <v>12.2</v>
      </c>
      <c r="Z67" s="10">
        <v>11.94</v>
      </c>
      <c r="AA67" s="10">
        <v>12.13</v>
      </c>
      <c r="AB67" s="95">
        <v>47323300</v>
      </c>
      <c r="AC67" s="10">
        <v>11.98</v>
      </c>
      <c r="AD67" s="2">
        <f>Y67-Z67</f>
        <v>0.25999999999999979</v>
      </c>
      <c r="AE67" s="138" t="e">
        <f>AC67/#REF!-1</f>
        <v>#REF!</v>
      </c>
    </row>
    <row r="68" spans="2:31" x14ac:dyDescent="0.25">
      <c r="W68" s="133">
        <v>42584</v>
      </c>
      <c r="X68" s="10">
        <v>12.35</v>
      </c>
      <c r="Y68" s="10">
        <v>12.36</v>
      </c>
      <c r="Z68" s="10">
        <v>11.9</v>
      </c>
      <c r="AA68" s="10">
        <v>11.94</v>
      </c>
      <c r="AB68" s="95">
        <v>101624900</v>
      </c>
      <c r="AC68" s="10">
        <v>11.79</v>
      </c>
      <c r="AD68" s="2" t="e">
        <f>#REF!-#REF!</f>
        <v>#REF!</v>
      </c>
      <c r="AE68" s="138" t="e">
        <f>#REF!/#REF!-1</f>
        <v>#REF!</v>
      </c>
    </row>
    <row r="69" spans="2:31" x14ac:dyDescent="0.25">
      <c r="W69" s="133" t="s">
        <v>121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601" priority="25">
      <formula>F30&gt;0</formula>
    </cfRule>
    <cfRule type="expression" dxfId="600" priority="26">
      <formula>F30&lt;0</formula>
    </cfRule>
  </conditionalFormatting>
  <conditionalFormatting sqref="F34:F42 F46:F66">
    <cfRule type="expression" dxfId="599" priority="21">
      <formula>F34&gt;0</formula>
    </cfRule>
    <cfRule type="expression" dxfId="598" priority="22">
      <formula>F34&lt;0</formula>
    </cfRule>
  </conditionalFormatting>
  <conditionalFormatting sqref="F34:F42 F46:F66">
    <cfRule type="expression" dxfId="597" priority="23">
      <formula>F34&gt;0</formula>
    </cfRule>
    <cfRule type="expression" dxfId="596" priority="24">
      <formula>F34&lt;0</formula>
    </cfRule>
  </conditionalFormatting>
  <conditionalFormatting sqref="H30:H42 H46:H66">
    <cfRule type="expression" dxfId="595" priority="19">
      <formula>H30&gt;0</formula>
    </cfRule>
    <cfRule type="expression" dxfId="594" priority="20">
      <formula>H30&lt;0</formula>
    </cfRule>
  </conditionalFormatting>
  <conditionalFormatting sqref="F25:F29">
    <cfRule type="expression" dxfId="593" priority="13">
      <formula>F25&gt;0</formula>
    </cfRule>
    <cfRule type="expression" dxfId="592" priority="14">
      <formula>F25&lt;0</formula>
    </cfRule>
  </conditionalFormatting>
  <conditionalFormatting sqref="H25:H29">
    <cfRule type="expression" dxfId="591" priority="11">
      <formula>H25&gt;0</formula>
    </cfRule>
    <cfRule type="expression" dxfId="590" priority="12">
      <formula>H25&lt;0</formula>
    </cfRule>
  </conditionalFormatting>
  <conditionalFormatting sqref="Q7">
    <cfRule type="expression" dxfId="589" priority="9">
      <formula>Q7&gt;0</formula>
    </cfRule>
    <cfRule type="expression" dxfId="588" priority="10">
      <formula>Q7&lt;0</formula>
    </cfRule>
  </conditionalFormatting>
  <conditionalFormatting sqref="Q8">
    <cfRule type="expression" dxfId="587" priority="7">
      <formula>Q8&gt;0</formula>
    </cfRule>
    <cfRule type="expression" dxfId="586" priority="8">
      <formula>Q8&lt;0</formula>
    </cfRule>
  </conditionalFormatting>
  <conditionalFormatting sqref="F43:F45">
    <cfRule type="expression" dxfId="585" priority="3">
      <formula>F43&gt;0</formula>
    </cfRule>
    <cfRule type="expression" dxfId="584" priority="4">
      <formula>F43&lt;0</formula>
    </cfRule>
  </conditionalFormatting>
  <conditionalFormatting sqref="F43:F45">
    <cfRule type="expression" dxfId="583" priority="5">
      <formula>F43&gt;0</formula>
    </cfRule>
    <cfRule type="expression" dxfId="582" priority="6">
      <formula>F43&lt;0</formula>
    </cfRule>
  </conditionalFormatting>
  <conditionalFormatting sqref="H43:H45">
    <cfRule type="expression" dxfId="581" priority="1">
      <formula>H43&gt;0</formula>
    </cfRule>
    <cfRule type="expression" dxfId="580" priority="2">
      <formula>H43&lt;0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4.710937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330</v>
      </c>
      <c r="B2" s="535">
        <v>42622</v>
      </c>
      <c r="C2" s="4">
        <v>20</v>
      </c>
      <c r="D2" s="3">
        <v>118.5</v>
      </c>
      <c r="E2" s="3">
        <v>0</v>
      </c>
      <c r="F2" s="3">
        <f>C2*D2+E2</f>
        <v>2370</v>
      </c>
      <c r="G2" s="535"/>
      <c r="H2" s="185"/>
      <c r="I2" s="3"/>
      <c r="J2" s="3"/>
      <c r="K2" s="3"/>
      <c r="L2" s="74"/>
      <c r="M2" s="3"/>
      <c r="O2" s="11" t="s">
        <v>57</v>
      </c>
      <c r="Q2">
        <f>C18-H18</f>
        <v>20</v>
      </c>
      <c r="T2" s="1">
        <v>42568</v>
      </c>
      <c r="U2" t="s">
        <v>273</v>
      </c>
      <c r="W2" s="133">
        <v>42676</v>
      </c>
      <c r="X2" s="10">
        <v>115.52</v>
      </c>
      <c r="Y2" s="10">
        <v>115.76</v>
      </c>
      <c r="Z2" s="10">
        <v>114.83</v>
      </c>
      <c r="AA2" s="10">
        <v>114.86</v>
      </c>
      <c r="AB2" s="95">
        <v>6495400</v>
      </c>
      <c r="AC2" s="10">
        <v>114.86</v>
      </c>
      <c r="AD2" s="2">
        <f>Y2-Z2</f>
        <v>0.93000000000000682</v>
      </c>
      <c r="AE2" s="138">
        <f>AC2/AC3-1</f>
        <v>-4.1616091555402024E-3</v>
      </c>
    </row>
    <row r="3" spans="1:31" x14ac:dyDescent="0.25">
      <c r="A3" s="23" t="s">
        <v>71</v>
      </c>
      <c r="B3" s="535"/>
      <c r="C3" s="4"/>
      <c r="D3" s="3"/>
      <c r="E3" s="3"/>
      <c r="F3" s="3"/>
      <c r="G3" s="535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118.5</v>
      </c>
      <c r="T3" s="1" t="s">
        <v>274</v>
      </c>
      <c r="W3" s="133">
        <v>42675</v>
      </c>
      <c r="X3" s="10">
        <v>114.76</v>
      </c>
      <c r="Y3" s="10">
        <v>115.94</v>
      </c>
      <c r="Z3" s="10">
        <v>114.63</v>
      </c>
      <c r="AA3" s="10">
        <v>115.34</v>
      </c>
      <c r="AB3" s="95">
        <v>7575300</v>
      </c>
      <c r="AC3" s="10">
        <v>115.34</v>
      </c>
      <c r="AD3" s="2">
        <f t="shared" ref="AD3:AD66" si="0">Y3-Z3</f>
        <v>1.3100000000000023</v>
      </c>
      <c r="AE3" s="138">
        <f t="shared" ref="AE3:AE66" si="1">AC3/AC4-1</f>
        <v>-5.6039313733942109E-3</v>
      </c>
    </row>
    <row r="4" spans="1:31" x14ac:dyDescent="0.25">
      <c r="B4" s="535"/>
      <c r="C4" s="4"/>
      <c r="D4" s="3"/>
      <c r="E4" s="3"/>
      <c r="F4" s="3"/>
      <c r="G4" s="535"/>
      <c r="H4" s="185"/>
      <c r="I4" s="3"/>
      <c r="J4" s="3"/>
      <c r="K4" s="3"/>
      <c r="L4" s="4"/>
      <c r="M4" s="4"/>
      <c r="O4" s="11" t="s">
        <v>66</v>
      </c>
      <c r="Q4" s="55">
        <v>114.86</v>
      </c>
      <c r="R4" s="527">
        <v>-4.1999999999999997E-3</v>
      </c>
      <c r="T4" s="163"/>
      <c r="U4" s="1"/>
      <c r="W4" s="133">
        <v>42674</v>
      </c>
      <c r="X4" s="10">
        <v>115.28</v>
      </c>
      <c r="Y4" s="10">
        <v>116.23</v>
      </c>
      <c r="Z4" s="10">
        <v>114.5</v>
      </c>
      <c r="AA4" s="10">
        <v>115.99</v>
      </c>
      <c r="AB4" s="95">
        <v>8552500</v>
      </c>
      <c r="AC4" s="10">
        <v>115.99</v>
      </c>
      <c r="AD4" s="2">
        <f t="shared" si="0"/>
        <v>1.730000000000004</v>
      </c>
      <c r="AE4" s="138">
        <f t="shared" si="1"/>
        <v>5.7227087488076478E-3</v>
      </c>
    </row>
    <row r="5" spans="1:31" x14ac:dyDescent="0.25">
      <c r="B5" s="535"/>
      <c r="C5" s="4"/>
      <c r="D5" s="3"/>
      <c r="E5" s="3"/>
      <c r="F5" s="3"/>
      <c r="G5" s="535"/>
      <c r="H5" s="185"/>
      <c r="I5" s="3"/>
      <c r="J5" s="3"/>
      <c r="K5" s="3"/>
      <c r="L5" s="4"/>
      <c r="M5" s="4"/>
      <c r="O5" s="11" t="s">
        <v>67</v>
      </c>
      <c r="Q5" s="3">
        <f>Q4*Q2</f>
        <v>2297.1999999999998</v>
      </c>
      <c r="W5" s="133">
        <v>42671</v>
      </c>
      <c r="X5" s="10">
        <v>115.82</v>
      </c>
      <c r="Y5" s="10">
        <v>115.91</v>
      </c>
      <c r="Z5" s="10">
        <v>114.57</v>
      </c>
      <c r="AA5" s="10">
        <v>115.33</v>
      </c>
      <c r="AB5" s="95">
        <v>8813300</v>
      </c>
      <c r="AC5" s="10">
        <v>115.33</v>
      </c>
      <c r="AD5" s="2">
        <f t="shared" si="0"/>
        <v>1.3400000000000034</v>
      </c>
      <c r="AE5" s="138">
        <f t="shared" si="1"/>
        <v>-3.1979256698357883E-3</v>
      </c>
    </row>
    <row r="6" spans="1:31" x14ac:dyDescent="0.25">
      <c r="B6" s="535"/>
      <c r="C6" s="4"/>
      <c r="D6" s="3"/>
      <c r="E6" s="3"/>
      <c r="F6" s="3"/>
      <c r="G6" s="535"/>
      <c r="H6" s="185"/>
      <c r="I6" s="3"/>
      <c r="J6" s="3"/>
      <c r="K6" s="3"/>
      <c r="L6" s="4"/>
      <c r="M6" s="4"/>
      <c r="O6" s="11" t="s">
        <v>64</v>
      </c>
      <c r="Q6" s="2">
        <f>Q3*Q2</f>
        <v>2370</v>
      </c>
      <c r="W6" s="133">
        <v>42670</v>
      </c>
      <c r="X6" s="10">
        <v>114.98</v>
      </c>
      <c r="Y6" s="10">
        <v>116.55</v>
      </c>
      <c r="Z6" s="10">
        <v>114.79</v>
      </c>
      <c r="AA6" s="10">
        <v>115.7</v>
      </c>
      <c r="AB6" s="95">
        <v>7548700</v>
      </c>
      <c r="AC6" s="10">
        <v>115.7</v>
      </c>
      <c r="AD6" s="2">
        <f t="shared" si="0"/>
        <v>1.7599999999999909</v>
      </c>
      <c r="AE6" s="138">
        <f t="shared" si="1"/>
        <v>9.951117318435676E-3</v>
      </c>
    </row>
    <row r="7" spans="1:31" x14ac:dyDescent="0.25">
      <c r="B7" s="535"/>
      <c r="C7" s="4"/>
      <c r="D7" s="3"/>
      <c r="E7" s="3"/>
      <c r="F7" s="3"/>
      <c r="G7" s="535"/>
      <c r="H7" s="185"/>
      <c r="I7" s="3"/>
      <c r="J7" s="3"/>
      <c r="K7" s="3"/>
      <c r="L7" s="4"/>
      <c r="M7" s="4"/>
      <c r="O7" s="11" t="s">
        <v>184</v>
      </c>
      <c r="Q7" s="2">
        <f>Q10+Q8</f>
        <v>-72.800000000000182</v>
      </c>
      <c r="R7">
        <v>20</v>
      </c>
      <c r="W7" s="133">
        <v>42669</v>
      </c>
      <c r="X7" s="10">
        <v>113.64</v>
      </c>
      <c r="Y7" s="10">
        <v>115.22</v>
      </c>
      <c r="Z7" s="10">
        <v>113.6</v>
      </c>
      <c r="AA7" s="10">
        <v>114.56</v>
      </c>
      <c r="AB7" s="95">
        <v>6429200</v>
      </c>
      <c r="AC7" s="10">
        <v>114.56</v>
      </c>
      <c r="AD7" s="2">
        <f t="shared" si="0"/>
        <v>1.6200000000000045</v>
      </c>
      <c r="AE7" s="138">
        <f t="shared" si="1"/>
        <v>5.2650052650053958E-3</v>
      </c>
    </row>
    <row r="8" spans="1:31" x14ac:dyDescent="0.25">
      <c r="B8" s="535"/>
      <c r="C8" s="4"/>
      <c r="D8" s="3"/>
      <c r="E8" s="3"/>
      <c r="F8" s="3"/>
      <c r="G8" s="535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-72.800000000000182</v>
      </c>
      <c r="W8" s="133">
        <v>42668</v>
      </c>
      <c r="X8" s="10">
        <v>113.64</v>
      </c>
      <c r="Y8" s="10">
        <v>114.16</v>
      </c>
      <c r="Z8" s="10">
        <v>113.09</v>
      </c>
      <c r="AA8" s="10">
        <v>113.96</v>
      </c>
      <c r="AB8" s="95">
        <v>5595000</v>
      </c>
      <c r="AC8" s="10">
        <v>113.96</v>
      </c>
      <c r="AD8" s="2">
        <f t="shared" si="0"/>
        <v>1.0699999999999932</v>
      </c>
      <c r="AE8" s="138">
        <f t="shared" si="1"/>
        <v>3.0807147258162804E-3</v>
      </c>
    </row>
    <row r="9" spans="1:31" x14ac:dyDescent="0.25">
      <c r="B9" s="535"/>
      <c r="C9" s="4"/>
      <c r="D9" s="3"/>
      <c r="E9" s="3"/>
      <c r="F9" s="3"/>
      <c r="G9" s="535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-3.0717299578059149E-2</v>
      </c>
      <c r="W9" s="133">
        <v>42667</v>
      </c>
      <c r="X9" s="10">
        <v>113.93</v>
      </c>
      <c r="Y9" s="10">
        <v>114.19</v>
      </c>
      <c r="Z9" s="10">
        <v>113.44</v>
      </c>
      <c r="AA9" s="10">
        <v>113.61</v>
      </c>
      <c r="AB9" s="95">
        <v>6141900</v>
      </c>
      <c r="AC9" s="10">
        <v>113.61</v>
      </c>
      <c r="AD9" s="2">
        <f t="shared" si="0"/>
        <v>0.75</v>
      </c>
      <c r="AE9" s="138">
        <f t="shared" si="1"/>
        <v>1.4985895627643853E-3</v>
      </c>
    </row>
    <row r="10" spans="1:31" x14ac:dyDescent="0.25">
      <c r="G10" s="30"/>
      <c r="H10" s="72"/>
      <c r="O10" s="11" t="s">
        <v>218</v>
      </c>
      <c r="P10" s="34"/>
      <c r="Q10" s="2">
        <v>0</v>
      </c>
      <c r="W10" s="133">
        <v>42664</v>
      </c>
      <c r="X10" s="10">
        <v>114.11</v>
      </c>
      <c r="Y10" s="10">
        <v>114.24</v>
      </c>
      <c r="Z10" s="10">
        <v>112.99</v>
      </c>
      <c r="AA10" s="10">
        <v>113.44</v>
      </c>
      <c r="AB10" s="95">
        <v>8422000</v>
      </c>
      <c r="AC10" s="10">
        <v>113.44</v>
      </c>
      <c r="AD10" s="2">
        <f t="shared" si="0"/>
        <v>1.25</v>
      </c>
      <c r="AE10" s="138">
        <f t="shared" si="1"/>
        <v>-1.2448855227648714E-2</v>
      </c>
    </row>
    <row r="11" spans="1:31" x14ac:dyDescent="0.25">
      <c r="G11" s="30"/>
      <c r="H11" s="72"/>
      <c r="O11" s="11" t="s">
        <v>181</v>
      </c>
      <c r="P11" s="34"/>
      <c r="Q11" s="138">
        <f>IF(U58="N/A (N/A)", 0, VALUE(TRIM(CLEAN(MID(U58, FIND("(", U58)+1, 5)))))</f>
        <v>2.7699999999999999E-2</v>
      </c>
      <c r="W11" s="133">
        <v>42663</v>
      </c>
      <c r="X11" s="10">
        <v>114.83</v>
      </c>
      <c r="Y11" s="10">
        <v>115.7</v>
      </c>
      <c r="Z11" s="10">
        <v>114.59</v>
      </c>
      <c r="AA11" s="10">
        <v>114.87</v>
      </c>
      <c r="AB11" s="95">
        <v>6973000</v>
      </c>
      <c r="AC11" s="10">
        <v>114.87</v>
      </c>
      <c r="AD11" s="2">
        <f t="shared" si="0"/>
        <v>1.1099999999999994</v>
      </c>
      <c r="AE11" s="138">
        <f t="shared" si="1"/>
        <v>2.4434941967013124E-3</v>
      </c>
    </row>
    <row r="12" spans="1:31" x14ac:dyDescent="0.25">
      <c r="G12" s="30"/>
      <c r="H12" s="72"/>
      <c r="W12" s="133">
        <v>42662</v>
      </c>
      <c r="X12" s="10">
        <v>115.57</v>
      </c>
      <c r="Y12" s="10">
        <v>115.89</v>
      </c>
      <c r="Z12" s="10">
        <v>114.46</v>
      </c>
      <c r="AA12" s="10">
        <v>114.59</v>
      </c>
      <c r="AB12" s="95">
        <v>7400900</v>
      </c>
      <c r="AC12" s="10">
        <v>114.59</v>
      </c>
      <c r="AD12" s="2">
        <f t="shared" si="0"/>
        <v>1.4300000000000068</v>
      </c>
      <c r="AE12" s="138">
        <f t="shared" si="1"/>
        <v>-7.105103543886937E-3</v>
      </c>
    </row>
    <row r="13" spans="1:31" x14ac:dyDescent="0.25">
      <c r="G13" s="30"/>
      <c r="H13" s="72"/>
      <c r="W13" s="133">
        <v>42661</v>
      </c>
      <c r="X13" s="10">
        <v>117.38</v>
      </c>
      <c r="Y13" s="10">
        <v>118.48</v>
      </c>
      <c r="Z13" s="10">
        <v>115.16</v>
      </c>
      <c r="AA13" s="10">
        <v>115.41</v>
      </c>
      <c r="AB13" s="95">
        <v>12598300</v>
      </c>
      <c r="AC13" s="10">
        <v>115.41</v>
      </c>
      <c r="AD13" s="2">
        <f t="shared" si="0"/>
        <v>3.3200000000000074</v>
      </c>
      <c r="AE13" s="138">
        <f t="shared" si="1"/>
        <v>-2.5993754747236086E-2</v>
      </c>
    </row>
    <row r="14" spans="1:31" x14ac:dyDescent="0.25">
      <c r="G14" s="30"/>
      <c r="H14" s="72"/>
      <c r="W14" s="133">
        <v>42660</v>
      </c>
      <c r="X14" s="10">
        <v>117.5</v>
      </c>
      <c r="Y14" s="10">
        <v>118.55</v>
      </c>
      <c r="Z14" s="10">
        <v>117.5</v>
      </c>
      <c r="AA14" s="10">
        <v>118.49</v>
      </c>
      <c r="AB14" s="95">
        <v>6956400</v>
      </c>
      <c r="AC14" s="10">
        <v>118.49</v>
      </c>
      <c r="AD14" s="2">
        <f t="shared" si="0"/>
        <v>1.0499999999999972</v>
      </c>
      <c r="AE14" s="138">
        <f t="shared" si="1"/>
        <v>7.9108540319836607E-3</v>
      </c>
    </row>
    <row r="15" spans="1:31" x14ac:dyDescent="0.25">
      <c r="G15" s="30"/>
      <c r="H15" s="72"/>
      <c r="W15" s="133">
        <v>42657</v>
      </c>
      <c r="X15" s="10">
        <v>118.5</v>
      </c>
      <c r="Y15" s="10">
        <v>118.8</v>
      </c>
      <c r="Z15" s="10">
        <v>117.56</v>
      </c>
      <c r="AA15" s="10">
        <v>117.56</v>
      </c>
      <c r="AB15" s="95">
        <v>5640500</v>
      </c>
      <c r="AC15" s="10">
        <v>117.56</v>
      </c>
      <c r="AD15" s="2">
        <f t="shared" si="0"/>
        <v>1.2399999999999949</v>
      </c>
      <c r="AE15" s="138">
        <f t="shared" si="1"/>
        <v>-5.919161170302778E-3</v>
      </c>
    </row>
    <row r="16" spans="1:31" x14ac:dyDescent="0.25">
      <c r="G16" s="30"/>
      <c r="H16" s="72"/>
      <c r="W16" s="133">
        <v>42656</v>
      </c>
      <c r="X16" s="10">
        <v>117.54</v>
      </c>
      <c r="Y16" s="10">
        <v>119.2</v>
      </c>
      <c r="Z16" s="10">
        <v>117.28</v>
      </c>
      <c r="AA16" s="10">
        <v>118.26</v>
      </c>
      <c r="AB16" s="95">
        <v>7387400</v>
      </c>
      <c r="AC16" s="10">
        <v>118.26</v>
      </c>
      <c r="AD16" s="2">
        <f t="shared" si="0"/>
        <v>1.9200000000000017</v>
      </c>
      <c r="AE16" s="138">
        <f t="shared" si="1"/>
        <v>2.4582520979909983E-3</v>
      </c>
    </row>
    <row r="17" spans="1:31" x14ac:dyDescent="0.25">
      <c r="G17" s="30"/>
      <c r="W17" s="133">
        <v>42655</v>
      </c>
      <c r="X17" s="10">
        <v>117.96</v>
      </c>
      <c r="Y17" s="10">
        <v>118.43</v>
      </c>
      <c r="Z17" s="10">
        <v>117.5</v>
      </c>
      <c r="AA17" s="10">
        <v>117.97</v>
      </c>
      <c r="AB17" s="95">
        <v>4685200</v>
      </c>
      <c r="AC17" s="10">
        <v>117.97</v>
      </c>
      <c r="AD17" s="2">
        <f t="shared" si="0"/>
        <v>0.93000000000000682</v>
      </c>
      <c r="AE17" s="138">
        <f t="shared" si="1"/>
        <v>2.8051683100986935E-3</v>
      </c>
    </row>
    <row r="18" spans="1:31" x14ac:dyDescent="0.25">
      <c r="A18" s="32" t="s">
        <v>81</v>
      </c>
      <c r="B18" s="537"/>
      <c r="C18" s="14">
        <f>SUM(C2:C6)</f>
        <v>20</v>
      </c>
      <c r="D18" s="18"/>
      <c r="E18" s="18"/>
      <c r="F18" s="18">
        <f>SUM(F2:F6)</f>
        <v>2370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42654</v>
      </c>
      <c r="X18" s="10">
        <v>119.41</v>
      </c>
      <c r="Y18" s="10">
        <v>119.63</v>
      </c>
      <c r="Z18" s="10">
        <v>117.06</v>
      </c>
      <c r="AA18" s="10">
        <v>117.64</v>
      </c>
      <c r="AB18" s="95">
        <v>6394200</v>
      </c>
      <c r="AC18" s="10">
        <v>117.64</v>
      </c>
      <c r="AD18" s="2">
        <f t="shared" si="0"/>
        <v>2.5699999999999932</v>
      </c>
      <c r="AE18" s="138">
        <f t="shared" si="1"/>
        <v>-1.8030050083472471E-2</v>
      </c>
    </row>
    <row r="19" spans="1:31" ht="15.75" thickBot="1" x14ac:dyDescent="0.3">
      <c r="A19" s="359" t="s">
        <v>201</v>
      </c>
      <c r="B19" s="538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42653</v>
      </c>
      <c r="X19" s="10">
        <v>119.51</v>
      </c>
      <c r="Y19" s="10">
        <v>120.2</v>
      </c>
      <c r="Z19" s="10">
        <v>119.35</v>
      </c>
      <c r="AA19" s="10">
        <v>119.8</v>
      </c>
      <c r="AB19" s="95">
        <v>3657000</v>
      </c>
      <c r="AC19" s="10">
        <v>119.8</v>
      </c>
      <c r="AD19" s="2">
        <f t="shared" si="0"/>
        <v>0.85000000000000853</v>
      </c>
      <c r="AE19" s="138">
        <f t="shared" si="1"/>
        <v>4.6964106004696582E-3</v>
      </c>
    </row>
    <row r="20" spans="1:31" x14ac:dyDescent="0.25">
      <c r="W20" s="133">
        <v>42650</v>
      </c>
      <c r="X20" s="10">
        <v>119.17</v>
      </c>
      <c r="Y20" s="10">
        <v>119.57</v>
      </c>
      <c r="Z20" s="10">
        <v>118.69</v>
      </c>
      <c r="AA20" s="10">
        <v>119.24</v>
      </c>
      <c r="AB20" s="95">
        <v>4799300</v>
      </c>
      <c r="AC20" s="10">
        <v>119.24</v>
      </c>
      <c r="AD20" s="2">
        <f t="shared" si="0"/>
        <v>0.87999999999999545</v>
      </c>
      <c r="AE20" s="138">
        <f t="shared" si="1"/>
        <v>4.1263157894735336E-3</v>
      </c>
    </row>
    <row r="21" spans="1:31" x14ac:dyDescent="0.25">
      <c r="W21" s="133">
        <v>42649</v>
      </c>
      <c r="X21" s="10">
        <v>118.5</v>
      </c>
      <c r="Y21" s="10">
        <v>118.85</v>
      </c>
      <c r="Z21" s="10">
        <v>117.92</v>
      </c>
      <c r="AA21" s="10">
        <v>118.75</v>
      </c>
      <c r="AB21" s="95">
        <v>4448500</v>
      </c>
      <c r="AC21" s="10">
        <v>118.75</v>
      </c>
      <c r="AD21" s="2">
        <f t="shared" si="0"/>
        <v>0.92999999999999261</v>
      </c>
      <c r="AE21" s="138">
        <f t="shared" si="1"/>
        <v>-3.6079879174358842E-3</v>
      </c>
    </row>
    <row r="22" spans="1:31" x14ac:dyDescent="0.25">
      <c r="W22" s="133">
        <v>42648</v>
      </c>
      <c r="X22" s="10">
        <v>119.22</v>
      </c>
      <c r="Y22" s="10">
        <v>119.44</v>
      </c>
      <c r="Z22" s="10">
        <v>118.6</v>
      </c>
      <c r="AA22" s="10">
        <v>119.18</v>
      </c>
      <c r="AB22" s="95">
        <v>5778700</v>
      </c>
      <c r="AC22" s="10">
        <v>119.18</v>
      </c>
      <c r="AD22" s="2">
        <f t="shared" si="0"/>
        <v>0.84000000000000341</v>
      </c>
      <c r="AE22" s="138">
        <f t="shared" si="1"/>
        <v>3.0297929641476262E-3</v>
      </c>
    </row>
    <row r="23" spans="1:31" x14ac:dyDescent="0.25">
      <c r="W23" s="133">
        <v>42647</v>
      </c>
      <c r="X23" s="10">
        <v>118.84</v>
      </c>
      <c r="Y23" s="10">
        <v>119.48</v>
      </c>
      <c r="Z23" s="10">
        <v>118.28</v>
      </c>
      <c r="AA23" s="10">
        <v>118.82</v>
      </c>
      <c r="AB23" s="95">
        <v>5733900</v>
      </c>
      <c r="AC23" s="10">
        <v>118.82</v>
      </c>
      <c r="AD23" s="2">
        <f t="shared" si="0"/>
        <v>1.2000000000000028</v>
      </c>
      <c r="AE23" s="138">
        <f t="shared" si="1"/>
        <v>8.4167999326645315E-5</v>
      </c>
    </row>
    <row r="24" spans="1:31" x14ac:dyDescent="0.25">
      <c r="B24" s="539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42646</v>
      </c>
      <c r="X24" s="10">
        <v>118</v>
      </c>
      <c r="Y24" s="10">
        <v>119.01</v>
      </c>
      <c r="Z24" s="10">
        <v>117.43</v>
      </c>
      <c r="AA24" s="10">
        <v>118.81</v>
      </c>
      <c r="AB24" s="95">
        <v>6098600</v>
      </c>
      <c r="AC24" s="10">
        <v>118.81</v>
      </c>
      <c r="AD24" s="2">
        <f t="shared" si="0"/>
        <v>1.5799999999999983</v>
      </c>
      <c r="AE24" s="138">
        <f t="shared" si="1"/>
        <v>5.7563701007365964E-3</v>
      </c>
    </row>
    <row r="25" spans="1:31" x14ac:dyDescent="0.25">
      <c r="B25" s="157">
        <v>42622</v>
      </c>
      <c r="C25" s="237">
        <v>20</v>
      </c>
      <c r="D25" s="238">
        <v>118.5</v>
      </c>
      <c r="E25" s="40">
        <v>118.23</v>
      </c>
      <c r="F25" s="40">
        <f t="shared" ref="F25" si="3">C25*(E25-D25)</f>
        <v>-5.3999999999999204</v>
      </c>
      <c r="G25" s="40">
        <f t="shared" ref="G25" si="4">D25*C25</f>
        <v>2370</v>
      </c>
      <c r="H25" s="231">
        <f t="shared" ref="H25" si="5">(E25-D25)/D25</f>
        <v>-2.2784810126581941E-3</v>
      </c>
      <c r="I25" s="40"/>
      <c r="W25" s="133">
        <v>42643</v>
      </c>
      <c r="X25" s="10">
        <v>117.78</v>
      </c>
      <c r="Y25" s="10">
        <v>118.62</v>
      </c>
      <c r="Z25" s="10">
        <v>117.39</v>
      </c>
      <c r="AA25" s="10">
        <v>118.13</v>
      </c>
      <c r="AB25" s="95">
        <v>7941100</v>
      </c>
      <c r="AC25" s="10">
        <v>118.13</v>
      </c>
      <c r="AD25" s="2">
        <f t="shared" si="0"/>
        <v>1.230000000000004</v>
      </c>
      <c r="AE25" s="138">
        <f t="shared" si="1"/>
        <v>7.3335038799351437E-3</v>
      </c>
    </row>
    <row r="26" spans="1:31" x14ac:dyDescent="0.25">
      <c r="B26" s="157">
        <v>42627</v>
      </c>
      <c r="C26" s="10">
        <v>20</v>
      </c>
      <c r="D26" s="40">
        <v>118.5</v>
      </c>
      <c r="E26" s="40">
        <v>117.86</v>
      </c>
      <c r="F26" s="40">
        <f t="shared" ref="F26" si="6">C26*(E26-D26)</f>
        <v>-12.800000000000011</v>
      </c>
      <c r="G26" s="40">
        <f t="shared" ref="G26" si="7">D26*C26</f>
        <v>2370</v>
      </c>
      <c r="H26" s="231">
        <f t="shared" ref="H26" si="8">(E26-D26)/D26</f>
        <v>-5.400843881856545E-3</v>
      </c>
      <c r="I26" s="40"/>
      <c r="W26" s="133">
        <v>42642</v>
      </c>
      <c r="X26" s="10">
        <v>118.88</v>
      </c>
      <c r="Y26" s="10">
        <v>119.27</v>
      </c>
      <c r="Z26" s="10">
        <v>117.04</v>
      </c>
      <c r="AA26" s="10">
        <v>117.27</v>
      </c>
      <c r="AB26" s="95">
        <v>6190200</v>
      </c>
      <c r="AC26" s="10">
        <v>117.27</v>
      </c>
      <c r="AD26" s="2">
        <f t="shared" si="0"/>
        <v>2.2299999999999898</v>
      </c>
      <c r="AE26" s="138">
        <f t="shared" si="1"/>
        <v>-1.7756931066253534E-2</v>
      </c>
    </row>
    <row r="27" spans="1:31" x14ac:dyDescent="0.25">
      <c r="B27" s="157">
        <v>42634</v>
      </c>
      <c r="C27" s="10">
        <v>20</v>
      </c>
      <c r="D27" s="40">
        <v>118.5</v>
      </c>
      <c r="E27" s="40">
        <v>118.91</v>
      </c>
      <c r="F27" s="40">
        <f t="shared" ref="F27" si="9">C27*(E27-D27)</f>
        <v>8.1999999999999318</v>
      </c>
      <c r="G27" s="40">
        <f t="shared" ref="G27" si="10">D27*C27</f>
        <v>2370</v>
      </c>
      <c r="H27" s="231">
        <f t="shared" ref="H27" si="11">(E27-D27)/D27</f>
        <v>3.4599156118143171E-3</v>
      </c>
      <c r="I27" s="40"/>
      <c r="W27" s="133">
        <v>42641</v>
      </c>
      <c r="X27" s="10">
        <v>119.05</v>
      </c>
      <c r="Y27" s="10">
        <v>119.52</v>
      </c>
      <c r="Z27" s="10">
        <v>118.81</v>
      </c>
      <c r="AA27" s="10">
        <v>119.39</v>
      </c>
      <c r="AB27" s="95">
        <v>5076100</v>
      </c>
      <c r="AC27" s="10">
        <v>119.39</v>
      </c>
      <c r="AD27" s="2">
        <f t="shared" si="0"/>
        <v>0.70999999999999375</v>
      </c>
      <c r="AE27" s="138">
        <f t="shared" si="1"/>
        <v>1.4259352457641761E-3</v>
      </c>
    </row>
    <row r="28" spans="1:31" x14ac:dyDescent="0.25">
      <c r="B28" s="157">
        <v>42651</v>
      </c>
      <c r="C28" s="10">
        <v>20</v>
      </c>
      <c r="D28" s="40">
        <v>118.5</v>
      </c>
      <c r="E28" s="40">
        <v>119.24</v>
      </c>
      <c r="F28" s="40">
        <f t="shared" ref="F28" si="12">C28*(E28-D28)</f>
        <v>14.799999999999898</v>
      </c>
      <c r="G28" s="40">
        <f t="shared" ref="G28" si="13">D28*C28</f>
        <v>2370</v>
      </c>
      <c r="H28" s="231">
        <f t="shared" ref="H28" si="14">(E28-D28)/D28</f>
        <v>6.2447257383965813E-3</v>
      </c>
      <c r="I28" s="40"/>
      <c r="W28" s="133">
        <v>42640</v>
      </c>
      <c r="X28" s="10">
        <v>118.39</v>
      </c>
      <c r="Y28" s="10">
        <v>119.22</v>
      </c>
      <c r="Z28" s="10">
        <v>117.72</v>
      </c>
      <c r="AA28" s="10">
        <v>119.22</v>
      </c>
      <c r="AB28" s="95">
        <v>5349500</v>
      </c>
      <c r="AC28" s="10">
        <v>119.22</v>
      </c>
      <c r="AD28" s="2">
        <f t="shared" si="0"/>
        <v>1.5</v>
      </c>
      <c r="AE28" s="138">
        <f t="shared" si="1"/>
        <v>1.2226184411614938E-2</v>
      </c>
    </row>
    <row r="29" spans="1:31" x14ac:dyDescent="0.25">
      <c r="B29" s="157">
        <v>42664</v>
      </c>
      <c r="C29" s="10">
        <v>20</v>
      </c>
      <c r="D29" s="40">
        <v>118.5</v>
      </c>
      <c r="E29" s="40">
        <v>113.44</v>
      </c>
      <c r="F29" s="40">
        <f t="shared" ref="F29" si="15">C29*(E29-D29)</f>
        <v>-101.20000000000005</v>
      </c>
      <c r="G29" s="40">
        <f t="shared" ref="G29" si="16">D29*C29</f>
        <v>2370</v>
      </c>
      <c r="H29" s="231">
        <f t="shared" ref="H29" si="17">(E29-D29)/D29</f>
        <v>-4.2700421940928289E-2</v>
      </c>
      <c r="I29" s="40"/>
      <c r="W29" s="133">
        <v>42639</v>
      </c>
      <c r="X29" s="10">
        <v>118.63</v>
      </c>
      <c r="Y29" s="10">
        <v>118.64</v>
      </c>
      <c r="Z29" s="10">
        <v>117.56</v>
      </c>
      <c r="AA29" s="10">
        <v>117.78</v>
      </c>
      <c r="AB29" s="95">
        <v>5998900</v>
      </c>
      <c r="AC29" s="10">
        <v>117.78</v>
      </c>
      <c r="AD29" s="2">
        <f t="shared" si="0"/>
        <v>1.0799999999999983</v>
      </c>
      <c r="AE29" s="138">
        <f t="shared" si="1"/>
        <v>-8.6693039306455777E-3</v>
      </c>
    </row>
    <row r="30" spans="1:31" x14ac:dyDescent="0.25">
      <c r="B30" s="157">
        <v>42674</v>
      </c>
      <c r="C30" s="10">
        <v>20</v>
      </c>
      <c r="D30" s="40">
        <v>118.5</v>
      </c>
      <c r="E30" s="40">
        <v>115.99</v>
      </c>
      <c r="F30" s="40">
        <f t="shared" ref="F30" si="18">C30*(E30-D30)</f>
        <v>-50.200000000000102</v>
      </c>
      <c r="G30" s="40">
        <f t="shared" ref="G30" si="19">D30*C30</f>
        <v>2370</v>
      </c>
      <c r="H30" s="231">
        <f t="shared" ref="H30" si="20">(E30-D30)/D30</f>
        <v>-2.1181434599156161E-2</v>
      </c>
      <c r="I30" s="40"/>
      <c r="W30" s="133">
        <v>42636</v>
      </c>
      <c r="X30" s="10">
        <v>119.41</v>
      </c>
      <c r="Y30" s="10">
        <v>119.6</v>
      </c>
      <c r="Z30" s="10">
        <v>118.71</v>
      </c>
      <c r="AA30" s="10">
        <v>118.81</v>
      </c>
      <c r="AB30" s="95">
        <v>4773000</v>
      </c>
      <c r="AC30" s="10">
        <v>118.81</v>
      </c>
      <c r="AD30" s="2">
        <f t="shared" si="0"/>
        <v>0.89000000000000057</v>
      </c>
      <c r="AE30" s="138">
        <f t="shared" si="1"/>
        <v>-5.4411518499916101E-3</v>
      </c>
    </row>
    <row r="31" spans="1:31" x14ac:dyDescent="0.25">
      <c r="B31" s="157"/>
      <c r="C31" s="10"/>
      <c r="D31" s="40"/>
      <c r="E31" s="40"/>
      <c r="F31" s="40"/>
      <c r="G31" s="40"/>
      <c r="H31" s="231"/>
      <c r="I31" s="40"/>
      <c r="W31" s="133">
        <v>42635</v>
      </c>
      <c r="X31" s="10">
        <v>119.25</v>
      </c>
      <c r="Y31" s="10">
        <v>119.84</v>
      </c>
      <c r="Z31" s="10">
        <v>119.14</v>
      </c>
      <c r="AA31" s="10">
        <v>119.46</v>
      </c>
      <c r="AB31" s="95">
        <v>5340500</v>
      </c>
      <c r="AC31" s="10">
        <v>119.46</v>
      </c>
      <c r="AD31" s="2">
        <f t="shared" si="0"/>
        <v>0.70000000000000284</v>
      </c>
      <c r="AE31" s="138">
        <f t="shared" si="1"/>
        <v>4.6253469010175685E-3</v>
      </c>
    </row>
    <row r="32" spans="1:31" x14ac:dyDescent="0.25">
      <c r="B32" s="157"/>
      <c r="C32" s="10"/>
      <c r="D32" s="40"/>
      <c r="E32" s="40"/>
      <c r="F32" s="40"/>
      <c r="G32" s="40"/>
      <c r="H32" s="231"/>
      <c r="I32" s="40"/>
      <c r="W32" s="133">
        <v>42634</v>
      </c>
      <c r="X32" s="10">
        <v>117.95</v>
      </c>
      <c r="Y32" s="10">
        <v>119</v>
      </c>
      <c r="Z32" s="10">
        <v>117.64</v>
      </c>
      <c r="AA32" s="10">
        <v>118.91</v>
      </c>
      <c r="AB32" s="95">
        <v>6337300</v>
      </c>
      <c r="AC32" s="10">
        <v>118.91</v>
      </c>
      <c r="AD32" s="2">
        <f t="shared" si="0"/>
        <v>1.3599999999999994</v>
      </c>
      <c r="AE32" s="138">
        <f t="shared" si="1"/>
        <v>8.1390419669351566E-3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42633</v>
      </c>
      <c r="X33" s="10">
        <v>118.17</v>
      </c>
      <c r="Y33" s="10">
        <v>118.24</v>
      </c>
      <c r="Z33" s="10">
        <v>117.69</v>
      </c>
      <c r="AA33" s="10">
        <v>117.95</v>
      </c>
      <c r="AB33" s="95">
        <v>5187700</v>
      </c>
      <c r="AC33" s="10">
        <v>117.95</v>
      </c>
      <c r="AD33" s="2">
        <f t="shared" si="0"/>
        <v>0.54999999999999716</v>
      </c>
      <c r="AE33" s="138">
        <f t="shared" si="1"/>
        <v>2.4647288798231859E-3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42632</v>
      </c>
      <c r="X34" s="10">
        <v>118.36</v>
      </c>
      <c r="Y34" s="10">
        <v>118.66</v>
      </c>
      <c r="Z34" s="10">
        <v>117.64</v>
      </c>
      <c r="AA34" s="10">
        <v>117.66</v>
      </c>
      <c r="AB34" s="95">
        <v>5457600</v>
      </c>
      <c r="AC34" s="10">
        <v>117.66</v>
      </c>
      <c r="AD34" s="2">
        <f t="shared" si="0"/>
        <v>1.019999999999996</v>
      </c>
      <c r="AE34" s="138">
        <f t="shared" si="1"/>
        <v>-4.9894291754757347E-3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42629</v>
      </c>
      <c r="X35" s="10">
        <v>118.51</v>
      </c>
      <c r="Y35" s="10">
        <v>119.14</v>
      </c>
      <c r="Z35" s="10">
        <v>118.12</v>
      </c>
      <c r="AA35" s="10">
        <v>118.25</v>
      </c>
      <c r="AB35" s="95">
        <v>12408800</v>
      </c>
      <c r="AC35" s="10">
        <v>118.25</v>
      </c>
      <c r="AD35" s="2">
        <f t="shared" si="0"/>
        <v>1.019999999999996</v>
      </c>
      <c r="AE35" s="138">
        <f t="shared" si="1"/>
        <v>-3.2032369552389417E-3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42628</v>
      </c>
      <c r="X36" s="10">
        <v>117.81</v>
      </c>
      <c r="Y36" s="10">
        <v>118.94</v>
      </c>
      <c r="Z36" s="10">
        <v>117.32</v>
      </c>
      <c r="AA36" s="10">
        <v>118.63</v>
      </c>
      <c r="AB36" s="95">
        <v>5812100</v>
      </c>
      <c r="AC36" s="10">
        <v>118.63</v>
      </c>
      <c r="AD36" s="2">
        <f t="shared" si="0"/>
        <v>1.6200000000000045</v>
      </c>
      <c r="AE36" s="138">
        <f t="shared" si="1"/>
        <v>6.5331749533343864E-3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42627</v>
      </c>
      <c r="X37" s="10">
        <v>117.85</v>
      </c>
      <c r="Y37" s="10">
        <v>118.33</v>
      </c>
      <c r="Z37" s="10">
        <v>117.46</v>
      </c>
      <c r="AA37" s="10">
        <v>117.86</v>
      </c>
      <c r="AB37" s="95">
        <v>6124900</v>
      </c>
      <c r="AC37" s="10">
        <v>117.86</v>
      </c>
      <c r="AD37" s="2">
        <f t="shared" si="0"/>
        <v>0.87000000000000455</v>
      </c>
      <c r="AE37" s="138">
        <f t="shared" si="1"/>
        <v>2.1256695859195318E-3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42626</v>
      </c>
      <c r="X38" s="10">
        <v>118.42</v>
      </c>
      <c r="Y38" s="10">
        <v>118.83</v>
      </c>
      <c r="Z38" s="10">
        <v>117.49</v>
      </c>
      <c r="AA38" s="10">
        <v>117.61</v>
      </c>
      <c r="AB38" s="95">
        <v>7957900</v>
      </c>
      <c r="AC38" s="10">
        <v>117.61</v>
      </c>
      <c r="AD38" s="2">
        <f t="shared" si="0"/>
        <v>1.3400000000000034</v>
      </c>
      <c r="AE38" s="138">
        <f t="shared" si="1"/>
        <v>-1.300772071164813E-2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42625</v>
      </c>
      <c r="X39" s="10">
        <v>117.76</v>
      </c>
      <c r="Y39" s="10">
        <v>119.45</v>
      </c>
      <c r="Z39" s="10">
        <v>117.38</v>
      </c>
      <c r="AA39" s="10">
        <v>119.16</v>
      </c>
      <c r="AB39" s="95">
        <v>7239800</v>
      </c>
      <c r="AC39" s="10">
        <v>119.16</v>
      </c>
      <c r="AD39" s="2">
        <f t="shared" si="0"/>
        <v>2.0700000000000074</v>
      </c>
      <c r="AE39" s="138">
        <f t="shared" si="1"/>
        <v>7.86602385181423E-3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588" t="s">
        <v>78</v>
      </c>
      <c r="P40" s="588"/>
      <c r="W40" s="133">
        <v>42622</v>
      </c>
      <c r="X40" s="10">
        <v>119.03</v>
      </c>
      <c r="Y40" s="10">
        <v>119.16</v>
      </c>
      <c r="Z40" s="10">
        <v>118.18</v>
      </c>
      <c r="AA40" s="10">
        <v>118.23</v>
      </c>
      <c r="AB40" s="95">
        <v>7957300</v>
      </c>
      <c r="AC40" s="10">
        <v>118.23</v>
      </c>
      <c r="AD40" s="2">
        <f t="shared" si="0"/>
        <v>0.97999999999998977</v>
      </c>
      <c r="AE40" s="138">
        <f t="shared" si="1"/>
        <v>-1.037917468820615E-2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126.346</v>
      </c>
      <c r="Q41" s="2"/>
      <c r="W41" s="133">
        <v>42621</v>
      </c>
      <c r="X41" s="10">
        <v>119.37</v>
      </c>
      <c r="Y41" s="10">
        <v>119.82</v>
      </c>
      <c r="Z41" s="10">
        <v>119.14</v>
      </c>
      <c r="AA41" s="10">
        <v>119.47</v>
      </c>
      <c r="AB41" s="95">
        <v>4833000</v>
      </c>
      <c r="AC41" s="10">
        <v>119.47</v>
      </c>
      <c r="AD41" s="2">
        <f t="shared" si="0"/>
        <v>0.67999999999999261</v>
      </c>
      <c r="AE41" s="138">
        <f t="shared" si="1"/>
        <v>-1.1704706964300593E-3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1">O42*$Q$4</f>
        <v>125.1974</v>
      </c>
      <c r="Q42" s="2"/>
      <c r="T42" s="91" t="s">
        <v>113</v>
      </c>
      <c r="W42" s="133">
        <v>42620</v>
      </c>
      <c r="X42" s="10">
        <v>119.84</v>
      </c>
      <c r="Y42" s="10">
        <v>119.95</v>
      </c>
      <c r="Z42" s="10">
        <v>119.44</v>
      </c>
      <c r="AA42" s="10">
        <v>119.61</v>
      </c>
      <c r="AB42" s="95">
        <v>4753800</v>
      </c>
      <c r="AC42" s="10">
        <v>119.61</v>
      </c>
      <c r="AD42" s="2">
        <f t="shared" si="0"/>
        <v>0.51000000000000512</v>
      </c>
      <c r="AE42" s="138">
        <f t="shared" si="1"/>
        <v>-1.1691022964509523E-3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1"/>
        <v>124.04880000000001</v>
      </c>
      <c r="Q43" s="2"/>
      <c r="T43" s="128" t="s">
        <v>98</v>
      </c>
      <c r="U43" s="129">
        <v>115.34</v>
      </c>
      <c r="W43" s="133">
        <v>42619</v>
      </c>
      <c r="X43" s="10">
        <v>119.78</v>
      </c>
      <c r="Y43" s="10">
        <v>119.97</v>
      </c>
      <c r="Z43" s="10">
        <v>119.36</v>
      </c>
      <c r="AA43" s="10">
        <v>119.75</v>
      </c>
      <c r="AB43" s="95">
        <v>5280700</v>
      </c>
      <c r="AC43" s="10">
        <v>119.75</v>
      </c>
      <c r="AD43" s="2">
        <f t="shared" si="0"/>
        <v>0.60999999999999943</v>
      </c>
      <c r="AE43" s="138">
        <f t="shared" si="1"/>
        <v>3.6037546094536133E-3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1"/>
        <v>122.90020000000001</v>
      </c>
      <c r="Q44" s="2"/>
      <c r="T44" s="93" t="s">
        <v>99</v>
      </c>
      <c r="U44" s="130">
        <v>115.52</v>
      </c>
      <c r="W44" s="133">
        <v>42615</v>
      </c>
      <c r="X44" s="10">
        <v>119.36</v>
      </c>
      <c r="Y44" s="10">
        <v>119.81</v>
      </c>
      <c r="Z44" s="10">
        <v>118.9</v>
      </c>
      <c r="AA44" s="10">
        <v>119.32</v>
      </c>
      <c r="AB44" s="95">
        <v>5806400</v>
      </c>
      <c r="AC44" s="10">
        <v>119.32</v>
      </c>
      <c r="AD44" s="2">
        <f t="shared" si="0"/>
        <v>0.90999999999999659</v>
      </c>
      <c r="AE44" s="138">
        <f t="shared" si="1"/>
        <v>2.0154517971111563E-3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1"/>
        <v>121.75160000000001</v>
      </c>
      <c r="Q45" s="2"/>
      <c r="T45" s="93" t="s">
        <v>100</v>
      </c>
      <c r="U45" s="130" t="s">
        <v>632</v>
      </c>
      <c r="W45" s="133">
        <v>42614</v>
      </c>
      <c r="X45" s="10">
        <v>119.19</v>
      </c>
      <c r="Y45" s="10">
        <v>119.39</v>
      </c>
      <c r="Z45" s="10">
        <v>118.6</v>
      </c>
      <c r="AA45" s="10">
        <v>119.08</v>
      </c>
      <c r="AB45" s="95">
        <v>4551800</v>
      </c>
      <c r="AC45" s="10">
        <v>119.08</v>
      </c>
      <c r="AD45" s="2">
        <f t="shared" si="0"/>
        <v>0.79000000000000625</v>
      </c>
      <c r="AE45" s="138">
        <f t="shared" si="1"/>
        <v>-2.1786492374727962E-3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1"/>
        <v>120.60300000000001</v>
      </c>
      <c r="Q46" s="2"/>
      <c r="T46" s="93" t="s">
        <v>101</v>
      </c>
      <c r="U46" s="130" t="s">
        <v>633</v>
      </c>
      <c r="W46" s="133">
        <v>42613</v>
      </c>
      <c r="X46" s="10">
        <v>119.54</v>
      </c>
      <c r="Y46" s="10">
        <v>119.62</v>
      </c>
      <c r="Z46" s="10">
        <v>119.01</v>
      </c>
      <c r="AA46" s="10">
        <v>119.34</v>
      </c>
      <c r="AB46" s="95">
        <v>5693100</v>
      </c>
      <c r="AC46" s="10">
        <v>119.34</v>
      </c>
      <c r="AD46" s="2">
        <f t="shared" si="0"/>
        <v>0.60999999999999943</v>
      </c>
      <c r="AE46" s="138">
        <f t="shared" si="1"/>
        <v>-1.0881392818280489E-3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21"/>
        <v>119.45440000000001</v>
      </c>
      <c r="Q47" s="2"/>
      <c r="T47" s="93" t="s">
        <v>102</v>
      </c>
      <c r="U47" s="130">
        <v>126.32</v>
      </c>
      <c r="W47" s="133">
        <v>42612</v>
      </c>
      <c r="X47" s="10">
        <v>120.67</v>
      </c>
      <c r="Y47" s="10">
        <v>120.67</v>
      </c>
      <c r="Z47" s="10">
        <v>119.26</v>
      </c>
      <c r="AA47" s="10">
        <v>119.47</v>
      </c>
      <c r="AB47" s="95">
        <v>3820500</v>
      </c>
      <c r="AC47" s="10">
        <v>119.47</v>
      </c>
      <c r="AD47" s="2">
        <f t="shared" si="0"/>
        <v>1.4099999999999966</v>
      </c>
      <c r="AE47" s="138">
        <f t="shared" si="1"/>
        <v>-3.7525016677785183E-3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21"/>
        <v>118.3058</v>
      </c>
      <c r="Q48" s="2"/>
      <c r="T48" s="93" t="s">
        <v>103</v>
      </c>
      <c r="U48" s="130">
        <v>0.720553</v>
      </c>
      <c r="W48" s="133">
        <v>42611</v>
      </c>
      <c r="X48" s="10">
        <v>119.3</v>
      </c>
      <c r="Y48" s="10">
        <v>120.13</v>
      </c>
      <c r="Z48" s="10">
        <v>119.06</v>
      </c>
      <c r="AA48" s="10">
        <v>119.92</v>
      </c>
      <c r="AB48" s="95">
        <v>5074900</v>
      </c>
      <c r="AC48" s="10">
        <v>119.92</v>
      </c>
      <c r="AD48" s="2">
        <f t="shared" si="0"/>
        <v>1.0699999999999932</v>
      </c>
      <c r="AE48" s="138">
        <f t="shared" si="1"/>
        <v>7.3924731182795078E-3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21"/>
        <v>117.1572</v>
      </c>
      <c r="Q49" s="2"/>
      <c r="T49" s="93" t="s">
        <v>104</v>
      </c>
      <c r="U49" s="130" t="s">
        <v>410</v>
      </c>
      <c r="W49" s="133">
        <v>42608</v>
      </c>
      <c r="X49" s="10">
        <v>118.84</v>
      </c>
      <c r="Y49" s="10">
        <v>119.74</v>
      </c>
      <c r="Z49" s="10">
        <v>118.56</v>
      </c>
      <c r="AA49" s="10">
        <v>119.04</v>
      </c>
      <c r="AB49" s="95">
        <v>6482700</v>
      </c>
      <c r="AC49" s="10">
        <v>119.04</v>
      </c>
      <c r="AD49" s="2">
        <f t="shared" si="0"/>
        <v>1.1799999999999926</v>
      </c>
      <c r="AE49" s="138">
        <f t="shared" si="1"/>
        <v>3.9639031795564161E-3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21"/>
        <v>116.0086</v>
      </c>
      <c r="Q50" s="2"/>
      <c r="T50" s="93"/>
      <c r="U50" s="130"/>
      <c r="W50" s="133">
        <v>42607</v>
      </c>
      <c r="X50" s="10">
        <v>118.86</v>
      </c>
      <c r="Y50" s="10">
        <v>119.21</v>
      </c>
      <c r="Z50" s="10">
        <v>118.33</v>
      </c>
      <c r="AA50" s="10">
        <v>118.57</v>
      </c>
      <c r="AB50" s="95">
        <v>5566000</v>
      </c>
      <c r="AC50" s="10">
        <v>118.57</v>
      </c>
      <c r="AD50" s="2">
        <f t="shared" si="0"/>
        <v>0.87999999999999545</v>
      </c>
      <c r="AE50" s="138">
        <f t="shared" si="1"/>
        <v>-1.1793446213461678E-3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21"/>
        <v>114.86</v>
      </c>
      <c r="Q51" s="2"/>
      <c r="T51" s="93" t="s">
        <v>105</v>
      </c>
      <c r="U51" s="130" t="s">
        <v>634</v>
      </c>
      <c r="W51" s="133">
        <v>42606</v>
      </c>
      <c r="X51" s="10">
        <v>119.48</v>
      </c>
      <c r="Y51" s="10">
        <v>119.61</v>
      </c>
      <c r="Z51" s="10">
        <v>118.62</v>
      </c>
      <c r="AA51" s="10">
        <v>118.71</v>
      </c>
      <c r="AB51" s="95">
        <v>6303900</v>
      </c>
      <c r="AC51" s="10">
        <v>118.71</v>
      </c>
      <c r="AD51" s="2">
        <f t="shared" si="0"/>
        <v>0.98999999999999488</v>
      </c>
      <c r="AE51" s="138">
        <f t="shared" si="1"/>
        <v>-6.111855324849369E-3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21"/>
        <v>113.7114</v>
      </c>
      <c r="Q52" s="2"/>
      <c r="T52" s="93" t="s">
        <v>106</v>
      </c>
      <c r="U52" s="130" t="s">
        <v>389</v>
      </c>
      <c r="W52" s="133">
        <v>42605</v>
      </c>
      <c r="X52" s="10">
        <v>119.67</v>
      </c>
      <c r="Y52" s="10">
        <v>119.96</v>
      </c>
      <c r="Z52" s="10">
        <v>119.02</v>
      </c>
      <c r="AA52" s="10">
        <v>119.44</v>
      </c>
      <c r="AB52" s="95">
        <v>5603200</v>
      </c>
      <c r="AC52" s="10">
        <v>119.44</v>
      </c>
      <c r="AD52" s="2">
        <f t="shared" si="0"/>
        <v>0.93999999999999773</v>
      </c>
      <c r="AE52" s="138">
        <f t="shared" si="1"/>
        <v>2.6021992780995706E-3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21"/>
        <v>112.5628</v>
      </c>
      <c r="Q53" s="2"/>
      <c r="T53" s="93" t="s">
        <v>107</v>
      </c>
      <c r="U53" s="131">
        <v>6591318</v>
      </c>
      <c r="W53" s="133">
        <v>42604</v>
      </c>
      <c r="X53" s="10">
        <v>119.9</v>
      </c>
      <c r="Y53" s="10">
        <v>119.9</v>
      </c>
      <c r="Z53" s="10">
        <v>118.95</v>
      </c>
      <c r="AA53" s="10">
        <v>119.13</v>
      </c>
      <c r="AB53" s="95">
        <v>6544900</v>
      </c>
      <c r="AC53" s="10">
        <v>119.13</v>
      </c>
      <c r="AD53" s="2">
        <f t="shared" si="0"/>
        <v>0.95000000000000284</v>
      </c>
      <c r="AE53" s="138">
        <f t="shared" si="1"/>
        <v>-6.5877251501000877E-3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21"/>
        <v>111.41419999999999</v>
      </c>
      <c r="T54" s="93" t="s">
        <v>110</v>
      </c>
      <c r="U54" s="131">
        <v>6325340</v>
      </c>
      <c r="W54" s="133">
        <v>42601</v>
      </c>
      <c r="X54" s="10">
        <v>119.91</v>
      </c>
      <c r="Y54" s="10">
        <v>119.99</v>
      </c>
      <c r="Z54" s="10">
        <v>119.32</v>
      </c>
      <c r="AA54" s="10">
        <v>119.92</v>
      </c>
      <c r="AB54" s="95">
        <v>7798300</v>
      </c>
      <c r="AC54" s="10">
        <v>119.92</v>
      </c>
      <c r="AD54" s="2">
        <f t="shared" si="0"/>
        <v>0.67000000000000171</v>
      </c>
      <c r="AE54" s="138" t="e">
        <f t="shared" si="1"/>
        <v>#DIV/0!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21"/>
        <v>110.26559999999999</v>
      </c>
      <c r="T55" s="93" t="s">
        <v>108</v>
      </c>
      <c r="U55" s="130" t="s">
        <v>635</v>
      </c>
      <c r="W55" s="133">
        <v>42601</v>
      </c>
      <c r="X55" s="10" t="s">
        <v>331</v>
      </c>
      <c r="Y55" s="10"/>
      <c r="Z55" s="10"/>
      <c r="AA55" s="10"/>
      <c r="AB55" s="95"/>
      <c r="AC55" s="10"/>
      <c r="AD55" s="2">
        <f t="shared" si="0"/>
        <v>0</v>
      </c>
      <c r="AE55" s="138">
        <f t="shared" si="1"/>
        <v>-1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21"/>
        <v>109.11699999999999</v>
      </c>
      <c r="T56" s="93" t="s">
        <v>111</v>
      </c>
      <c r="U56" s="130">
        <v>20.16</v>
      </c>
      <c r="W56" s="133">
        <v>42600</v>
      </c>
      <c r="X56" s="10">
        <v>121.17</v>
      </c>
      <c r="Y56" s="10">
        <v>121.39</v>
      </c>
      <c r="Z56" s="10">
        <v>119.9</v>
      </c>
      <c r="AA56" s="10">
        <v>120.72</v>
      </c>
      <c r="AB56" s="95">
        <v>8728000</v>
      </c>
      <c r="AC56" s="10">
        <v>119.92</v>
      </c>
      <c r="AD56" s="2">
        <f t="shared" si="0"/>
        <v>1.4899999999999949</v>
      </c>
      <c r="AE56" s="138">
        <f t="shared" si="1"/>
        <v>-4.8958592647913024E-3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1"/>
        <v>107.96839999999999</v>
      </c>
      <c r="T57" s="93" t="s">
        <v>112</v>
      </c>
      <c r="U57" s="130">
        <v>5.7</v>
      </c>
      <c r="W57" s="133">
        <v>42599</v>
      </c>
      <c r="X57" s="10">
        <v>120.5</v>
      </c>
      <c r="Y57" s="10">
        <v>121.33</v>
      </c>
      <c r="Z57" s="10">
        <v>119.85</v>
      </c>
      <c r="AA57" s="10">
        <v>121.31</v>
      </c>
      <c r="AB57" s="95">
        <v>10442800</v>
      </c>
      <c r="AC57" s="10">
        <v>120.51</v>
      </c>
      <c r="AD57" s="2">
        <f t="shared" si="0"/>
        <v>1.480000000000004</v>
      </c>
      <c r="AE57" s="138">
        <f t="shared" si="1"/>
        <v>8.1987785493182752E-3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21"/>
        <v>106.8198</v>
      </c>
      <c r="T58" s="93" t="s">
        <v>109</v>
      </c>
      <c r="U58" s="130" t="s">
        <v>452</v>
      </c>
      <c r="W58" s="133">
        <v>42598</v>
      </c>
      <c r="X58" s="10">
        <v>122.11</v>
      </c>
      <c r="Y58" s="10">
        <v>122.32</v>
      </c>
      <c r="Z58" s="10">
        <v>120.06</v>
      </c>
      <c r="AA58" s="10">
        <v>120.33</v>
      </c>
      <c r="AB58" s="95">
        <v>11289100</v>
      </c>
      <c r="AC58" s="10">
        <v>119.53</v>
      </c>
      <c r="AD58" s="2">
        <f t="shared" si="0"/>
        <v>2.2599999999999909</v>
      </c>
      <c r="AE58" s="138">
        <f t="shared" si="1"/>
        <v>-1.6213991769547298E-2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21"/>
        <v>105.6712</v>
      </c>
      <c r="W59" s="133">
        <v>42597</v>
      </c>
      <c r="X59" s="10">
        <v>123.12</v>
      </c>
      <c r="Y59" s="10">
        <v>123.27</v>
      </c>
      <c r="Z59" s="10">
        <v>122.28</v>
      </c>
      <c r="AA59" s="10">
        <v>122.31</v>
      </c>
      <c r="AB59" s="95">
        <v>6469500</v>
      </c>
      <c r="AC59" s="10">
        <v>121.5</v>
      </c>
      <c r="AD59" s="2">
        <f t="shared" si="0"/>
        <v>0.98999999999999488</v>
      </c>
      <c r="AE59" s="138">
        <f t="shared" si="1"/>
        <v>-7.3529411764706731E-3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21"/>
        <v>104.5226</v>
      </c>
      <c r="W60" s="133">
        <v>42594</v>
      </c>
      <c r="X60" s="10">
        <v>123.47</v>
      </c>
      <c r="Y60" s="10">
        <v>123.77</v>
      </c>
      <c r="Z60" s="10">
        <v>122.95</v>
      </c>
      <c r="AA60" s="10">
        <v>123.22</v>
      </c>
      <c r="AB60" s="95">
        <v>4234800</v>
      </c>
      <c r="AC60" s="10">
        <v>122.4</v>
      </c>
      <c r="AD60" s="2">
        <f t="shared" si="0"/>
        <v>0.81999999999999318</v>
      </c>
      <c r="AE60" s="138">
        <f t="shared" si="1"/>
        <v>-4.4733631557543063E-3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21"/>
        <v>103.374</v>
      </c>
      <c r="W61" s="133">
        <v>42593</v>
      </c>
      <c r="X61" s="10">
        <v>123.85</v>
      </c>
      <c r="Y61" s="10">
        <v>124.14</v>
      </c>
      <c r="Z61" s="10">
        <v>123.47</v>
      </c>
      <c r="AA61" s="10">
        <v>123.77</v>
      </c>
      <c r="AB61" s="95">
        <v>4052000</v>
      </c>
      <c r="AC61" s="10">
        <v>122.95</v>
      </c>
      <c r="AD61" s="2">
        <f t="shared" si="0"/>
        <v>0.67000000000000171</v>
      </c>
      <c r="AE61" s="138">
        <f t="shared" si="1"/>
        <v>3.345846254284357E-3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42592</v>
      </c>
      <c r="X62" s="10">
        <v>123.59</v>
      </c>
      <c r="Y62" s="10">
        <v>123.78</v>
      </c>
      <c r="Z62" s="10">
        <v>123.24</v>
      </c>
      <c r="AA62" s="10">
        <v>123.36</v>
      </c>
      <c r="AB62" s="95">
        <v>4333500</v>
      </c>
      <c r="AC62" s="10">
        <v>122.54</v>
      </c>
      <c r="AD62" s="2">
        <f t="shared" si="0"/>
        <v>0.54000000000000625</v>
      </c>
      <c r="AE62" s="138">
        <f t="shared" si="1"/>
        <v>-5.7091591224200933E-4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42591</v>
      </c>
      <c r="X63" s="10">
        <v>123.91</v>
      </c>
      <c r="Y63" s="10">
        <v>124</v>
      </c>
      <c r="Z63" s="10">
        <v>123.33</v>
      </c>
      <c r="AA63" s="10">
        <v>123.43</v>
      </c>
      <c r="AB63" s="95">
        <v>3941500</v>
      </c>
      <c r="AC63" s="10">
        <v>122.61</v>
      </c>
      <c r="AD63" s="2">
        <f t="shared" si="0"/>
        <v>0.67000000000000171</v>
      </c>
      <c r="AE63" s="138">
        <f t="shared" si="1"/>
        <v>-1.7910933810958429E-3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42590</v>
      </c>
      <c r="X64" s="10">
        <v>124</v>
      </c>
      <c r="Y64" s="10">
        <v>124.15</v>
      </c>
      <c r="Z64" s="10">
        <v>123.23</v>
      </c>
      <c r="AA64" s="10">
        <v>123.65</v>
      </c>
      <c r="AB64" s="95">
        <v>5232500</v>
      </c>
      <c r="AC64" s="10">
        <v>122.83</v>
      </c>
      <c r="AD64" s="2">
        <f t="shared" si="0"/>
        <v>0.92000000000000171</v>
      </c>
      <c r="AE64" s="138">
        <f t="shared" si="1"/>
        <v>-4.7804245665208356E-3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42587</v>
      </c>
      <c r="X65" s="10">
        <v>124.38</v>
      </c>
      <c r="Y65" s="10">
        <v>124.38</v>
      </c>
      <c r="Z65" s="10">
        <v>123.76</v>
      </c>
      <c r="AA65" s="10">
        <v>124.24</v>
      </c>
      <c r="AB65" s="95">
        <v>5146900</v>
      </c>
      <c r="AC65" s="10">
        <v>123.42</v>
      </c>
      <c r="AD65" s="2">
        <f t="shared" si="0"/>
        <v>0.61999999999999034</v>
      </c>
      <c r="AE65" s="138">
        <f t="shared" si="1"/>
        <v>3.0884265279582657E-3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42586</v>
      </c>
      <c r="X66" s="10">
        <v>124.24</v>
      </c>
      <c r="Y66" s="10">
        <v>124.39</v>
      </c>
      <c r="Z66" s="10">
        <v>123.64</v>
      </c>
      <c r="AA66" s="10">
        <v>123.86</v>
      </c>
      <c r="AB66" s="95">
        <v>4728200</v>
      </c>
      <c r="AC66" s="10">
        <v>123.04</v>
      </c>
      <c r="AD66" s="2">
        <f t="shared" si="0"/>
        <v>0.75</v>
      </c>
      <c r="AE66" s="138">
        <f t="shared" si="1"/>
        <v>-3.2499187520307338E-4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42585</v>
      </c>
      <c r="X67" s="10">
        <v>125</v>
      </c>
      <c r="Y67" s="10">
        <v>125</v>
      </c>
      <c r="Z67" s="10">
        <v>123.69</v>
      </c>
      <c r="AA67" s="10">
        <v>123.9</v>
      </c>
      <c r="AB67" s="95">
        <v>5310600</v>
      </c>
      <c r="AC67" s="10">
        <v>123.08</v>
      </c>
      <c r="AD67" s="2">
        <f>Y67-Z67</f>
        <v>1.3100000000000023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42584</v>
      </c>
      <c r="X68" s="10">
        <v>125.65</v>
      </c>
      <c r="Y68" s="10">
        <v>125.9</v>
      </c>
      <c r="Z68" s="10">
        <v>124.48</v>
      </c>
      <c r="AA68" s="10">
        <v>124.85</v>
      </c>
      <c r="AB68" s="95">
        <v>7158700</v>
      </c>
      <c r="AC68" s="10">
        <v>124.02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579" priority="9">
      <formula>F33&gt;0</formula>
    </cfRule>
    <cfRule type="expression" dxfId="578" priority="10">
      <formula>F33&lt;0</formula>
    </cfRule>
  </conditionalFormatting>
  <conditionalFormatting sqref="Q7">
    <cfRule type="expression" dxfId="577" priority="7">
      <formula>Q7&gt;0</formula>
    </cfRule>
    <cfRule type="expression" dxfId="576" priority="8">
      <formula>Q7&lt;0</formula>
    </cfRule>
  </conditionalFormatting>
  <conditionalFormatting sqref="Q8">
    <cfRule type="expression" dxfId="575" priority="5">
      <formula>Q8&gt;0</formula>
    </cfRule>
    <cfRule type="expression" dxfId="574" priority="6">
      <formula>Q8&lt;0</formula>
    </cfRule>
  </conditionalFormatting>
  <conditionalFormatting sqref="F25:F32">
    <cfRule type="expression" dxfId="573" priority="3">
      <formula>F25&gt;0</formula>
    </cfRule>
    <cfRule type="expression" dxfId="572" priority="4">
      <formula>F25&lt;0</formula>
    </cfRule>
  </conditionalFormatting>
  <conditionalFormatting sqref="H25:H32">
    <cfRule type="expression" dxfId="571" priority="1">
      <formula>H25&gt;0</formula>
    </cfRule>
    <cfRule type="expression" dxfId="57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2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15" style="80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12.425781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73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73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C107-H107</f>
        <v>3800</v>
      </c>
      <c r="T2" s="158"/>
      <c r="U2" s="34" t="s">
        <v>261</v>
      </c>
      <c r="W2" s="123">
        <v>42676</v>
      </c>
      <c r="X2" s="41">
        <v>11.5</v>
      </c>
      <c r="Y2" s="41">
        <v>11.51</v>
      </c>
      <c r="Z2" s="41">
        <v>10.81</v>
      </c>
      <c r="AA2" s="41">
        <v>10.89</v>
      </c>
      <c r="AB2" s="104">
        <v>15762400</v>
      </c>
      <c r="AC2" s="9">
        <v>10.89</v>
      </c>
      <c r="AD2" s="2">
        <f>Y2-Z2</f>
        <v>0.69999999999999929</v>
      </c>
      <c r="AE2" s="138">
        <f>AC2/AC3-1</f>
        <v>-7.7118644067796671E-2</v>
      </c>
    </row>
    <row r="3" spans="1:42" x14ac:dyDescent="0.25">
      <c r="A3" s="23" t="s">
        <v>71</v>
      </c>
      <c r="B3" s="473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73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515">
        <f>IF(Q2=0, Q4, (F107-K107)/Q2)</f>
        <v>18.651118421052679</v>
      </c>
      <c r="T3" s="163">
        <v>42640</v>
      </c>
      <c r="U3" s="34" t="s">
        <v>311</v>
      </c>
      <c r="W3" s="123">
        <v>42675</v>
      </c>
      <c r="X3" s="41">
        <v>11.91</v>
      </c>
      <c r="Y3" s="41">
        <v>12</v>
      </c>
      <c r="Z3" s="41">
        <v>11.72</v>
      </c>
      <c r="AA3" s="41">
        <v>11.8</v>
      </c>
      <c r="AB3" s="104">
        <v>5303100</v>
      </c>
      <c r="AC3" s="9">
        <v>11.8</v>
      </c>
      <c r="AD3" s="2">
        <f t="shared" ref="AD3:AD66" si="1">Y3-Z3</f>
        <v>0.27999999999999936</v>
      </c>
      <c r="AE3" s="138">
        <f t="shared" ref="AE3:AE66" si="2">AC3/AC4-1</f>
        <v>-8.4033613445377853E-3</v>
      </c>
      <c r="AJ3" s="235"/>
      <c r="AL3" s="234"/>
      <c r="AO3" s="234"/>
    </row>
    <row r="4" spans="1:42" x14ac:dyDescent="0.25">
      <c r="B4" s="473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73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10.89</v>
      </c>
      <c r="R4" s="527">
        <v>-7.7100000000000002E-2</v>
      </c>
      <c r="T4" s="1"/>
      <c r="W4" s="123">
        <v>42674</v>
      </c>
      <c r="X4" s="41">
        <v>11.77</v>
      </c>
      <c r="Y4" s="41">
        <v>12.02</v>
      </c>
      <c r="Z4" s="41">
        <v>11.75</v>
      </c>
      <c r="AA4" s="41">
        <v>11.9</v>
      </c>
      <c r="AB4" s="104">
        <v>8600700</v>
      </c>
      <c r="AC4" s="9">
        <v>11.9</v>
      </c>
      <c r="AD4" s="2">
        <f t="shared" si="1"/>
        <v>0.26999999999999957</v>
      </c>
      <c r="AE4" s="138">
        <f t="shared" si="2"/>
        <v>1.1904761904761862E-2</v>
      </c>
      <c r="AL4" s="234"/>
      <c r="AO4" s="234"/>
    </row>
    <row r="5" spans="1:42" x14ac:dyDescent="0.25">
      <c r="B5" s="473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73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41382</v>
      </c>
      <c r="T5" s="1"/>
      <c r="W5" s="123">
        <v>42671</v>
      </c>
      <c r="X5" s="41">
        <v>12.05</v>
      </c>
      <c r="Y5" s="41">
        <v>12.1</v>
      </c>
      <c r="Z5" s="41">
        <v>11.27</v>
      </c>
      <c r="AA5" s="41">
        <v>11.76</v>
      </c>
      <c r="AB5" s="104">
        <v>12747200</v>
      </c>
      <c r="AC5" s="9">
        <v>11.76</v>
      </c>
      <c r="AD5" s="2">
        <f t="shared" si="1"/>
        <v>0.83000000000000007</v>
      </c>
      <c r="AE5" s="138">
        <f t="shared" si="2"/>
        <v>-1.4249790444258115E-2</v>
      </c>
      <c r="AL5" s="234"/>
      <c r="AO5" s="234"/>
    </row>
    <row r="6" spans="1:42" x14ac:dyDescent="0.25">
      <c r="B6" s="473">
        <v>42174</v>
      </c>
      <c r="C6" s="4">
        <v>20</v>
      </c>
      <c r="D6" s="240">
        <v>19.059999999999999</v>
      </c>
      <c r="E6" s="3">
        <v>0</v>
      </c>
      <c r="F6" s="3">
        <f t="shared" si="0"/>
        <v>381.2</v>
      </c>
      <c r="G6" s="473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70874.250000000175</v>
      </c>
      <c r="W6" s="123">
        <v>42670</v>
      </c>
      <c r="X6" s="41">
        <v>11.92</v>
      </c>
      <c r="Y6" s="41">
        <v>12.03</v>
      </c>
      <c r="Z6" s="41">
        <v>11.82</v>
      </c>
      <c r="AA6" s="41">
        <v>11.93</v>
      </c>
      <c r="AB6" s="104">
        <v>5151000</v>
      </c>
      <c r="AC6" s="9">
        <v>11.93</v>
      </c>
      <c r="AD6" s="2">
        <f t="shared" si="1"/>
        <v>0.20999999999999908</v>
      </c>
      <c r="AE6" s="138">
        <f t="shared" si="2"/>
        <v>2.5210084033613356E-3</v>
      </c>
      <c r="AL6" s="234"/>
      <c r="AO6" s="234"/>
    </row>
    <row r="7" spans="1:42" x14ac:dyDescent="0.25">
      <c r="B7" s="473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73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184</v>
      </c>
      <c r="Q7" s="2">
        <f>Q10+Q8</f>
        <v>-29492.250000000175</v>
      </c>
      <c r="R7">
        <v>1100</v>
      </c>
      <c r="W7" s="123">
        <v>42669</v>
      </c>
      <c r="X7" s="41">
        <v>12.03</v>
      </c>
      <c r="Y7" s="41">
        <v>12.09</v>
      </c>
      <c r="Z7" s="41">
        <v>11.79</v>
      </c>
      <c r="AA7" s="41">
        <v>11.9</v>
      </c>
      <c r="AB7" s="104">
        <v>7765300</v>
      </c>
      <c r="AC7" s="9">
        <v>11.9</v>
      </c>
      <c r="AD7" s="2">
        <f t="shared" si="1"/>
        <v>0.30000000000000071</v>
      </c>
      <c r="AE7" s="138">
        <f t="shared" si="2"/>
        <v>-2.1381578947368363E-2</v>
      </c>
      <c r="AL7" s="234"/>
      <c r="AO7" s="234"/>
    </row>
    <row r="8" spans="1:42" x14ac:dyDescent="0.25">
      <c r="B8" s="473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73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187</v>
      </c>
      <c r="P8" s="34"/>
      <c r="Q8" s="2">
        <f>K107+M107-F107+Q2*Q4</f>
        <v>-29492.250000000175</v>
      </c>
      <c r="R8" s="166"/>
      <c r="W8" s="123">
        <v>42668</v>
      </c>
      <c r="X8" s="41">
        <v>12.41</v>
      </c>
      <c r="Y8" s="41">
        <v>12.51</v>
      </c>
      <c r="Z8" s="41">
        <v>12.15</v>
      </c>
      <c r="AA8" s="41">
        <v>12.16</v>
      </c>
      <c r="AB8" s="104">
        <v>6320400</v>
      </c>
      <c r="AC8" s="9">
        <v>12.16</v>
      </c>
      <c r="AD8" s="2">
        <f t="shared" si="1"/>
        <v>0.35999999999999943</v>
      </c>
      <c r="AE8" s="138">
        <f t="shared" si="2"/>
        <v>-2.0933977455716568E-2</v>
      </c>
      <c r="AL8" s="234"/>
      <c r="AO8" s="234"/>
    </row>
    <row r="9" spans="1:42" x14ac:dyDescent="0.25">
      <c r="B9" s="473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73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219</v>
      </c>
      <c r="Q9" s="138">
        <f>IF(Q2=0, 0, Q8/Q6)</f>
        <v>-0.41612080551117087</v>
      </c>
      <c r="W9" s="123">
        <v>42667</v>
      </c>
      <c r="X9" s="41">
        <v>12.69</v>
      </c>
      <c r="Y9" s="41">
        <v>12.78</v>
      </c>
      <c r="Z9" s="41">
        <v>12.35</v>
      </c>
      <c r="AA9" s="41">
        <v>12.42</v>
      </c>
      <c r="AB9" s="104">
        <v>3620800</v>
      </c>
      <c r="AC9" s="9">
        <v>12.42</v>
      </c>
      <c r="AD9" s="2">
        <f t="shared" si="1"/>
        <v>0.42999999999999972</v>
      </c>
      <c r="AE9" s="138">
        <f t="shared" si="2"/>
        <v>-1.8957345971563955E-2</v>
      </c>
      <c r="AL9" s="234"/>
      <c r="AO9" s="234"/>
    </row>
    <row r="10" spans="1:42" x14ac:dyDescent="0.25">
      <c r="B10" s="473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73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218</v>
      </c>
      <c r="P10" s="34"/>
      <c r="Q10" s="2">
        <v>0</v>
      </c>
      <c r="W10" s="123">
        <v>42664</v>
      </c>
      <c r="X10" s="41">
        <v>12.85</v>
      </c>
      <c r="Y10" s="41">
        <v>13.05</v>
      </c>
      <c r="Z10" s="41">
        <v>12.66</v>
      </c>
      <c r="AA10" s="41">
        <v>12.66</v>
      </c>
      <c r="AB10" s="104">
        <v>3827600</v>
      </c>
      <c r="AC10" s="9">
        <v>12.66</v>
      </c>
      <c r="AD10" s="2">
        <f t="shared" si="1"/>
        <v>0.39000000000000057</v>
      </c>
      <c r="AE10" s="138">
        <f t="shared" si="2"/>
        <v>-2.4653312788906034E-2</v>
      </c>
      <c r="AL10" s="234"/>
      <c r="AO10" s="234"/>
    </row>
    <row r="11" spans="1:42" x14ac:dyDescent="0.25">
      <c r="B11" s="473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73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181</v>
      </c>
      <c r="P11" s="34"/>
      <c r="Q11" s="138">
        <f>IF(U58="N/A (N/A)", 0, VALUE(TRIM(CLEAN(MID(U58, FIND("(", U58)+1, 5)))))</f>
        <v>0</v>
      </c>
      <c r="T11" s="11"/>
      <c r="W11" s="123">
        <v>42663</v>
      </c>
      <c r="X11" s="41">
        <v>13.04</v>
      </c>
      <c r="Y11" s="41">
        <v>13.12</v>
      </c>
      <c r="Z11" s="41">
        <v>12.85</v>
      </c>
      <c r="AA11" s="41">
        <v>12.98</v>
      </c>
      <c r="AB11" s="104">
        <v>2999400</v>
      </c>
      <c r="AC11" s="9">
        <v>12.98</v>
      </c>
      <c r="AD11" s="2">
        <f t="shared" si="1"/>
        <v>0.26999999999999957</v>
      </c>
      <c r="AE11" s="138">
        <f t="shared" si="2"/>
        <v>-6.8859984697781096E-3</v>
      </c>
      <c r="AL11" s="234"/>
      <c r="AO11" s="234"/>
    </row>
    <row r="12" spans="1:42" x14ac:dyDescent="0.25">
      <c r="B12" s="473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73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42662</v>
      </c>
      <c r="X12" s="41">
        <v>12.88</v>
      </c>
      <c r="Y12" s="41">
        <v>13.14</v>
      </c>
      <c r="Z12" s="41">
        <v>12.82</v>
      </c>
      <c r="AA12" s="41">
        <v>13.07</v>
      </c>
      <c r="AB12" s="104">
        <v>2991000</v>
      </c>
      <c r="AC12" s="9">
        <v>13.07</v>
      </c>
      <c r="AD12" s="2">
        <f t="shared" si="1"/>
        <v>0.32000000000000028</v>
      </c>
      <c r="AE12" s="138">
        <f t="shared" si="2"/>
        <v>1.8706157443491911E-2</v>
      </c>
      <c r="AL12" s="234"/>
      <c r="AO12" s="234"/>
    </row>
    <row r="13" spans="1:42" x14ac:dyDescent="0.25">
      <c r="B13" s="473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72"/>
      <c r="H13" s="7"/>
      <c r="I13" s="79"/>
      <c r="J13" s="44"/>
      <c r="K13" s="44"/>
      <c r="W13" s="123">
        <v>42661</v>
      </c>
      <c r="X13" s="41">
        <v>12.79</v>
      </c>
      <c r="Y13" s="41">
        <v>12.96</v>
      </c>
      <c r="Z13" s="41">
        <v>12.65</v>
      </c>
      <c r="AA13" s="41">
        <v>12.83</v>
      </c>
      <c r="AB13" s="104">
        <v>5691600</v>
      </c>
      <c r="AC13" s="9">
        <v>12.83</v>
      </c>
      <c r="AD13" s="2">
        <f t="shared" si="1"/>
        <v>0.3100000000000005</v>
      </c>
      <c r="AE13" s="138">
        <f t="shared" si="2"/>
        <v>1.5835312747426666E-2</v>
      </c>
    </row>
    <row r="14" spans="1:42" x14ac:dyDescent="0.25">
      <c r="B14" s="473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22"/>
      <c r="H14" s="7"/>
      <c r="I14" s="79"/>
      <c r="J14" s="44"/>
      <c r="K14" s="44"/>
      <c r="W14" s="123">
        <v>42660</v>
      </c>
      <c r="X14" s="41">
        <v>12.86</v>
      </c>
      <c r="Y14" s="41">
        <v>12.98</v>
      </c>
      <c r="Z14" s="41">
        <v>12.61</v>
      </c>
      <c r="AA14" s="41">
        <v>12.63</v>
      </c>
      <c r="AB14" s="104">
        <v>3758700</v>
      </c>
      <c r="AC14" s="9">
        <v>12.63</v>
      </c>
      <c r="AD14" s="2">
        <f t="shared" si="1"/>
        <v>0.37000000000000099</v>
      </c>
      <c r="AE14" s="138">
        <f t="shared" si="2"/>
        <v>-2.1688613477924057E-2</v>
      </c>
    </row>
    <row r="15" spans="1:42" x14ac:dyDescent="0.25">
      <c r="B15" s="473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22"/>
      <c r="H15" s="82"/>
      <c r="I15" s="79"/>
      <c r="J15" s="44"/>
      <c r="K15" s="44"/>
      <c r="V15" s="2"/>
      <c r="W15" s="123">
        <v>42657</v>
      </c>
      <c r="X15" s="41">
        <v>13.04</v>
      </c>
      <c r="Y15" s="41">
        <v>13.22</v>
      </c>
      <c r="Z15" s="41">
        <v>12.88</v>
      </c>
      <c r="AA15" s="41">
        <v>12.91</v>
      </c>
      <c r="AB15" s="104">
        <v>3619300</v>
      </c>
      <c r="AC15" s="9">
        <v>12.91</v>
      </c>
      <c r="AD15" s="2">
        <f t="shared" si="1"/>
        <v>0.33999999999999986</v>
      </c>
      <c r="AE15" s="138">
        <f t="shared" si="2"/>
        <v>-8.4485407066051676E-3</v>
      </c>
      <c r="AL15" s="234"/>
      <c r="AO15" s="234"/>
      <c r="AP15" s="234"/>
    </row>
    <row r="16" spans="1:42" x14ac:dyDescent="0.25">
      <c r="B16" s="473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22"/>
      <c r="H16" s="82"/>
      <c r="I16" s="79"/>
      <c r="J16" s="44"/>
      <c r="K16" s="44"/>
      <c r="V16" s="2"/>
      <c r="W16" s="123">
        <v>42656</v>
      </c>
      <c r="X16" s="41">
        <v>12.93</v>
      </c>
      <c r="Y16" s="41">
        <v>13.12</v>
      </c>
      <c r="Z16" s="41">
        <v>12.77</v>
      </c>
      <c r="AA16" s="41">
        <v>13.02</v>
      </c>
      <c r="AB16" s="104">
        <v>3970800</v>
      </c>
      <c r="AC16" s="9">
        <v>13.02</v>
      </c>
      <c r="AD16" s="2">
        <f t="shared" si="1"/>
        <v>0.34999999999999964</v>
      </c>
      <c r="AE16" s="138">
        <f t="shared" si="2"/>
        <v>5.4054054054053502E-3</v>
      </c>
    </row>
    <row r="17" spans="2:42" x14ac:dyDescent="0.25">
      <c r="B17" s="473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22"/>
      <c r="H17" s="82"/>
      <c r="I17" s="79"/>
      <c r="J17" s="44"/>
      <c r="K17" s="44"/>
      <c r="V17" s="2"/>
      <c r="W17" s="123">
        <v>42655</v>
      </c>
      <c r="X17" s="41">
        <v>12.96</v>
      </c>
      <c r="Y17" s="41">
        <v>12.98</v>
      </c>
      <c r="Z17" s="41">
        <v>12.79</v>
      </c>
      <c r="AA17" s="41">
        <v>12.95</v>
      </c>
      <c r="AB17" s="104">
        <v>3297600</v>
      </c>
      <c r="AC17" s="9">
        <v>12.95</v>
      </c>
      <c r="AD17" s="2">
        <f t="shared" si="1"/>
        <v>0.19000000000000128</v>
      </c>
      <c r="AE17" s="138">
        <f t="shared" si="2"/>
        <v>-7.716049382717749E-4</v>
      </c>
      <c r="AL17" s="234"/>
      <c r="AO17" s="234"/>
      <c r="AP17" s="234"/>
    </row>
    <row r="18" spans="2:42" x14ac:dyDescent="0.25">
      <c r="B18" s="473">
        <v>42223</v>
      </c>
      <c r="C18" s="4">
        <v>300</v>
      </c>
      <c r="D18" s="240">
        <v>17.149999999999999</v>
      </c>
      <c r="E18" s="3">
        <v>0</v>
      </c>
      <c r="F18" s="3">
        <f t="shared" si="0"/>
        <v>5145</v>
      </c>
      <c r="G18" s="522"/>
      <c r="H18" s="82"/>
      <c r="I18" s="79"/>
      <c r="J18" s="44"/>
      <c r="K18" s="44"/>
      <c r="V18" s="2"/>
      <c r="W18" s="123">
        <v>42654</v>
      </c>
      <c r="X18" s="41">
        <v>13.09</v>
      </c>
      <c r="Y18" s="41">
        <v>13.13</v>
      </c>
      <c r="Z18" s="41">
        <v>12.9</v>
      </c>
      <c r="AA18" s="41">
        <v>12.96</v>
      </c>
      <c r="AB18" s="104">
        <v>7598100</v>
      </c>
      <c r="AC18" s="9">
        <v>12.96</v>
      </c>
      <c r="AD18" s="2">
        <f t="shared" si="1"/>
        <v>0.23000000000000043</v>
      </c>
      <c r="AE18" s="138">
        <f t="shared" si="2"/>
        <v>-1.4448669201520881E-2</v>
      </c>
    </row>
    <row r="19" spans="2:42" x14ac:dyDescent="0.25">
      <c r="B19" s="473">
        <v>42223</v>
      </c>
      <c r="C19" s="4">
        <v>200</v>
      </c>
      <c r="D19" s="240">
        <v>17.170000000000002</v>
      </c>
      <c r="E19" s="3">
        <v>0</v>
      </c>
      <c r="F19" s="3">
        <f t="shared" si="0"/>
        <v>3434.0000000000005</v>
      </c>
      <c r="G19" s="522"/>
      <c r="H19" s="82"/>
      <c r="I19" s="79"/>
      <c r="J19" s="44"/>
      <c r="K19" s="44"/>
      <c r="W19" s="123">
        <v>42653</v>
      </c>
      <c r="X19" s="41">
        <v>12.82</v>
      </c>
      <c r="Y19" s="41">
        <v>13.19</v>
      </c>
      <c r="Z19" s="41">
        <v>12.66</v>
      </c>
      <c r="AA19" s="41">
        <v>13.15</v>
      </c>
      <c r="AB19" s="104">
        <v>7096100</v>
      </c>
      <c r="AC19" s="9">
        <v>13.15</v>
      </c>
      <c r="AD19" s="2">
        <f t="shared" si="1"/>
        <v>0.52999999999999936</v>
      </c>
      <c r="AE19" s="138">
        <f t="shared" si="2"/>
        <v>4.7808764940239001E-2</v>
      </c>
      <c r="AL19" s="234"/>
      <c r="AO19" s="234"/>
    </row>
    <row r="20" spans="2:42" x14ac:dyDescent="0.25">
      <c r="B20" s="473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72"/>
      <c r="H20" s="7"/>
      <c r="I20" s="79"/>
      <c r="J20" s="44"/>
      <c r="K20" s="44"/>
      <c r="W20" s="123">
        <v>42650</v>
      </c>
      <c r="X20" s="41">
        <v>12.44</v>
      </c>
      <c r="Y20" s="41">
        <v>12.66</v>
      </c>
      <c r="Z20" s="41">
        <v>12.44</v>
      </c>
      <c r="AA20" s="41">
        <v>12.55</v>
      </c>
      <c r="AB20" s="104">
        <v>5271400</v>
      </c>
      <c r="AC20" s="9">
        <v>12.55</v>
      </c>
      <c r="AD20" s="2">
        <f t="shared" si="1"/>
        <v>0.22000000000000064</v>
      </c>
      <c r="AE20" s="138">
        <f t="shared" si="2"/>
        <v>1.7017828200972529E-2</v>
      </c>
    </row>
    <row r="21" spans="2:42" x14ac:dyDescent="0.25">
      <c r="B21" s="473">
        <v>42227</v>
      </c>
      <c r="C21" s="7">
        <v>100</v>
      </c>
      <c r="D21" s="79">
        <v>17.100000000000001</v>
      </c>
      <c r="E21" s="44">
        <v>0</v>
      </c>
      <c r="F21" s="44">
        <f t="shared" si="0"/>
        <v>1710.0000000000002</v>
      </c>
      <c r="G21" s="472"/>
      <c r="H21" s="7"/>
      <c r="I21" s="79"/>
      <c r="J21" s="44"/>
      <c r="K21" s="44"/>
      <c r="W21" s="123">
        <v>42649</v>
      </c>
      <c r="X21" s="41">
        <v>12.23</v>
      </c>
      <c r="Y21" s="41">
        <v>12.47</v>
      </c>
      <c r="Z21" s="41">
        <v>12.2</v>
      </c>
      <c r="AA21" s="41">
        <v>12.34</v>
      </c>
      <c r="AB21" s="104">
        <v>3306700</v>
      </c>
      <c r="AC21" s="9">
        <v>12.34</v>
      </c>
      <c r="AD21" s="2">
        <f t="shared" si="1"/>
        <v>0.27000000000000135</v>
      </c>
      <c r="AE21" s="138">
        <f t="shared" si="2"/>
        <v>8.110300081103361E-4</v>
      </c>
    </row>
    <row r="22" spans="2:42" x14ac:dyDescent="0.25">
      <c r="B22" s="473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72"/>
      <c r="H22" s="7"/>
      <c r="I22" s="79"/>
      <c r="J22" s="44"/>
      <c r="K22" s="44"/>
      <c r="W22" s="123">
        <v>42648</v>
      </c>
      <c r="X22" s="41">
        <v>12.3</v>
      </c>
      <c r="Y22" s="41">
        <v>12.46</v>
      </c>
      <c r="Z22" s="41">
        <v>12.2</v>
      </c>
      <c r="AA22" s="41">
        <v>12.33</v>
      </c>
      <c r="AB22" s="104">
        <v>2892500</v>
      </c>
      <c r="AC22" s="9">
        <v>12.33</v>
      </c>
      <c r="AD22" s="2">
        <f t="shared" si="1"/>
        <v>0.26000000000000156</v>
      </c>
      <c r="AE22" s="138">
        <f t="shared" si="2"/>
        <v>1.0655737704918122E-2</v>
      </c>
    </row>
    <row r="23" spans="2:42" x14ac:dyDescent="0.25">
      <c r="B23" s="473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472"/>
      <c r="H23" s="82"/>
      <c r="I23" s="79"/>
      <c r="J23" s="44"/>
      <c r="K23" s="44"/>
      <c r="M23" s="2"/>
      <c r="W23" s="123">
        <v>42647</v>
      </c>
      <c r="X23" s="41">
        <v>12.52</v>
      </c>
      <c r="Y23" s="41">
        <v>12.61</v>
      </c>
      <c r="Z23" s="41">
        <v>12.15</v>
      </c>
      <c r="AA23" s="41">
        <v>12.2</v>
      </c>
      <c r="AB23" s="104">
        <v>7359200</v>
      </c>
      <c r="AC23" s="9">
        <v>12.2</v>
      </c>
      <c r="AD23" s="2">
        <f t="shared" si="1"/>
        <v>0.45999999999999908</v>
      </c>
      <c r="AE23" s="138">
        <f t="shared" si="2"/>
        <v>-2.4000000000000021E-2</v>
      </c>
    </row>
    <row r="24" spans="2:42" x14ac:dyDescent="0.25">
      <c r="B24" s="473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72"/>
      <c r="H24" s="82"/>
      <c r="I24" s="79"/>
      <c r="J24" s="44"/>
      <c r="K24" s="44"/>
      <c r="W24" s="123">
        <v>42646</v>
      </c>
      <c r="X24" s="41">
        <v>12.66</v>
      </c>
      <c r="Y24" s="41">
        <v>12.78</v>
      </c>
      <c r="Z24" s="41">
        <v>12.34</v>
      </c>
      <c r="AA24" s="41">
        <v>12.5</v>
      </c>
      <c r="AB24" s="104">
        <v>5753600</v>
      </c>
      <c r="AC24" s="9">
        <v>12.5</v>
      </c>
      <c r="AD24" s="2">
        <f t="shared" si="1"/>
        <v>0.4399999999999995</v>
      </c>
      <c r="AE24" s="138">
        <f t="shared" si="2"/>
        <v>-1.1075949367088667E-2</v>
      </c>
    </row>
    <row r="25" spans="2:42" x14ac:dyDescent="0.25">
      <c r="B25" s="473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72"/>
      <c r="H25" s="82"/>
      <c r="I25" s="79"/>
      <c r="J25" s="44"/>
      <c r="K25" s="44"/>
      <c r="W25" s="123">
        <v>42643</v>
      </c>
      <c r="X25" s="41">
        <v>12.81</v>
      </c>
      <c r="Y25" s="41">
        <v>12.82</v>
      </c>
      <c r="Z25" s="41">
        <v>12.54</v>
      </c>
      <c r="AA25" s="41">
        <v>12.64</v>
      </c>
      <c r="AB25" s="104">
        <v>8204200</v>
      </c>
      <c r="AC25" s="9">
        <v>12.64</v>
      </c>
      <c r="AD25" s="2">
        <f t="shared" si="1"/>
        <v>0.28000000000000114</v>
      </c>
      <c r="AE25" s="138">
        <f t="shared" si="2"/>
        <v>-9.4043887147334804E-3</v>
      </c>
      <c r="AL25" s="234"/>
      <c r="AO25" s="234"/>
    </row>
    <row r="26" spans="2:42" x14ac:dyDescent="0.25">
      <c r="B26" s="473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72"/>
      <c r="H26" s="82"/>
      <c r="I26" s="79"/>
      <c r="J26" s="44"/>
      <c r="K26" s="44"/>
      <c r="W26" s="123">
        <v>42642</v>
      </c>
      <c r="X26" s="41">
        <v>13.22</v>
      </c>
      <c r="Y26" s="41">
        <v>13.22</v>
      </c>
      <c r="Z26" s="41">
        <v>12.7</v>
      </c>
      <c r="AA26" s="41">
        <v>12.76</v>
      </c>
      <c r="AB26" s="104">
        <v>9119400</v>
      </c>
      <c r="AC26" s="9">
        <v>12.76</v>
      </c>
      <c r="AD26" s="2">
        <f t="shared" si="1"/>
        <v>0.52000000000000135</v>
      </c>
      <c r="AE26" s="138">
        <f t="shared" si="2"/>
        <v>-4.1322314049586861E-2</v>
      </c>
    </row>
    <row r="27" spans="2:42" x14ac:dyDescent="0.25">
      <c r="B27" s="473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72"/>
      <c r="H27" s="7"/>
      <c r="I27" s="79"/>
      <c r="J27" s="44"/>
      <c r="K27" s="44"/>
      <c r="W27" s="123">
        <v>42641</v>
      </c>
      <c r="X27" s="41">
        <v>13.52</v>
      </c>
      <c r="Y27" s="41">
        <v>13.58</v>
      </c>
      <c r="Z27" s="41">
        <v>13.29</v>
      </c>
      <c r="AA27" s="41">
        <v>13.31</v>
      </c>
      <c r="AB27" s="104">
        <v>6965000</v>
      </c>
      <c r="AC27" s="9">
        <v>13.31</v>
      </c>
      <c r="AD27" s="2">
        <f t="shared" si="1"/>
        <v>0.29000000000000092</v>
      </c>
      <c r="AE27" s="138">
        <f t="shared" si="2"/>
        <v>-1.187824795842618E-2</v>
      </c>
      <c r="AL27" s="234"/>
      <c r="AO27" s="234"/>
    </row>
    <row r="28" spans="2:42" x14ac:dyDescent="0.25">
      <c r="B28" s="473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72"/>
      <c r="H28" s="7"/>
      <c r="I28" s="79"/>
      <c r="J28" s="44"/>
      <c r="K28" s="44"/>
      <c r="W28" s="123">
        <v>42640</v>
      </c>
      <c r="X28" s="41">
        <v>13.61</v>
      </c>
      <c r="Y28" s="41">
        <v>13.65</v>
      </c>
      <c r="Z28" s="41">
        <v>13.35</v>
      </c>
      <c r="AA28" s="41">
        <v>13.47</v>
      </c>
      <c r="AB28" s="104">
        <v>4038700</v>
      </c>
      <c r="AC28" s="9">
        <v>13.47</v>
      </c>
      <c r="AD28" s="2">
        <f t="shared" si="1"/>
        <v>0.30000000000000071</v>
      </c>
      <c r="AE28" s="138">
        <f t="shared" si="2"/>
        <v>-1.4630577907827291E-2</v>
      </c>
    </row>
    <row r="29" spans="2:42" x14ac:dyDescent="0.25">
      <c r="B29" s="473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72"/>
      <c r="H29" s="7"/>
      <c r="I29" s="79"/>
      <c r="J29" s="44"/>
      <c r="K29" s="44"/>
      <c r="W29" s="123">
        <v>42639</v>
      </c>
      <c r="X29" s="41">
        <v>13.88</v>
      </c>
      <c r="Y29" s="41">
        <v>13.89</v>
      </c>
      <c r="Z29" s="41">
        <v>13.57</v>
      </c>
      <c r="AA29" s="41">
        <v>13.67</v>
      </c>
      <c r="AB29" s="104">
        <v>3235400</v>
      </c>
      <c r="AC29" s="9">
        <v>13.67</v>
      </c>
      <c r="AD29" s="2">
        <f t="shared" si="1"/>
        <v>0.32000000000000028</v>
      </c>
      <c r="AE29" s="138">
        <f t="shared" si="2"/>
        <v>-1.6546762589928043E-2</v>
      </c>
    </row>
    <row r="30" spans="2:42" x14ac:dyDescent="0.25">
      <c r="B30" s="473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22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42636</v>
      </c>
      <c r="X30" s="41">
        <v>13.8</v>
      </c>
      <c r="Y30" s="41">
        <v>14</v>
      </c>
      <c r="Z30" s="41">
        <v>13.75</v>
      </c>
      <c r="AA30" s="41">
        <v>13.9</v>
      </c>
      <c r="AB30" s="104">
        <v>3698500</v>
      </c>
      <c r="AC30" s="9">
        <v>13.9</v>
      </c>
      <c r="AD30" s="2">
        <f t="shared" si="1"/>
        <v>0.25</v>
      </c>
      <c r="AE30" s="138">
        <f t="shared" si="2"/>
        <v>-7.1890726096335289E-4</v>
      </c>
    </row>
    <row r="31" spans="2:42" x14ac:dyDescent="0.25">
      <c r="B31" s="473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22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42635</v>
      </c>
      <c r="X31" s="41">
        <v>13.89</v>
      </c>
      <c r="Y31" s="41">
        <v>13.96</v>
      </c>
      <c r="Z31" s="41">
        <v>13.66</v>
      </c>
      <c r="AA31" s="41">
        <v>13.91</v>
      </c>
      <c r="AB31" s="104">
        <v>3084700</v>
      </c>
      <c r="AC31" s="9">
        <v>13.91</v>
      </c>
      <c r="AD31" s="2">
        <f t="shared" si="1"/>
        <v>0.30000000000000071</v>
      </c>
      <c r="AE31" s="138">
        <f t="shared" si="2"/>
        <v>8.701957940536742E-3</v>
      </c>
      <c r="AL31" s="234"/>
      <c r="AO31" s="234"/>
    </row>
    <row r="32" spans="2:42" x14ac:dyDescent="0.25">
      <c r="B32" s="473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22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42634</v>
      </c>
      <c r="X32" s="41">
        <v>13.67</v>
      </c>
      <c r="Y32" s="41">
        <v>13.91</v>
      </c>
      <c r="Z32" s="41">
        <v>13.63</v>
      </c>
      <c r="AA32" s="41">
        <v>13.79</v>
      </c>
      <c r="AB32" s="104">
        <v>4343300</v>
      </c>
      <c r="AC32" s="9">
        <v>13.79</v>
      </c>
      <c r="AD32" s="2">
        <f t="shared" si="1"/>
        <v>0.27999999999999936</v>
      </c>
      <c r="AE32" s="138">
        <f t="shared" si="2"/>
        <v>1.2481644640234935E-2</v>
      </c>
    </row>
    <row r="33" spans="2:41" x14ac:dyDescent="0.25">
      <c r="B33" s="473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22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42633</v>
      </c>
      <c r="X33" s="41">
        <v>13.29</v>
      </c>
      <c r="Y33" s="41">
        <v>13.65</v>
      </c>
      <c r="Z33" s="41">
        <v>13.22</v>
      </c>
      <c r="AA33" s="41">
        <v>13.62</v>
      </c>
      <c r="AB33" s="104">
        <v>5358200</v>
      </c>
      <c r="AC33" s="9">
        <v>13.62</v>
      </c>
      <c r="AD33" s="2">
        <f t="shared" si="1"/>
        <v>0.42999999999999972</v>
      </c>
      <c r="AE33" s="138">
        <f t="shared" si="2"/>
        <v>2.7149321266968229E-2</v>
      </c>
      <c r="AL33" s="234"/>
      <c r="AO33" s="234"/>
    </row>
    <row r="34" spans="2:41" x14ac:dyDescent="0.25">
      <c r="B34" s="473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22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42632</v>
      </c>
      <c r="X34" s="41">
        <v>13.37</v>
      </c>
      <c r="Y34" s="41">
        <v>13.44</v>
      </c>
      <c r="Z34" s="41">
        <v>13.04</v>
      </c>
      <c r="AA34" s="41">
        <v>13.26</v>
      </c>
      <c r="AB34" s="104">
        <v>3460100</v>
      </c>
      <c r="AC34" s="9">
        <v>13.26</v>
      </c>
      <c r="AD34" s="2">
        <f t="shared" si="1"/>
        <v>0.40000000000000036</v>
      </c>
      <c r="AE34" s="138">
        <f t="shared" si="2"/>
        <v>-2.2573363431150906E-3</v>
      </c>
    </row>
    <row r="35" spans="2:41" x14ac:dyDescent="0.25">
      <c r="B35" s="473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22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42629</v>
      </c>
      <c r="X35" s="41">
        <v>12.99</v>
      </c>
      <c r="Y35" s="41">
        <v>13.32</v>
      </c>
      <c r="Z35" s="41">
        <v>12.89</v>
      </c>
      <c r="AA35" s="41">
        <v>13.29</v>
      </c>
      <c r="AB35" s="104">
        <v>6121800</v>
      </c>
      <c r="AC35" s="9">
        <v>13.29</v>
      </c>
      <c r="AD35" s="2">
        <f t="shared" si="1"/>
        <v>0.42999999999999972</v>
      </c>
      <c r="AE35" s="138">
        <f t="shared" si="2"/>
        <v>1.2957317073170715E-2</v>
      </c>
      <c r="AL35" s="234"/>
      <c r="AO35" s="234"/>
    </row>
    <row r="36" spans="2:41" x14ac:dyDescent="0.25">
      <c r="B36" s="473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22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42628</v>
      </c>
      <c r="X36" s="41">
        <v>12.87</v>
      </c>
      <c r="Y36" s="41">
        <v>13.28</v>
      </c>
      <c r="Z36" s="41">
        <v>12.75</v>
      </c>
      <c r="AA36" s="41">
        <v>13.12</v>
      </c>
      <c r="AB36" s="104">
        <v>4966000</v>
      </c>
      <c r="AC36" s="9">
        <v>13.12</v>
      </c>
      <c r="AD36" s="2">
        <f t="shared" si="1"/>
        <v>0.52999999999999936</v>
      </c>
      <c r="AE36" s="138">
        <f t="shared" si="2"/>
        <v>1.6266460108443015E-2</v>
      </c>
    </row>
    <row r="37" spans="2:41" x14ac:dyDescent="0.25">
      <c r="B37" s="473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22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42627</v>
      </c>
      <c r="X37" s="41">
        <v>13</v>
      </c>
      <c r="Y37" s="41">
        <v>13.14</v>
      </c>
      <c r="Z37" s="41">
        <v>12.77</v>
      </c>
      <c r="AA37" s="41">
        <v>12.91</v>
      </c>
      <c r="AB37" s="104">
        <v>5997000</v>
      </c>
      <c r="AC37" s="9">
        <v>12.91</v>
      </c>
      <c r="AD37" s="2">
        <f t="shared" si="1"/>
        <v>0.37000000000000099</v>
      </c>
      <c r="AE37" s="138">
        <f t="shared" si="2"/>
        <v>-9.2095165003837076E-3</v>
      </c>
    </row>
    <row r="38" spans="2:41" x14ac:dyDescent="0.25">
      <c r="B38" s="473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22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42626</v>
      </c>
      <c r="X38" s="41">
        <v>13.42</v>
      </c>
      <c r="Y38" s="41">
        <v>13.42</v>
      </c>
      <c r="Z38" s="41">
        <v>12.87</v>
      </c>
      <c r="AA38" s="41">
        <v>13.03</v>
      </c>
      <c r="AB38" s="104">
        <v>6838100</v>
      </c>
      <c r="AC38" s="9">
        <v>13.03</v>
      </c>
      <c r="AD38" s="2">
        <f t="shared" si="1"/>
        <v>0.55000000000000071</v>
      </c>
      <c r="AE38" s="138">
        <f t="shared" si="2"/>
        <v>-4.3318649045521296E-2</v>
      </c>
    </row>
    <row r="39" spans="2:41" x14ac:dyDescent="0.25">
      <c r="B39" s="473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22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42625</v>
      </c>
      <c r="X39" s="41">
        <v>13.33</v>
      </c>
      <c r="Y39" s="41">
        <v>13.67</v>
      </c>
      <c r="Z39" s="41">
        <v>13.24</v>
      </c>
      <c r="AA39" s="41">
        <v>13.62</v>
      </c>
      <c r="AB39" s="104">
        <v>4759300</v>
      </c>
      <c r="AC39" s="9">
        <v>13.62</v>
      </c>
      <c r="AD39" s="2">
        <f t="shared" si="1"/>
        <v>0.42999999999999972</v>
      </c>
      <c r="AE39" s="138">
        <f t="shared" si="2"/>
        <v>1.6417910447761086E-2</v>
      </c>
    </row>
    <row r="40" spans="2:41" x14ac:dyDescent="0.25">
      <c r="B40" s="473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22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42622</v>
      </c>
      <c r="X40" s="41">
        <v>13.72</v>
      </c>
      <c r="Y40" s="41">
        <v>13.76</v>
      </c>
      <c r="Z40" s="41">
        <v>13.37</v>
      </c>
      <c r="AA40" s="41">
        <v>13.4</v>
      </c>
      <c r="AB40" s="104">
        <v>7564000</v>
      </c>
      <c r="AC40" s="9">
        <v>13.4</v>
      </c>
      <c r="AD40" s="2">
        <f t="shared" si="1"/>
        <v>0.39000000000000057</v>
      </c>
      <c r="AE40" s="138">
        <f t="shared" si="2"/>
        <v>-3.3189033189033101E-2</v>
      </c>
    </row>
    <row r="41" spans="2:41" x14ac:dyDescent="0.25">
      <c r="B41" s="473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22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42621</v>
      </c>
      <c r="X41" s="41">
        <v>13.4</v>
      </c>
      <c r="Y41" s="41">
        <v>13.92</v>
      </c>
      <c r="Z41" s="41">
        <v>13.27</v>
      </c>
      <c r="AA41" s="41">
        <v>13.86</v>
      </c>
      <c r="AB41" s="104">
        <v>7029300</v>
      </c>
      <c r="AC41" s="9">
        <v>13.86</v>
      </c>
      <c r="AD41" s="2">
        <f t="shared" si="1"/>
        <v>0.65000000000000036</v>
      </c>
      <c r="AE41" s="138">
        <f t="shared" si="2"/>
        <v>3.2786885245901676E-2</v>
      </c>
      <c r="AL41" s="234"/>
      <c r="AO41" s="234"/>
    </row>
    <row r="42" spans="2:41" ht="20.25" thickBot="1" x14ac:dyDescent="0.35">
      <c r="B42" s="473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22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7" t="s">
        <v>78</v>
      </c>
      <c r="P42" s="377"/>
      <c r="T42" s="105" t="s">
        <v>92</v>
      </c>
      <c r="U42" s="109"/>
      <c r="W42" s="123">
        <v>42620</v>
      </c>
      <c r="X42" s="41">
        <v>12.73</v>
      </c>
      <c r="Y42" s="41">
        <v>13.44</v>
      </c>
      <c r="Z42" s="41">
        <v>12.73</v>
      </c>
      <c r="AA42" s="41">
        <v>13.42</v>
      </c>
      <c r="AB42" s="104">
        <v>6121200</v>
      </c>
      <c r="AC42" s="9">
        <v>13.42</v>
      </c>
      <c r="AD42" s="2">
        <f t="shared" si="1"/>
        <v>0.70999999999999908</v>
      </c>
      <c r="AE42" s="138">
        <f t="shared" si="2"/>
        <v>5.5031446540880546E-2</v>
      </c>
    </row>
    <row r="43" spans="2:41" ht="15.75" thickTop="1" x14ac:dyDescent="0.25">
      <c r="B43" s="473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22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11.979000000000001</v>
      </c>
      <c r="T43" s="108" t="s">
        <v>98</v>
      </c>
      <c r="U43" s="106">
        <v>11.8</v>
      </c>
      <c r="W43" s="123">
        <v>42619</v>
      </c>
      <c r="X43" s="41">
        <v>12.51</v>
      </c>
      <c r="Y43" s="41">
        <v>12.8</v>
      </c>
      <c r="Z43" s="41">
        <v>12.51</v>
      </c>
      <c r="AA43" s="41">
        <v>12.72</v>
      </c>
      <c r="AB43" s="104">
        <v>4219700</v>
      </c>
      <c r="AC43" s="9">
        <v>12.72</v>
      </c>
      <c r="AD43" s="2">
        <f t="shared" si="1"/>
        <v>0.29000000000000092</v>
      </c>
      <c r="AE43" s="138">
        <f t="shared" si="2"/>
        <v>1.9230769230769162E-2</v>
      </c>
    </row>
    <row r="44" spans="2:41" x14ac:dyDescent="0.25">
      <c r="B44" s="473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22">
        <v>42361</v>
      </c>
      <c r="H44" s="82">
        <v>200</v>
      </c>
      <c r="I44" s="79">
        <v>12.77</v>
      </c>
      <c r="J44" s="44">
        <v>0</v>
      </c>
      <c r="K44" s="44">
        <f t="shared" si="6"/>
        <v>2554</v>
      </c>
      <c r="O44" s="83">
        <v>1.0900000000000001</v>
      </c>
      <c r="P44" s="83">
        <f t="shared" ref="P44:P63" si="8">O44*$Q$4</f>
        <v>11.870100000000001</v>
      </c>
      <c r="T44" s="108" t="s">
        <v>99</v>
      </c>
      <c r="U44" s="106">
        <v>11.5</v>
      </c>
      <c r="W44" s="123">
        <v>42615</v>
      </c>
      <c r="X44" s="41">
        <v>12.22</v>
      </c>
      <c r="Y44" s="41">
        <v>12.57</v>
      </c>
      <c r="Z44" s="41">
        <v>12.2</v>
      </c>
      <c r="AA44" s="41">
        <v>12.48</v>
      </c>
      <c r="AB44" s="104">
        <v>2269700</v>
      </c>
      <c r="AC44" s="9">
        <v>12.48</v>
      </c>
      <c r="AD44" s="2">
        <f t="shared" si="1"/>
        <v>0.37000000000000099</v>
      </c>
      <c r="AE44" s="138">
        <f t="shared" si="2"/>
        <v>2.8854080791426151E-2</v>
      </c>
    </row>
    <row r="45" spans="2:41" x14ac:dyDescent="0.25">
      <c r="B45" s="473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22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11.761200000000001</v>
      </c>
      <c r="Q45" s="2"/>
      <c r="T45" s="108" t="s">
        <v>100</v>
      </c>
      <c r="U45" s="106" t="s">
        <v>457</v>
      </c>
      <c r="W45" s="123">
        <v>42614</v>
      </c>
      <c r="X45" s="41">
        <v>12.54</v>
      </c>
      <c r="Y45" s="41">
        <v>12.56</v>
      </c>
      <c r="Z45" s="41">
        <v>12.07</v>
      </c>
      <c r="AA45" s="41">
        <v>12.13</v>
      </c>
      <c r="AB45" s="104">
        <v>3351200</v>
      </c>
      <c r="AC45" s="9">
        <v>12.13</v>
      </c>
      <c r="AD45" s="2">
        <f t="shared" si="1"/>
        <v>0.49000000000000021</v>
      </c>
      <c r="AE45" s="138">
        <f t="shared" si="2"/>
        <v>-2.8044871794871806E-2</v>
      </c>
      <c r="AL45" s="234"/>
      <c r="AO45" s="234"/>
    </row>
    <row r="46" spans="2:41" x14ac:dyDescent="0.25">
      <c r="B46" s="473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22">
        <v>42361</v>
      </c>
      <c r="H46" s="82"/>
      <c r="I46" s="79"/>
      <c r="J46" s="44"/>
      <c r="K46" s="44"/>
      <c r="O46" s="83">
        <v>1.07</v>
      </c>
      <c r="P46" s="83">
        <f t="shared" si="8"/>
        <v>11.652300000000002</v>
      </c>
      <c r="Q46" s="2"/>
      <c r="T46" s="108" t="s">
        <v>101</v>
      </c>
      <c r="U46" s="106" t="s">
        <v>458</v>
      </c>
      <c r="W46" s="123">
        <v>42613</v>
      </c>
      <c r="X46" s="41">
        <v>12.42</v>
      </c>
      <c r="Y46" s="41">
        <v>12.75</v>
      </c>
      <c r="Z46" s="41">
        <v>12.29</v>
      </c>
      <c r="AA46" s="41">
        <v>12.48</v>
      </c>
      <c r="AB46" s="104">
        <v>3099400</v>
      </c>
      <c r="AC46" s="9">
        <v>12.48</v>
      </c>
      <c r="AD46" s="2">
        <f t="shared" si="1"/>
        <v>0.46000000000000085</v>
      </c>
      <c r="AE46" s="138">
        <f t="shared" si="2"/>
        <v>5.6406124093473231E-3</v>
      </c>
    </row>
    <row r="47" spans="2:41" x14ac:dyDescent="0.25">
      <c r="B47" s="589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22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11.543400000000002</v>
      </c>
      <c r="Q47" s="2"/>
      <c r="T47" s="108" t="s">
        <v>102</v>
      </c>
      <c r="U47" s="106">
        <v>16.89</v>
      </c>
      <c r="W47" s="123">
        <v>42612</v>
      </c>
      <c r="X47" s="41">
        <v>12.57</v>
      </c>
      <c r="Y47" s="41">
        <v>12.66</v>
      </c>
      <c r="Z47" s="41">
        <v>12.38</v>
      </c>
      <c r="AA47" s="41">
        <v>12.41</v>
      </c>
      <c r="AB47" s="104">
        <v>2992200</v>
      </c>
      <c r="AC47" s="9">
        <v>12.41</v>
      </c>
      <c r="AD47" s="2">
        <f t="shared" si="1"/>
        <v>0.27999999999999936</v>
      </c>
      <c r="AE47" s="138">
        <f t="shared" si="2"/>
        <v>-1.4297061159650459E-2</v>
      </c>
    </row>
    <row r="48" spans="2:41" x14ac:dyDescent="0.25">
      <c r="B48" s="589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73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11.434500000000002</v>
      </c>
      <c r="Q48" s="2"/>
      <c r="T48" s="108" t="s">
        <v>103</v>
      </c>
      <c r="U48" s="106">
        <v>1.1774199999999999</v>
      </c>
      <c r="W48" s="123">
        <v>42611</v>
      </c>
      <c r="X48" s="41">
        <v>12.49</v>
      </c>
      <c r="Y48" s="41">
        <v>12.73</v>
      </c>
      <c r="Z48" s="41">
        <v>12.48</v>
      </c>
      <c r="AA48" s="41">
        <v>12.59</v>
      </c>
      <c r="AB48" s="104">
        <v>2875300</v>
      </c>
      <c r="AC48" s="9">
        <v>12.59</v>
      </c>
      <c r="AD48" s="2">
        <f t="shared" si="1"/>
        <v>0.25</v>
      </c>
      <c r="AE48" s="138">
        <f t="shared" si="2"/>
        <v>1.0433386837881198E-2</v>
      </c>
    </row>
    <row r="49" spans="2:42" x14ac:dyDescent="0.25">
      <c r="B49" s="473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73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11.325600000000001</v>
      </c>
      <c r="Q49" s="2"/>
      <c r="T49" s="108" t="s">
        <v>104</v>
      </c>
      <c r="U49" s="106" t="s">
        <v>129</v>
      </c>
      <c r="W49" s="123">
        <v>42608</v>
      </c>
      <c r="X49" s="41">
        <v>12.48</v>
      </c>
      <c r="Y49" s="41">
        <v>12.91</v>
      </c>
      <c r="Z49" s="41">
        <v>12.43</v>
      </c>
      <c r="AA49" s="41">
        <v>12.46</v>
      </c>
      <c r="AB49" s="104">
        <v>4520000</v>
      </c>
      <c r="AC49" s="9">
        <v>12.46</v>
      </c>
      <c r="AD49" s="2">
        <f t="shared" si="1"/>
        <v>0.48000000000000043</v>
      </c>
      <c r="AE49" s="138">
        <f t="shared" si="2"/>
        <v>3.2206119162641045E-3</v>
      </c>
    </row>
    <row r="50" spans="2:42" x14ac:dyDescent="0.25">
      <c r="B50" s="473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73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11.216700000000001</v>
      </c>
      <c r="Q50" s="2"/>
      <c r="T50" s="108"/>
      <c r="U50" s="106"/>
      <c r="W50" s="123">
        <v>42607</v>
      </c>
      <c r="X50" s="41">
        <v>12.43</v>
      </c>
      <c r="Y50" s="41">
        <v>12.58</v>
      </c>
      <c r="Z50" s="41">
        <v>12.31</v>
      </c>
      <c r="AA50" s="41">
        <v>12.42</v>
      </c>
      <c r="AB50" s="104">
        <v>2347000</v>
      </c>
      <c r="AC50" s="9">
        <v>12.42</v>
      </c>
      <c r="AD50" s="2">
        <f t="shared" si="1"/>
        <v>0.26999999999999957</v>
      </c>
      <c r="AE50" s="138">
        <f t="shared" si="2"/>
        <v>-3.2102728731943087E-3</v>
      </c>
    </row>
    <row r="51" spans="2:42" x14ac:dyDescent="0.25">
      <c r="B51" s="473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73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11.107800000000001</v>
      </c>
      <c r="Q51" s="2"/>
      <c r="T51" s="108" t="s">
        <v>105</v>
      </c>
      <c r="U51" s="106" t="s">
        <v>459</v>
      </c>
      <c r="W51" s="123">
        <v>42606</v>
      </c>
      <c r="X51" s="41">
        <v>12.54</v>
      </c>
      <c r="Y51" s="41">
        <v>12.64</v>
      </c>
      <c r="Z51" s="41">
        <v>12.4</v>
      </c>
      <c r="AA51" s="41">
        <v>12.46</v>
      </c>
      <c r="AB51" s="104">
        <v>3348000</v>
      </c>
      <c r="AC51" s="9">
        <v>12.46</v>
      </c>
      <c r="AD51" s="2">
        <f t="shared" si="1"/>
        <v>0.24000000000000021</v>
      </c>
      <c r="AE51" s="138">
        <f t="shared" si="2"/>
        <v>-8.7509944311853216E-3</v>
      </c>
    </row>
    <row r="52" spans="2:42" x14ac:dyDescent="0.25">
      <c r="B52" s="473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73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10.998900000000001</v>
      </c>
      <c r="Q52" s="2"/>
      <c r="T52" s="108" t="s">
        <v>106</v>
      </c>
      <c r="U52" s="106" t="s">
        <v>460</v>
      </c>
      <c r="W52" s="123">
        <v>42605</v>
      </c>
      <c r="X52" s="41">
        <v>12.26</v>
      </c>
      <c r="Y52" s="41">
        <v>12.74</v>
      </c>
      <c r="Z52" s="41">
        <v>12.26</v>
      </c>
      <c r="AA52" s="41">
        <v>12.57</v>
      </c>
      <c r="AB52" s="104">
        <v>3826500</v>
      </c>
      <c r="AC52" s="9">
        <v>12.57</v>
      </c>
      <c r="AD52" s="2">
        <f t="shared" si="1"/>
        <v>0.48000000000000043</v>
      </c>
      <c r="AE52" s="138">
        <f t="shared" si="2"/>
        <v>2.6960784313725394E-2</v>
      </c>
    </row>
    <row r="53" spans="2:42" x14ac:dyDescent="0.25">
      <c r="B53" s="473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73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10.89</v>
      </c>
      <c r="Q53" s="2"/>
      <c r="T53" s="108" t="s">
        <v>107</v>
      </c>
      <c r="U53" s="107">
        <v>15762440</v>
      </c>
      <c r="W53" s="123">
        <v>42604</v>
      </c>
      <c r="X53" s="41">
        <v>12.21</v>
      </c>
      <c r="Y53" s="41">
        <v>12.29</v>
      </c>
      <c r="Z53" s="41">
        <v>11.97</v>
      </c>
      <c r="AA53" s="41">
        <v>12.24</v>
      </c>
      <c r="AB53" s="104">
        <v>3264800</v>
      </c>
      <c r="AC53" s="9">
        <v>12.24</v>
      </c>
      <c r="AD53" s="2">
        <f t="shared" si="1"/>
        <v>0.31999999999999851</v>
      </c>
      <c r="AE53" s="138">
        <f t="shared" si="2"/>
        <v>-1.6313213703099683E-3</v>
      </c>
      <c r="AL53" s="234"/>
      <c r="AO53" s="234"/>
    </row>
    <row r="54" spans="2:42" x14ac:dyDescent="0.25">
      <c r="B54" s="473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73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10.7811</v>
      </c>
      <c r="Q54" s="2"/>
      <c r="T54" s="108" t="s">
        <v>110</v>
      </c>
      <c r="U54" s="107">
        <v>4847900</v>
      </c>
      <c r="W54" s="123">
        <v>42601</v>
      </c>
      <c r="X54" s="41">
        <v>12.5</v>
      </c>
      <c r="Y54" s="41">
        <v>12.53</v>
      </c>
      <c r="Z54" s="41">
        <v>12.2</v>
      </c>
      <c r="AA54" s="41">
        <v>12.26</v>
      </c>
      <c r="AB54" s="104">
        <v>2653800</v>
      </c>
      <c r="AC54" s="9">
        <v>12.26</v>
      </c>
      <c r="AD54" s="2">
        <f t="shared" si="1"/>
        <v>0.33000000000000007</v>
      </c>
      <c r="AE54" s="138">
        <f t="shared" si="2"/>
        <v>-2.4661893396976997E-2</v>
      </c>
    </row>
    <row r="55" spans="2:42" x14ac:dyDescent="0.25">
      <c r="B55" s="473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73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10.6722</v>
      </c>
      <c r="T55" s="108" t="s">
        <v>108</v>
      </c>
      <c r="U55" s="106" t="s">
        <v>461</v>
      </c>
      <c r="W55" s="123">
        <v>42600</v>
      </c>
      <c r="X55" s="41">
        <v>12.59</v>
      </c>
      <c r="Y55" s="41">
        <v>12.66</v>
      </c>
      <c r="Z55" s="41">
        <v>12.51</v>
      </c>
      <c r="AA55" s="41">
        <v>12.57</v>
      </c>
      <c r="AB55" s="104">
        <v>3117300</v>
      </c>
      <c r="AC55" s="9">
        <v>12.57</v>
      </c>
      <c r="AD55" s="2">
        <f t="shared" si="1"/>
        <v>0.15000000000000036</v>
      </c>
      <c r="AE55" s="138">
        <f t="shared" si="2"/>
        <v>-3.1720856463123281E-3</v>
      </c>
    </row>
    <row r="56" spans="2:42" x14ac:dyDescent="0.25">
      <c r="B56" s="473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73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10.5633</v>
      </c>
      <c r="T56" s="108" t="s">
        <v>111</v>
      </c>
      <c r="U56" s="106">
        <v>217.8</v>
      </c>
      <c r="W56" s="123">
        <v>42599</v>
      </c>
      <c r="X56" s="41">
        <v>12.7</v>
      </c>
      <c r="Y56" s="41">
        <v>12.78</v>
      </c>
      <c r="Z56" s="41">
        <v>12.57</v>
      </c>
      <c r="AA56" s="41">
        <v>12.61</v>
      </c>
      <c r="AB56" s="104">
        <v>2682900</v>
      </c>
      <c r="AC56" s="9">
        <v>12.61</v>
      </c>
      <c r="AD56" s="2">
        <f t="shared" si="1"/>
        <v>0.20999999999999908</v>
      </c>
      <c r="AE56" s="138">
        <f t="shared" si="2"/>
        <v>-1.2529365700861383E-2</v>
      </c>
    </row>
    <row r="57" spans="2:42" x14ac:dyDescent="0.25">
      <c r="B57" s="473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73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10.4544</v>
      </c>
      <c r="T57" s="108" t="s">
        <v>112</v>
      </c>
      <c r="U57" s="106">
        <v>0.05</v>
      </c>
      <c r="W57" s="123">
        <v>42598</v>
      </c>
      <c r="X57" s="41">
        <v>12.75</v>
      </c>
      <c r="Y57" s="41">
        <v>12.93</v>
      </c>
      <c r="Z57" s="41">
        <v>12.66</v>
      </c>
      <c r="AA57" s="41">
        <v>12.77</v>
      </c>
      <c r="AB57" s="104">
        <v>4946600</v>
      </c>
      <c r="AC57" s="9">
        <v>12.77</v>
      </c>
      <c r="AD57" s="2">
        <f t="shared" si="1"/>
        <v>0.26999999999999957</v>
      </c>
      <c r="AE57" s="138">
        <f t="shared" si="2"/>
        <v>8.6887835703000071E-3</v>
      </c>
      <c r="AL57" s="234"/>
      <c r="AO57" s="234"/>
    </row>
    <row r="58" spans="2:42" x14ac:dyDescent="0.25">
      <c r="B58" s="473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73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10.345499999999999</v>
      </c>
      <c r="T58" s="108" t="s">
        <v>109</v>
      </c>
      <c r="U58" s="106" t="s">
        <v>123</v>
      </c>
      <c r="W58" s="123">
        <v>42597</v>
      </c>
      <c r="X58" s="41">
        <v>12.8</v>
      </c>
      <c r="Y58" s="41">
        <v>12.85</v>
      </c>
      <c r="Z58" s="41">
        <v>12.62</v>
      </c>
      <c r="AA58" s="41">
        <v>12.66</v>
      </c>
      <c r="AB58" s="104">
        <v>3234500</v>
      </c>
      <c r="AC58" s="9">
        <v>12.66</v>
      </c>
      <c r="AD58" s="2">
        <f t="shared" si="1"/>
        <v>0.23000000000000043</v>
      </c>
      <c r="AE58" s="138">
        <f t="shared" si="2"/>
        <v>-5.498821681068411E-3</v>
      </c>
    </row>
    <row r="59" spans="2:42" x14ac:dyDescent="0.25">
      <c r="B59" s="473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72"/>
      <c r="H59" s="7"/>
      <c r="I59" s="79"/>
      <c r="J59" s="44"/>
      <c r="K59" s="44"/>
      <c r="O59" s="83">
        <v>0.94</v>
      </c>
      <c r="P59" s="83">
        <f t="shared" si="8"/>
        <v>10.236599999999999</v>
      </c>
      <c r="W59" s="123">
        <v>42594</v>
      </c>
      <c r="X59" s="41">
        <v>12.65</v>
      </c>
      <c r="Y59" s="41">
        <v>12.97</v>
      </c>
      <c r="Z59" s="41">
        <v>12.59</v>
      </c>
      <c r="AA59" s="41">
        <v>12.73</v>
      </c>
      <c r="AB59" s="104">
        <v>4003900</v>
      </c>
      <c r="AC59" s="9">
        <v>12.73</v>
      </c>
      <c r="AD59" s="2">
        <f t="shared" si="1"/>
        <v>0.38000000000000078</v>
      </c>
      <c r="AE59" s="138">
        <f t="shared" si="2"/>
        <v>7.9176563737133332E-3</v>
      </c>
      <c r="AL59" s="234"/>
    </row>
    <row r="60" spans="2:42" x14ac:dyDescent="0.25">
      <c r="B60" s="473">
        <v>42530</v>
      </c>
      <c r="C60" s="7">
        <v>20</v>
      </c>
      <c r="D60" s="79">
        <v>15.44</v>
      </c>
      <c r="E60" s="44">
        <v>0</v>
      </c>
      <c r="F60" s="44">
        <f t="shared" si="7"/>
        <v>308.8</v>
      </c>
      <c r="G60" s="473">
        <v>42538</v>
      </c>
      <c r="H60" s="82">
        <v>480</v>
      </c>
      <c r="I60" s="79">
        <v>14.18</v>
      </c>
      <c r="J60" s="44">
        <v>0.15</v>
      </c>
      <c r="K60" s="44">
        <f t="shared" ref="K60:K79" si="10">H60*I60-J60</f>
        <v>6806.25</v>
      </c>
      <c r="O60" s="83">
        <v>0.93</v>
      </c>
      <c r="P60" s="83">
        <f t="shared" si="8"/>
        <v>10.127700000000001</v>
      </c>
      <c r="W60" s="123">
        <v>42593</v>
      </c>
      <c r="X60" s="41">
        <v>12.51</v>
      </c>
      <c r="Y60" s="41">
        <v>12.64</v>
      </c>
      <c r="Z60" s="41">
        <v>12.32</v>
      </c>
      <c r="AA60" s="41">
        <v>12.63</v>
      </c>
      <c r="AB60" s="104">
        <v>3850000</v>
      </c>
      <c r="AC60" s="9">
        <v>12.63</v>
      </c>
      <c r="AD60" s="2">
        <f t="shared" si="1"/>
        <v>0.32000000000000028</v>
      </c>
      <c r="AE60" s="138">
        <f t="shared" si="2"/>
        <v>9.5923261390888914E-3</v>
      </c>
    </row>
    <row r="61" spans="2:42" x14ac:dyDescent="0.25">
      <c r="B61" s="473">
        <v>42535</v>
      </c>
      <c r="C61" s="7">
        <v>480</v>
      </c>
      <c r="D61" s="79">
        <v>13.95</v>
      </c>
      <c r="E61" s="44">
        <v>0</v>
      </c>
      <c r="F61" s="44">
        <f t="shared" ref="F61:F70" si="11">C61*D61+E61</f>
        <v>6696</v>
      </c>
      <c r="G61" s="473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10.018800000000001</v>
      </c>
      <c r="W61" s="123">
        <v>42592</v>
      </c>
      <c r="X61" s="41">
        <v>12.66</v>
      </c>
      <c r="Y61" s="41">
        <v>12.72</v>
      </c>
      <c r="Z61" s="41">
        <v>12.4</v>
      </c>
      <c r="AA61" s="41">
        <v>12.51</v>
      </c>
      <c r="AB61" s="104">
        <v>3246300</v>
      </c>
      <c r="AC61" s="9">
        <v>12.51</v>
      </c>
      <c r="AD61" s="2">
        <f t="shared" si="1"/>
        <v>0.32000000000000028</v>
      </c>
      <c r="AE61" s="138">
        <f t="shared" si="2"/>
        <v>-1.2628255722178405E-2</v>
      </c>
      <c r="AL61" s="234"/>
      <c r="AO61" s="234"/>
    </row>
    <row r="62" spans="2:42" x14ac:dyDescent="0.25">
      <c r="B62" s="473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73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9.9099000000000004</v>
      </c>
      <c r="W62" s="123">
        <v>42591</v>
      </c>
      <c r="X62" s="41">
        <v>13.14</v>
      </c>
      <c r="Y62" s="41">
        <v>13.18</v>
      </c>
      <c r="Z62" s="41">
        <v>12.62</v>
      </c>
      <c r="AA62" s="41">
        <v>12.67</v>
      </c>
      <c r="AB62" s="104">
        <v>7358600</v>
      </c>
      <c r="AC62" s="9">
        <v>12.67</v>
      </c>
      <c r="AD62" s="2">
        <f t="shared" si="1"/>
        <v>0.5600000000000005</v>
      </c>
      <c r="AE62" s="138">
        <f t="shared" si="2"/>
        <v>-3.208556149732622E-2</v>
      </c>
    </row>
    <row r="63" spans="2:42" x14ac:dyDescent="0.25">
      <c r="B63" s="473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73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9.8010000000000002</v>
      </c>
      <c r="W63" s="123">
        <v>42590</v>
      </c>
      <c r="X63" s="41">
        <v>13.07</v>
      </c>
      <c r="Y63" s="41">
        <v>13.25</v>
      </c>
      <c r="Z63" s="41">
        <v>13.03</v>
      </c>
      <c r="AA63" s="41">
        <v>13.09</v>
      </c>
      <c r="AB63" s="104">
        <v>3649800</v>
      </c>
      <c r="AC63" s="9">
        <v>13.09</v>
      </c>
      <c r="AD63" s="2">
        <f t="shared" si="1"/>
        <v>0.22000000000000064</v>
      </c>
      <c r="AE63" s="138">
        <f t="shared" si="2"/>
        <v>6.1491160645656961E-3</v>
      </c>
      <c r="AL63" s="234"/>
      <c r="AO63" s="234"/>
      <c r="AP63" s="234"/>
    </row>
    <row r="64" spans="2:42" ht="15" customHeight="1" x14ac:dyDescent="0.25">
      <c r="B64" s="473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73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42587</v>
      </c>
      <c r="X64" s="41">
        <v>12.98</v>
      </c>
      <c r="Y64" s="41">
        <v>13.14</v>
      </c>
      <c r="Z64" s="41">
        <v>12.86</v>
      </c>
      <c r="AA64" s="41">
        <v>13.01</v>
      </c>
      <c r="AB64" s="104">
        <v>4090200</v>
      </c>
      <c r="AC64" s="9">
        <v>13.01</v>
      </c>
      <c r="AD64" s="2">
        <f t="shared" si="1"/>
        <v>0.28000000000000114</v>
      </c>
      <c r="AE64" s="138">
        <f t="shared" si="2"/>
        <v>3.0840400925211675E-3</v>
      </c>
    </row>
    <row r="65" spans="1:41" ht="16.5" customHeight="1" x14ac:dyDescent="0.25">
      <c r="A65" s="602" t="s">
        <v>289</v>
      </c>
      <c r="B65" s="473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73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42586</v>
      </c>
      <c r="X65" s="41">
        <v>13.5</v>
      </c>
      <c r="Y65" s="41">
        <v>13.54</v>
      </c>
      <c r="Z65" s="41">
        <v>12.85</v>
      </c>
      <c r="AA65" s="41">
        <v>12.97</v>
      </c>
      <c r="AB65" s="104">
        <v>5593000</v>
      </c>
      <c r="AC65" s="9">
        <v>12.97</v>
      </c>
      <c r="AD65" s="2">
        <f t="shared" si="1"/>
        <v>0.6899999999999995</v>
      </c>
      <c r="AE65" s="138">
        <f t="shared" si="2"/>
        <v>-4.0680473372781023E-2</v>
      </c>
      <c r="AL65" s="234"/>
      <c r="AO65" s="234"/>
    </row>
    <row r="66" spans="1:41" x14ac:dyDescent="0.25">
      <c r="A66" s="602"/>
      <c r="B66" s="473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73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42585</v>
      </c>
      <c r="X66" s="41">
        <v>13.5</v>
      </c>
      <c r="Y66" s="41">
        <v>13.56</v>
      </c>
      <c r="Z66" s="41">
        <v>13.23</v>
      </c>
      <c r="AA66" s="41">
        <v>13.52</v>
      </c>
      <c r="AB66" s="104">
        <v>3640900</v>
      </c>
      <c r="AC66" s="9">
        <v>13.52</v>
      </c>
      <c r="AD66" s="2">
        <f t="shared" si="1"/>
        <v>0.33000000000000007</v>
      </c>
      <c r="AE66" s="138">
        <f t="shared" si="2"/>
        <v>5.2044609665427011E-3</v>
      </c>
    </row>
    <row r="67" spans="1:41" ht="17.25" customHeight="1" x14ac:dyDescent="0.25">
      <c r="A67" s="602"/>
      <c r="B67" s="473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G67" s="473">
        <v>42620</v>
      </c>
      <c r="H67" s="82">
        <v>500</v>
      </c>
      <c r="I67" s="79">
        <v>12.92</v>
      </c>
      <c r="J67" s="44">
        <v>0.14000000000000001</v>
      </c>
      <c r="K67" s="44">
        <f t="shared" si="10"/>
        <v>6459.86</v>
      </c>
      <c r="W67" s="123">
        <v>42584</v>
      </c>
      <c r="X67" s="41">
        <v>13.29</v>
      </c>
      <c r="Y67" s="41">
        <v>13.5</v>
      </c>
      <c r="Z67" s="41">
        <v>13.2</v>
      </c>
      <c r="AA67" s="41">
        <v>13.45</v>
      </c>
      <c r="AB67" s="104">
        <v>5455800</v>
      </c>
      <c r="AC67" s="9">
        <v>13.45</v>
      </c>
      <c r="AD67" s="2">
        <f>Y67-Z67</f>
        <v>0.30000000000000071</v>
      </c>
      <c r="AE67" s="138" t="e">
        <f>AC67/AC68-1</f>
        <v>#DIV/0!</v>
      </c>
      <c r="AL67" s="234"/>
    </row>
    <row r="68" spans="1:41" ht="18" customHeight="1" x14ac:dyDescent="0.25">
      <c r="A68" s="601" t="s">
        <v>304</v>
      </c>
      <c r="B68" s="473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G68" s="473">
        <v>42620</v>
      </c>
      <c r="H68" s="82">
        <v>500</v>
      </c>
      <c r="I68" s="79">
        <v>13.15</v>
      </c>
      <c r="J68" s="44">
        <v>0.14000000000000001</v>
      </c>
      <c r="K68" s="44">
        <f t="shared" si="10"/>
        <v>6574.86</v>
      </c>
      <c r="W68" s="123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601"/>
      <c r="B69" s="473">
        <v>42590</v>
      </c>
      <c r="C69" s="7">
        <v>200</v>
      </c>
      <c r="D69" s="79">
        <v>13.05</v>
      </c>
      <c r="E69" s="44">
        <v>0</v>
      </c>
      <c r="F69" s="44">
        <f t="shared" si="11"/>
        <v>2610</v>
      </c>
      <c r="G69" s="473">
        <v>42620</v>
      </c>
      <c r="H69" s="82">
        <v>300</v>
      </c>
      <c r="I69" s="79">
        <v>13.32</v>
      </c>
      <c r="J69" s="44">
        <v>0.09</v>
      </c>
      <c r="K69" s="44">
        <f t="shared" si="10"/>
        <v>3995.91</v>
      </c>
      <c r="O69" s="2"/>
    </row>
    <row r="70" spans="1:41" x14ac:dyDescent="0.25">
      <c r="A70" s="601"/>
      <c r="B70" s="473">
        <v>42590</v>
      </c>
      <c r="C70" s="7">
        <v>300</v>
      </c>
      <c r="D70" s="79">
        <v>13.05</v>
      </c>
      <c r="E70" s="44">
        <v>0</v>
      </c>
      <c r="F70" s="44">
        <f t="shared" si="11"/>
        <v>3915</v>
      </c>
      <c r="G70" s="473">
        <v>42621</v>
      </c>
      <c r="H70" s="82">
        <v>200</v>
      </c>
      <c r="I70" s="79">
        <v>13.75</v>
      </c>
      <c r="J70" s="44">
        <v>0.06</v>
      </c>
      <c r="K70" s="44">
        <f t="shared" si="10"/>
        <v>2749.94</v>
      </c>
    </row>
    <row r="71" spans="1:41" x14ac:dyDescent="0.25">
      <c r="A71" s="601"/>
      <c r="B71" s="473">
        <v>42591</v>
      </c>
      <c r="C71" s="7">
        <v>200</v>
      </c>
      <c r="D71" s="79">
        <v>12.76</v>
      </c>
      <c r="E71" s="44">
        <v>0</v>
      </c>
      <c r="F71" s="44">
        <f t="shared" ref="F71:F72" si="12">C71*D71+E71</f>
        <v>2552</v>
      </c>
      <c r="G71" s="473">
        <v>42629</v>
      </c>
      <c r="H71" s="82">
        <v>300</v>
      </c>
      <c r="I71" s="79">
        <v>13.28</v>
      </c>
      <c r="J71" s="44">
        <v>0.09</v>
      </c>
      <c r="K71" s="44">
        <f t="shared" si="10"/>
        <v>3983.91</v>
      </c>
    </row>
    <row r="72" spans="1:41" ht="15" customHeight="1" x14ac:dyDescent="0.25">
      <c r="A72" s="601"/>
      <c r="B72" s="473">
        <v>42591</v>
      </c>
      <c r="C72" s="7">
        <v>200</v>
      </c>
      <c r="D72" s="79">
        <v>12.62</v>
      </c>
      <c r="E72" s="44">
        <v>0</v>
      </c>
      <c r="F72" s="44">
        <f t="shared" si="12"/>
        <v>2524</v>
      </c>
      <c r="G72" s="473">
        <v>42634</v>
      </c>
      <c r="H72" s="82">
        <v>200</v>
      </c>
      <c r="I72" s="79">
        <v>13.88</v>
      </c>
      <c r="J72" s="44">
        <v>0.06</v>
      </c>
      <c r="K72" s="44">
        <f t="shared" si="10"/>
        <v>2775.94</v>
      </c>
    </row>
    <row r="73" spans="1:41" x14ac:dyDescent="0.25">
      <c r="A73" s="601"/>
      <c r="B73" s="473">
        <v>42591</v>
      </c>
      <c r="C73" s="7">
        <v>100</v>
      </c>
      <c r="D73" s="79">
        <v>12.62</v>
      </c>
      <c r="E73" s="44">
        <v>0</v>
      </c>
      <c r="F73" s="44">
        <f t="shared" ref="F73:F81" si="13">C73*D73+E73</f>
        <v>1262</v>
      </c>
      <c r="G73" s="473">
        <v>42634</v>
      </c>
      <c r="H73" s="82">
        <v>200</v>
      </c>
      <c r="I73" s="79">
        <v>13.86</v>
      </c>
      <c r="J73" s="44">
        <v>0.06</v>
      </c>
      <c r="K73" s="44">
        <f t="shared" si="10"/>
        <v>2771.94</v>
      </c>
    </row>
    <row r="74" spans="1:41" x14ac:dyDescent="0.25">
      <c r="B74" s="473">
        <v>42601</v>
      </c>
      <c r="C74" s="7">
        <v>500</v>
      </c>
      <c r="D74" s="79">
        <v>12.28</v>
      </c>
      <c r="E74" s="44">
        <v>0</v>
      </c>
      <c r="F74" s="44">
        <f t="shared" si="13"/>
        <v>6140</v>
      </c>
      <c r="G74" s="473">
        <v>42646</v>
      </c>
      <c r="H74" s="82">
        <v>500</v>
      </c>
      <c r="I74" s="79">
        <v>12.52</v>
      </c>
      <c r="J74" s="44">
        <v>0.14000000000000001</v>
      </c>
      <c r="K74" s="44">
        <f t="shared" si="10"/>
        <v>6259.86</v>
      </c>
    </row>
    <row r="75" spans="1:41" x14ac:dyDescent="0.25">
      <c r="B75" s="473">
        <v>42604</v>
      </c>
      <c r="C75" s="7">
        <v>500</v>
      </c>
      <c r="D75" s="79">
        <v>12.08</v>
      </c>
      <c r="E75" s="44">
        <v>0</v>
      </c>
      <c r="F75" s="44">
        <f t="shared" si="13"/>
        <v>6040</v>
      </c>
      <c r="G75" s="473">
        <v>42648</v>
      </c>
      <c r="H75" s="82">
        <v>500</v>
      </c>
      <c r="I75" s="79">
        <v>12.42</v>
      </c>
      <c r="J75" s="44">
        <v>0.14000000000000001</v>
      </c>
      <c r="K75" s="44">
        <f t="shared" si="10"/>
        <v>6209.86</v>
      </c>
    </row>
    <row r="76" spans="1:41" x14ac:dyDescent="0.25">
      <c r="B76" s="473">
        <v>42605</v>
      </c>
      <c r="C76" s="7">
        <v>500</v>
      </c>
      <c r="D76" s="79">
        <v>12.55</v>
      </c>
      <c r="E76" s="44">
        <v>0</v>
      </c>
      <c r="F76" s="44">
        <f t="shared" si="13"/>
        <v>6275</v>
      </c>
      <c r="G76" s="473">
        <v>42653</v>
      </c>
      <c r="H76" s="185">
        <v>1000</v>
      </c>
      <c r="I76" s="240">
        <v>12.85</v>
      </c>
      <c r="J76" s="3">
        <v>0.28000000000000003</v>
      </c>
      <c r="K76" s="3">
        <f t="shared" si="10"/>
        <v>12849.72</v>
      </c>
    </row>
    <row r="77" spans="1:41" ht="15" customHeight="1" x14ac:dyDescent="0.25">
      <c r="B77" s="473">
        <v>42608</v>
      </c>
      <c r="C77" s="7">
        <v>500</v>
      </c>
      <c r="D77" s="79">
        <v>12.62</v>
      </c>
      <c r="E77" s="44">
        <v>0</v>
      </c>
      <c r="F77" s="44">
        <f t="shared" si="13"/>
        <v>6310</v>
      </c>
      <c r="G77" s="473">
        <v>42653</v>
      </c>
      <c r="H77" s="82">
        <v>500</v>
      </c>
      <c r="I77" s="79">
        <v>13.13</v>
      </c>
      <c r="J77" s="44">
        <v>0.14000000000000001</v>
      </c>
      <c r="K77" s="44">
        <f t="shared" si="10"/>
        <v>6564.86</v>
      </c>
    </row>
    <row r="78" spans="1:41" x14ac:dyDescent="0.25">
      <c r="B78" s="473">
        <v>42612</v>
      </c>
      <c r="C78" s="7">
        <v>200</v>
      </c>
      <c r="D78" s="79">
        <v>12.38</v>
      </c>
      <c r="E78" s="44">
        <v>0</v>
      </c>
      <c r="F78" s="44">
        <f t="shared" si="13"/>
        <v>2476</v>
      </c>
      <c r="G78" s="473">
        <v>42662</v>
      </c>
      <c r="H78" s="82">
        <v>300</v>
      </c>
      <c r="I78" s="79">
        <v>13.12</v>
      </c>
      <c r="J78" s="44">
        <v>0.09</v>
      </c>
      <c r="K78" s="44">
        <f t="shared" si="10"/>
        <v>3935.9099999999994</v>
      </c>
    </row>
    <row r="79" spans="1:41" x14ac:dyDescent="0.25">
      <c r="B79" s="473">
        <v>42622</v>
      </c>
      <c r="C79" s="7">
        <v>200</v>
      </c>
      <c r="D79" s="79">
        <v>13.38</v>
      </c>
      <c r="E79" s="44">
        <v>0</v>
      </c>
      <c r="F79" s="44">
        <f t="shared" si="13"/>
        <v>2676</v>
      </c>
      <c r="G79" s="473">
        <v>42671</v>
      </c>
      <c r="H79" s="82">
        <v>100</v>
      </c>
      <c r="I79" s="79">
        <v>11.71</v>
      </c>
      <c r="J79" s="44">
        <v>0.03</v>
      </c>
      <c r="K79" s="44">
        <f t="shared" si="10"/>
        <v>1170.97</v>
      </c>
    </row>
    <row r="80" spans="1:41" ht="15" customHeight="1" x14ac:dyDescent="0.25">
      <c r="B80" s="473">
        <v>42627</v>
      </c>
      <c r="C80" s="7">
        <v>300</v>
      </c>
      <c r="D80" s="79">
        <v>12.85</v>
      </c>
      <c r="E80" s="44">
        <v>0</v>
      </c>
      <c r="F80" s="44">
        <f t="shared" si="13"/>
        <v>3855</v>
      </c>
      <c r="H80" s="4"/>
      <c r="I80" s="240"/>
      <c r="J80" s="3"/>
      <c r="K80" s="3"/>
    </row>
    <row r="81" spans="2:6" x14ac:dyDescent="0.25">
      <c r="B81" s="473">
        <v>42634</v>
      </c>
      <c r="C81" s="7">
        <v>100</v>
      </c>
      <c r="D81" s="79">
        <v>13.656000000000001</v>
      </c>
      <c r="E81" s="44">
        <v>0.03</v>
      </c>
      <c r="F81" s="44">
        <f t="shared" si="13"/>
        <v>1365.63</v>
      </c>
    </row>
    <row r="82" spans="2:6" x14ac:dyDescent="0.25">
      <c r="B82" s="1">
        <v>42634</v>
      </c>
      <c r="C82" s="7">
        <v>100</v>
      </c>
      <c r="D82" s="79">
        <v>13.656000000000001</v>
      </c>
      <c r="E82" s="44">
        <v>0.03</v>
      </c>
      <c r="F82" s="44">
        <f t="shared" ref="F82" si="14">C82*D82+E82</f>
        <v>1365.63</v>
      </c>
    </row>
    <row r="83" spans="2:6" ht="15" customHeight="1" x14ac:dyDescent="0.25">
      <c r="B83" s="74">
        <v>42641</v>
      </c>
      <c r="C83" s="7">
        <v>200</v>
      </c>
      <c r="D83" s="79">
        <v>13.32</v>
      </c>
      <c r="E83" s="44">
        <v>0</v>
      </c>
      <c r="F83" s="44">
        <f t="shared" ref="F83:F95" si="15">C83*D83+E83</f>
        <v>2664</v>
      </c>
    </row>
    <row r="84" spans="2:6" x14ac:dyDescent="0.25">
      <c r="B84" s="74">
        <v>42642</v>
      </c>
      <c r="C84" s="7">
        <v>300</v>
      </c>
      <c r="D84" s="79">
        <v>12.95</v>
      </c>
      <c r="E84" s="44">
        <v>-1.5</v>
      </c>
      <c r="F84" s="44">
        <f t="shared" si="15"/>
        <v>3883.5</v>
      </c>
    </row>
    <row r="85" spans="2:6" x14ac:dyDescent="0.25">
      <c r="B85" s="74">
        <v>42643</v>
      </c>
      <c r="C85" s="7">
        <v>500</v>
      </c>
      <c r="D85" s="79">
        <v>12.64</v>
      </c>
      <c r="E85" s="44">
        <v>0</v>
      </c>
      <c r="F85" s="44">
        <f t="shared" si="15"/>
        <v>6320</v>
      </c>
    </row>
    <row r="86" spans="2:6" ht="15" customHeight="1" x14ac:dyDescent="0.25">
      <c r="B86" s="525">
        <v>42646</v>
      </c>
      <c r="C86" s="7">
        <v>500</v>
      </c>
      <c r="D86" s="79">
        <v>12.58</v>
      </c>
      <c r="E86" s="44">
        <v>-2.5</v>
      </c>
      <c r="F86" s="44">
        <f t="shared" si="15"/>
        <v>6287.5</v>
      </c>
    </row>
    <row r="87" spans="2:6" x14ac:dyDescent="0.25">
      <c r="B87" s="525">
        <v>42646</v>
      </c>
      <c r="C87" s="7">
        <v>200</v>
      </c>
      <c r="D87" s="79">
        <v>12.48</v>
      </c>
      <c r="E87" s="44">
        <v>0</v>
      </c>
      <c r="F87" s="44">
        <f t="shared" si="15"/>
        <v>2496</v>
      </c>
    </row>
    <row r="88" spans="2:6" x14ac:dyDescent="0.25">
      <c r="B88" s="525">
        <v>42646</v>
      </c>
      <c r="C88" s="7">
        <v>300</v>
      </c>
      <c r="D88" s="79">
        <v>12.35</v>
      </c>
      <c r="E88" s="44">
        <v>0</v>
      </c>
      <c r="F88" s="44">
        <f t="shared" si="15"/>
        <v>3705</v>
      </c>
    </row>
    <row r="89" spans="2:6" ht="15" customHeight="1" x14ac:dyDescent="0.25">
      <c r="B89" s="525">
        <v>42647</v>
      </c>
      <c r="C89" s="7">
        <v>500</v>
      </c>
      <c r="D89" s="79">
        <v>12.18</v>
      </c>
      <c r="E89" s="44">
        <v>0</v>
      </c>
      <c r="F89" s="44">
        <f t="shared" si="15"/>
        <v>6090</v>
      </c>
    </row>
    <row r="90" spans="2:6" x14ac:dyDescent="0.25">
      <c r="B90" s="525">
        <v>42664</v>
      </c>
      <c r="C90" s="7">
        <v>300</v>
      </c>
      <c r="D90" s="79">
        <v>12.72</v>
      </c>
      <c r="E90" s="44">
        <v>0</v>
      </c>
      <c r="F90" s="44">
        <f t="shared" si="15"/>
        <v>3816</v>
      </c>
    </row>
    <row r="91" spans="2:6" x14ac:dyDescent="0.25">
      <c r="B91" s="525">
        <v>42667</v>
      </c>
      <c r="C91" s="7">
        <v>200</v>
      </c>
      <c r="D91" s="79">
        <v>12.38</v>
      </c>
      <c r="E91" s="44">
        <v>0</v>
      </c>
      <c r="F91" s="44">
        <f t="shared" si="15"/>
        <v>2476</v>
      </c>
    </row>
    <row r="92" spans="2:6" ht="15" customHeight="1" x14ac:dyDescent="0.25">
      <c r="B92" s="525">
        <v>42668</v>
      </c>
      <c r="C92" s="7">
        <v>300</v>
      </c>
      <c r="D92" s="79">
        <v>12.18</v>
      </c>
      <c r="E92" s="44">
        <v>0</v>
      </c>
      <c r="F92" s="44">
        <f t="shared" si="15"/>
        <v>3654</v>
      </c>
    </row>
    <row r="93" spans="2:6" x14ac:dyDescent="0.25">
      <c r="B93" s="525">
        <v>42671</v>
      </c>
      <c r="C93" s="7">
        <v>100</v>
      </c>
      <c r="D93" s="79">
        <v>11.38</v>
      </c>
      <c r="E93" s="44">
        <v>0</v>
      </c>
      <c r="F93" s="44">
        <f t="shared" si="15"/>
        <v>1138</v>
      </c>
    </row>
    <row r="94" spans="2:6" x14ac:dyDescent="0.25">
      <c r="B94" s="525">
        <v>42676</v>
      </c>
      <c r="C94" s="4">
        <v>100</v>
      </c>
      <c r="D94" s="240">
        <v>11.38</v>
      </c>
      <c r="E94" s="3">
        <v>0</v>
      </c>
      <c r="F94" s="2">
        <f t="shared" si="15"/>
        <v>1138</v>
      </c>
    </row>
    <row r="95" spans="2:6" x14ac:dyDescent="0.25">
      <c r="B95" s="525">
        <v>42676</v>
      </c>
      <c r="C95" s="4">
        <v>200</v>
      </c>
      <c r="D95" s="240">
        <v>11</v>
      </c>
      <c r="E95" s="3">
        <v>0</v>
      </c>
      <c r="F95" s="2">
        <f t="shared" si="15"/>
        <v>2200</v>
      </c>
    </row>
    <row r="106" spans="1:13" x14ac:dyDescent="0.25">
      <c r="C106" s="4"/>
      <c r="D106" s="240"/>
      <c r="E106" s="3"/>
      <c r="F106" s="3"/>
    </row>
    <row r="107" spans="1:13" x14ac:dyDescent="0.25">
      <c r="A107" s="32" t="s">
        <v>81</v>
      </c>
      <c r="B107" s="14"/>
      <c r="C107" s="14">
        <f>SUM(C2:C106)</f>
        <v>36605</v>
      </c>
      <c r="D107" s="81"/>
      <c r="E107" s="14"/>
      <c r="F107" s="18">
        <f>SUM(F2:F106)</f>
        <v>529967.78</v>
      </c>
      <c r="G107" s="14"/>
      <c r="H107" s="14">
        <f>SUM(H2:H106)</f>
        <v>32805</v>
      </c>
      <c r="I107" s="81"/>
      <c r="J107" s="14"/>
      <c r="K107" s="18">
        <f>SUM(K2:K106)</f>
        <v>459093.52999999985</v>
      </c>
      <c r="L107" s="14"/>
      <c r="M107" s="14"/>
    </row>
    <row r="108" spans="1:13" ht="15.75" thickBot="1" x14ac:dyDescent="0.3">
      <c r="A108" s="359" t="s">
        <v>201</v>
      </c>
      <c r="B108" s="360"/>
      <c r="C108" s="361">
        <f>SumByColor($A$108,C2:C106)</f>
        <v>32105</v>
      </c>
      <c r="D108" s="361"/>
      <c r="E108" s="361"/>
      <c r="F108" s="362">
        <f>SumByColor($A$108,F2:F106)</f>
        <v>445021</v>
      </c>
      <c r="G108" s="361"/>
      <c r="H108" s="361">
        <f>SumByColor($A$108,H2:H106)</f>
        <v>31805</v>
      </c>
      <c r="I108" s="361"/>
      <c r="J108" s="361"/>
      <c r="K108" s="362">
        <f>SumByColor($A$108,K2:K106)</f>
        <v>446246</v>
      </c>
      <c r="L108" s="361"/>
      <c r="M108" s="362">
        <f>SumByColor($A$108,M2:M106)</f>
        <v>0</v>
      </c>
    </row>
    <row r="112" spans="1:13" x14ac:dyDescent="0.25">
      <c r="B112" s="191" t="s">
        <v>114</v>
      </c>
      <c r="C112" s="191" t="s">
        <v>149</v>
      </c>
      <c r="D112" s="199" t="s">
        <v>148</v>
      </c>
      <c r="E112" s="195" t="s">
        <v>150</v>
      </c>
      <c r="F112" s="195" t="s">
        <v>65</v>
      </c>
      <c r="G112" s="229" t="s">
        <v>154</v>
      </c>
      <c r="H112" s="195" t="s">
        <v>88</v>
      </c>
      <c r="I112" s="241" t="s">
        <v>154</v>
      </c>
    </row>
    <row r="113" spans="2:9" x14ac:dyDescent="0.25">
      <c r="B113" s="193">
        <v>42304</v>
      </c>
      <c r="C113" s="10">
        <v>5530</v>
      </c>
      <c r="D113" s="200">
        <v>17.41</v>
      </c>
      <c r="E113" s="40">
        <v>14.61</v>
      </c>
      <c r="F113" s="40">
        <f>C113*(E113-D113)</f>
        <v>-15484.000000000004</v>
      </c>
      <c r="G113" s="40">
        <f>IF(C113=0, 0,D113*C113)</f>
        <v>96277.3</v>
      </c>
      <c r="H113" s="232">
        <f>IF(C113=0, D113, (E113-D113)/D113)</f>
        <v>-0.16082711085583001</v>
      </c>
      <c r="I113" s="200"/>
    </row>
    <row r="114" spans="2:9" x14ac:dyDescent="0.25">
      <c r="B114" s="193">
        <v>42306</v>
      </c>
      <c r="C114" s="10">
        <v>5530</v>
      </c>
      <c r="D114" s="200">
        <v>17.41</v>
      </c>
      <c r="E114" s="40">
        <v>14.94</v>
      </c>
      <c r="F114" s="40">
        <f t="shared" ref="F114:F155" si="16">C114*(E114-D114)</f>
        <v>-13659.100000000004</v>
      </c>
      <c r="G114" s="40">
        <f t="shared" ref="G114:G155" si="17">IF(C114=0, 0,D114*C114)</f>
        <v>96277.3</v>
      </c>
      <c r="H114" s="232">
        <f t="shared" ref="H114:H155" si="18">IF(C114=0, D114, (E114-D114)/D114)</f>
        <v>-0.14187248707639291</v>
      </c>
      <c r="I114" s="200"/>
    </row>
    <row r="115" spans="2:9" x14ac:dyDescent="0.25">
      <c r="B115" s="193">
        <v>42307</v>
      </c>
      <c r="C115" s="10">
        <v>5730</v>
      </c>
      <c r="D115" s="200">
        <v>17.329999999999998</v>
      </c>
      <c r="E115" s="40">
        <v>15.51</v>
      </c>
      <c r="F115" s="40">
        <f t="shared" si="16"/>
        <v>-10428.599999999991</v>
      </c>
      <c r="G115" s="40">
        <f t="shared" si="17"/>
        <v>99300.9</v>
      </c>
      <c r="H115" s="232">
        <f t="shared" si="18"/>
        <v>-0.10502019619157522</v>
      </c>
      <c r="I115" s="200"/>
    </row>
    <row r="116" spans="2:9" x14ac:dyDescent="0.25">
      <c r="B116" s="193">
        <v>42313</v>
      </c>
      <c r="C116" s="10">
        <v>6000</v>
      </c>
      <c r="D116" s="200">
        <v>17.22</v>
      </c>
      <c r="E116" s="40">
        <v>14.88</v>
      </c>
      <c r="F116" s="40">
        <f t="shared" si="16"/>
        <v>-14039.999999999989</v>
      </c>
      <c r="G116" s="40">
        <f t="shared" si="17"/>
        <v>103320</v>
      </c>
      <c r="H116" s="232">
        <f t="shared" si="18"/>
        <v>-0.13588850174216019</v>
      </c>
      <c r="I116" s="200"/>
    </row>
    <row r="117" spans="2:9" x14ac:dyDescent="0.25">
      <c r="B117" s="193">
        <v>42314</v>
      </c>
      <c r="C117" s="10">
        <v>7006</v>
      </c>
      <c r="D117" s="200">
        <v>16.829999999999998</v>
      </c>
      <c r="E117" s="40">
        <v>14.42</v>
      </c>
      <c r="F117" s="40">
        <f t="shared" si="16"/>
        <v>-16884.459999999988</v>
      </c>
      <c r="G117" s="40">
        <f t="shared" si="17"/>
        <v>117910.97999999998</v>
      </c>
      <c r="H117" s="232">
        <f t="shared" si="18"/>
        <v>-0.14319667260843724</v>
      </c>
      <c r="I117" s="200"/>
    </row>
    <row r="118" spans="2:9" x14ac:dyDescent="0.25">
      <c r="B118" s="193">
        <v>42324</v>
      </c>
      <c r="C118" s="10">
        <v>6000</v>
      </c>
      <c r="D118" s="200">
        <v>17.18</v>
      </c>
      <c r="E118" s="40">
        <v>14.92</v>
      </c>
      <c r="F118" s="40">
        <f t="shared" si="16"/>
        <v>-13559.999999999998</v>
      </c>
      <c r="G118" s="40">
        <f t="shared" si="17"/>
        <v>103080</v>
      </c>
      <c r="H118" s="232">
        <f t="shared" si="18"/>
        <v>-0.13154831199068684</v>
      </c>
      <c r="I118" s="200"/>
    </row>
    <row r="119" spans="2:9" x14ac:dyDescent="0.25">
      <c r="B119" s="193">
        <v>42325</v>
      </c>
      <c r="C119" s="10">
        <v>7000</v>
      </c>
      <c r="D119" s="200">
        <v>16.79</v>
      </c>
      <c r="E119" s="40">
        <v>14.38</v>
      </c>
      <c r="F119" s="40">
        <f t="shared" si="16"/>
        <v>-16869.999999999989</v>
      </c>
      <c r="G119" s="40">
        <f t="shared" si="17"/>
        <v>117530</v>
      </c>
      <c r="H119" s="232">
        <f t="shared" si="18"/>
        <v>-0.14353782013103028</v>
      </c>
      <c r="I119" s="200"/>
    </row>
    <row r="120" spans="2:9" x14ac:dyDescent="0.25">
      <c r="B120" s="193">
        <v>42326</v>
      </c>
      <c r="C120" s="10">
        <v>6000</v>
      </c>
      <c r="D120" s="200">
        <v>17.16</v>
      </c>
      <c r="E120" s="40">
        <v>14.65</v>
      </c>
      <c r="F120" s="40">
        <f t="shared" si="16"/>
        <v>-15059.999999999998</v>
      </c>
      <c r="G120" s="40">
        <f t="shared" si="17"/>
        <v>102960</v>
      </c>
      <c r="H120" s="232">
        <f t="shared" si="18"/>
        <v>-0.14627039627039626</v>
      </c>
      <c r="I120" s="200"/>
    </row>
    <row r="121" spans="2:9" x14ac:dyDescent="0.25">
      <c r="B121" s="193">
        <v>42335</v>
      </c>
      <c r="C121" s="10">
        <v>6100</v>
      </c>
      <c r="D121" s="200">
        <v>17.11</v>
      </c>
      <c r="E121" s="40">
        <v>14.47</v>
      </c>
      <c r="F121" s="40">
        <f t="shared" si="16"/>
        <v>-16103.999999999993</v>
      </c>
      <c r="G121" s="40">
        <f t="shared" si="17"/>
        <v>104371</v>
      </c>
      <c r="H121" s="232">
        <f t="shared" si="18"/>
        <v>-0.15429573348918754</v>
      </c>
      <c r="I121" s="200"/>
    </row>
    <row r="122" spans="2:9" x14ac:dyDescent="0.25">
      <c r="B122" s="193">
        <v>42335</v>
      </c>
      <c r="C122" s="10">
        <v>7000</v>
      </c>
      <c r="D122" s="200">
        <v>16.77</v>
      </c>
      <c r="E122" s="40">
        <v>14.47</v>
      </c>
      <c r="F122" s="40">
        <f t="shared" si="16"/>
        <v>-16099.999999999993</v>
      </c>
      <c r="G122" s="40">
        <f t="shared" si="17"/>
        <v>117390</v>
      </c>
      <c r="H122" s="232">
        <f t="shared" si="18"/>
        <v>-0.1371496720333929</v>
      </c>
      <c r="I122" s="200"/>
    </row>
    <row r="123" spans="2:9" x14ac:dyDescent="0.25">
      <c r="B123" s="193">
        <v>42338</v>
      </c>
      <c r="C123" s="10">
        <v>6000</v>
      </c>
      <c r="D123" s="200">
        <v>17.100000000000001</v>
      </c>
      <c r="E123" s="40">
        <v>14.78</v>
      </c>
      <c r="F123" s="40">
        <f t="shared" si="16"/>
        <v>-13920.000000000013</v>
      </c>
      <c r="G123" s="40">
        <f t="shared" si="17"/>
        <v>102600.00000000001</v>
      </c>
      <c r="H123" s="232">
        <f t="shared" si="18"/>
        <v>-0.13567251461988314</v>
      </c>
      <c r="I123" s="200"/>
    </row>
    <row r="124" spans="2:9" x14ac:dyDescent="0.25">
      <c r="B124" s="193">
        <v>42338</v>
      </c>
      <c r="C124" s="10">
        <v>5900</v>
      </c>
      <c r="D124" s="200">
        <v>17.14</v>
      </c>
      <c r="E124" s="40">
        <v>14.78</v>
      </c>
      <c r="F124" s="40">
        <f t="shared" si="16"/>
        <v>-13924.000000000007</v>
      </c>
      <c r="G124" s="40">
        <f t="shared" si="17"/>
        <v>101126</v>
      </c>
      <c r="H124" s="232">
        <f t="shared" si="18"/>
        <v>-0.13768961493582271</v>
      </c>
      <c r="I124" s="200"/>
    </row>
    <row r="125" spans="2:9" x14ac:dyDescent="0.25">
      <c r="B125" s="193">
        <v>42340</v>
      </c>
      <c r="C125" s="10">
        <v>7000</v>
      </c>
      <c r="D125" s="200">
        <v>16.670000000000002</v>
      </c>
      <c r="E125" s="40">
        <v>13.9</v>
      </c>
      <c r="F125" s="40">
        <f t="shared" si="16"/>
        <v>-19390.000000000011</v>
      </c>
      <c r="G125" s="40">
        <f t="shared" si="17"/>
        <v>116690.00000000001</v>
      </c>
      <c r="H125" s="232">
        <f t="shared" si="18"/>
        <v>-0.16616676664667074</v>
      </c>
      <c r="I125" s="200"/>
    </row>
    <row r="126" spans="2:9" x14ac:dyDescent="0.25">
      <c r="B126" s="193">
        <v>42340</v>
      </c>
      <c r="C126" s="10">
        <v>7500</v>
      </c>
      <c r="D126" s="200">
        <v>16.510000000000002</v>
      </c>
      <c r="E126" s="40">
        <v>13.9</v>
      </c>
      <c r="F126" s="40">
        <f t="shared" si="16"/>
        <v>-19575.000000000007</v>
      </c>
      <c r="G126" s="40">
        <f t="shared" si="17"/>
        <v>123825.00000000001</v>
      </c>
      <c r="H126" s="232">
        <f t="shared" si="18"/>
        <v>-0.15808600847970933</v>
      </c>
      <c r="I126" s="200"/>
    </row>
    <row r="127" spans="2:9" x14ac:dyDescent="0.25">
      <c r="B127" s="193">
        <v>42344</v>
      </c>
      <c r="C127" s="10">
        <v>7500</v>
      </c>
      <c r="D127" s="200">
        <v>16.510000000000002</v>
      </c>
      <c r="E127" s="40">
        <v>13.15</v>
      </c>
      <c r="F127" s="40">
        <f t="shared" si="16"/>
        <v>-25200.000000000007</v>
      </c>
      <c r="G127" s="40">
        <f t="shared" si="17"/>
        <v>123825.00000000001</v>
      </c>
      <c r="H127" s="232">
        <f t="shared" si="18"/>
        <v>-0.20351302241066027</v>
      </c>
      <c r="I127" s="200"/>
    </row>
    <row r="128" spans="2:9" x14ac:dyDescent="0.25">
      <c r="B128" s="193">
        <v>42349</v>
      </c>
      <c r="C128" s="10">
        <v>8000</v>
      </c>
      <c r="D128" s="200">
        <v>16.260000000000002</v>
      </c>
      <c r="E128" s="40">
        <v>12.47</v>
      </c>
      <c r="F128" s="40">
        <f t="shared" si="16"/>
        <v>-30320.000000000007</v>
      </c>
      <c r="G128" s="40">
        <f t="shared" si="17"/>
        <v>130080.00000000001</v>
      </c>
      <c r="H128" s="232">
        <f t="shared" si="18"/>
        <v>-0.23308733087330877</v>
      </c>
      <c r="I128" s="200"/>
    </row>
    <row r="129" spans="2:9" x14ac:dyDescent="0.25">
      <c r="B129" s="193">
        <v>42356</v>
      </c>
      <c r="C129" s="10">
        <v>7500</v>
      </c>
      <c r="D129" s="200">
        <v>16.510000000000002</v>
      </c>
      <c r="E129" s="40">
        <v>12.6</v>
      </c>
      <c r="F129" s="40">
        <f t="shared" si="16"/>
        <v>-29325.000000000015</v>
      </c>
      <c r="G129" s="40">
        <f t="shared" si="17"/>
        <v>123825.00000000001</v>
      </c>
      <c r="H129" s="232">
        <f t="shared" si="18"/>
        <v>-0.23682616596002432</v>
      </c>
      <c r="I129" s="200"/>
    </row>
    <row r="130" spans="2:9" x14ac:dyDescent="0.25">
      <c r="B130" s="193">
        <v>42356</v>
      </c>
      <c r="C130" s="447">
        <v>4500</v>
      </c>
      <c r="D130" s="524">
        <v>19.079999999999998</v>
      </c>
      <c r="E130" s="40">
        <v>12.88</v>
      </c>
      <c r="F130" s="40">
        <f t="shared" si="16"/>
        <v>-27899.999999999989</v>
      </c>
      <c r="G130" s="40">
        <f t="shared" si="17"/>
        <v>85859.999999999985</v>
      </c>
      <c r="H130" s="232">
        <f t="shared" si="18"/>
        <v>-0.32494758909853239</v>
      </c>
      <c r="I130" s="200"/>
    </row>
    <row r="131" spans="2:9" x14ac:dyDescent="0.25">
      <c r="B131" s="193">
        <v>42397</v>
      </c>
      <c r="C131" s="429">
        <v>2000</v>
      </c>
      <c r="D131" s="212">
        <v>26.06</v>
      </c>
      <c r="E131" s="40">
        <v>15.27</v>
      </c>
      <c r="F131" s="40">
        <f t="shared" si="16"/>
        <v>-21580</v>
      </c>
      <c r="G131" s="40">
        <f t="shared" si="17"/>
        <v>52120</v>
      </c>
      <c r="H131" s="232">
        <f t="shared" si="18"/>
        <v>-0.41404451266308517</v>
      </c>
      <c r="I131" s="200"/>
    </row>
    <row r="132" spans="2:9" x14ac:dyDescent="0.25">
      <c r="B132" s="193">
        <v>42398</v>
      </c>
      <c r="C132" s="282">
        <v>1800</v>
      </c>
      <c r="D132" s="283">
        <v>27.26</v>
      </c>
      <c r="E132" s="40">
        <v>15.27</v>
      </c>
      <c r="F132" s="40">
        <f t="shared" si="16"/>
        <v>-21582.000000000004</v>
      </c>
      <c r="G132" s="40">
        <f t="shared" si="17"/>
        <v>49068</v>
      </c>
      <c r="H132" s="232">
        <f t="shared" si="18"/>
        <v>-0.43983859134262659</v>
      </c>
      <c r="I132" s="200"/>
    </row>
    <row r="133" spans="2:9" x14ac:dyDescent="0.25">
      <c r="B133" s="193">
        <v>42402</v>
      </c>
      <c r="C133" s="282">
        <v>2000</v>
      </c>
      <c r="D133" s="283">
        <v>26</v>
      </c>
      <c r="E133" s="40">
        <v>15.18</v>
      </c>
      <c r="F133" s="40">
        <f t="shared" si="16"/>
        <v>-21640</v>
      </c>
      <c r="G133" s="40">
        <f t="shared" si="17"/>
        <v>52000</v>
      </c>
      <c r="H133" s="232">
        <f t="shared" si="18"/>
        <v>-0.41615384615384615</v>
      </c>
      <c r="I133" s="200"/>
    </row>
    <row r="134" spans="2:9" x14ac:dyDescent="0.25">
      <c r="B134" s="193">
        <v>42412</v>
      </c>
      <c r="C134" s="282">
        <v>2200</v>
      </c>
      <c r="D134" s="283">
        <v>24.75</v>
      </c>
      <c r="E134" s="40">
        <v>12.35</v>
      </c>
      <c r="F134" s="40">
        <f t="shared" si="16"/>
        <v>-27280</v>
      </c>
      <c r="G134" s="40">
        <f t="shared" si="17"/>
        <v>54450</v>
      </c>
      <c r="H134" s="232">
        <f t="shared" si="18"/>
        <v>-0.50101010101010102</v>
      </c>
      <c r="I134" s="200"/>
    </row>
    <row r="135" spans="2:9" x14ac:dyDescent="0.25">
      <c r="B135" s="193">
        <v>42416</v>
      </c>
      <c r="C135" s="282">
        <v>2000</v>
      </c>
      <c r="D135" s="283">
        <v>25.96</v>
      </c>
      <c r="E135" s="40">
        <v>12.35</v>
      </c>
      <c r="F135" s="40">
        <f t="shared" si="16"/>
        <v>-27220.000000000004</v>
      </c>
      <c r="G135" s="40">
        <f t="shared" si="17"/>
        <v>51920</v>
      </c>
      <c r="H135" s="232">
        <f t="shared" si="18"/>
        <v>-0.52426810477657937</v>
      </c>
      <c r="I135" s="200"/>
    </row>
    <row r="136" spans="2:9" x14ac:dyDescent="0.25">
      <c r="B136" s="193">
        <v>42416</v>
      </c>
      <c r="C136" s="282">
        <v>1750</v>
      </c>
      <c r="D136" s="283">
        <v>27.81</v>
      </c>
      <c r="E136" s="40">
        <v>12.89</v>
      </c>
      <c r="F136" s="40">
        <f t="shared" si="16"/>
        <v>-26109.999999999996</v>
      </c>
      <c r="G136" s="40">
        <f t="shared" si="17"/>
        <v>48667.5</v>
      </c>
      <c r="H136" s="232">
        <f t="shared" si="18"/>
        <v>-0.53649766271125487</v>
      </c>
      <c r="I136" s="200"/>
    </row>
    <row r="137" spans="2:9" x14ac:dyDescent="0.25">
      <c r="B137" s="193">
        <v>42416</v>
      </c>
      <c r="C137" s="282">
        <v>2000</v>
      </c>
      <c r="D137" s="283">
        <v>25.948</v>
      </c>
      <c r="E137" s="40">
        <v>12.94</v>
      </c>
      <c r="F137" s="40">
        <f t="shared" si="16"/>
        <v>-26016</v>
      </c>
      <c r="G137" s="40">
        <f t="shared" si="17"/>
        <v>51896</v>
      </c>
      <c r="H137" s="232">
        <f t="shared" si="18"/>
        <v>-0.50131031293355943</v>
      </c>
      <c r="I137" s="200"/>
    </row>
    <row r="138" spans="2:9" x14ac:dyDescent="0.25">
      <c r="B138" s="193">
        <v>42426</v>
      </c>
      <c r="C138" s="282">
        <v>2000</v>
      </c>
      <c r="D138" s="283">
        <v>25.914999999999999</v>
      </c>
      <c r="E138" s="40">
        <v>12.37</v>
      </c>
      <c r="F138" s="40">
        <f t="shared" si="16"/>
        <v>-27090</v>
      </c>
      <c r="G138" s="40">
        <f t="shared" si="17"/>
        <v>51830</v>
      </c>
      <c r="H138" s="232">
        <f t="shared" si="18"/>
        <v>-0.52267026818444917</v>
      </c>
      <c r="I138" s="200"/>
    </row>
    <row r="139" spans="2:9" x14ac:dyDescent="0.25">
      <c r="B139" s="193">
        <v>42430</v>
      </c>
      <c r="C139" s="429">
        <v>2000</v>
      </c>
      <c r="D139" s="212">
        <v>25.914999999999999</v>
      </c>
      <c r="E139" s="40">
        <v>12.82</v>
      </c>
      <c r="F139" s="40">
        <f t="shared" si="16"/>
        <v>-26189.999999999996</v>
      </c>
      <c r="G139" s="40">
        <f t="shared" si="17"/>
        <v>51830</v>
      </c>
      <c r="H139" s="232">
        <f t="shared" si="18"/>
        <v>-0.50530580744742426</v>
      </c>
      <c r="I139" s="46">
        <v>25.5</v>
      </c>
    </row>
    <row r="140" spans="2:9" x14ac:dyDescent="0.25">
      <c r="B140" s="193">
        <v>42431</v>
      </c>
      <c r="C140" s="282">
        <v>1500</v>
      </c>
      <c r="D140" s="283">
        <v>30.137</v>
      </c>
      <c r="E140" s="40">
        <v>13.3</v>
      </c>
      <c r="F140" s="40">
        <f t="shared" si="16"/>
        <v>-25255.5</v>
      </c>
      <c r="G140" s="40">
        <f t="shared" si="17"/>
        <v>45205.5</v>
      </c>
      <c r="H140" s="232">
        <f t="shared" si="18"/>
        <v>-0.55868201878090051</v>
      </c>
      <c r="I140" s="200"/>
    </row>
    <row r="141" spans="2:9" x14ac:dyDescent="0.25">
      <c r="B141" s="193">
        <v>42444</v>
      </c>
      <c r="C141" s="282">
        <v>1500</v>
      </c>
      <c r="D141" s="283">
        <v>30.137</v>
      </c>
      <c r="E141" s="40">
        <v>14.28</v>
      </c>
      <c r="F141" s="40">
        <f t="shared" si="16"/>
        <v>-23785.5</v>
      </c>
      <c r="G141" s="40">
        <f t="shared" si="17"/>
        <v>45205.5</v>
      </c>
      <c r="H141" s="232">
        <f t="shared" si="18"/>
        <v>-0.52616385174370384</v>
      </c>
      <c r="I141" s="200"/>
    </row>
    <row r="142" spans="2:9" x14ac:dyDescent="0.25">
      <c r="B142" s="193">
        <v>42447</v>
      </c>
      <c r="C142" s="282">
        <v>1500</v>
      </c>
      <c r="D142" s="283">
        <v>30.137</v>
      </c>
      <c r="E142" s="40">
        <v>14.98</v>
      </c>
      <c r="F142" s="40">
        <f t="shared" si="16"/>
        <v>-22735.5</v>
      </c>
      <c r="G142" s="40">
        <f t="shared" si="17"/>
        <v>45205.5</v>
      </c>
      <c r="H142" s="232">
        <f t="shared" si="18"/>
        <v>-0.50293658957427745</v>
      </c>
      <c r="I142" s="200"/>
    </row>
    <row r="143" spans="2:9" x14ac:dyDescent="0.25">
      <c r="B143" s="193">
        <v>42480</v>
      </c>
      <c r="C143" s="282">
        <v>1500</v>
      </c>
      <c r="D143" s="283">
        <v>30.07</v>
      </c>
      <c r="E143" s="40">
        <v>15.44</v>
      </c>
      <c r="F143" s="40">
        <f t="shared" si="16"/>
        <v>-21945</v>
      </c>
      <c r="G143" s="40">
        <f t="shared" si="17"/>
        <v>45105</v>
      </c>
      <c r="H143" s="232">
        <f t="shared" si="18"/>
        <v>-0.48653142667110078</v>
      </c>
      <c r="I143" s="200"/>
    </row>
    <row r="144" spans="2:9" x14ac:dyDescent="0.25">
      <c r="B144" s="193">
        <v>42488</v>
      </c>
      <c r="C144" s="282">
        <v>1500</v>
      </c>
      <c r="D144" s="283">
        <v>30.030999999999999</v>
      </c>
      <c r="E144" s="40">
        <v>15.55</v>
      </c>
      <c r="F144" s="40">
        <f t="shared" si="16"/>
        <v>-21721.499999999996</v>
      </c>
      <c r="G144" s="40">
        <f t="shared" si="17"/>
        <v>45046.5</v>
      </c>
      <c r="H144" s="232">
        <f t="shared" si="18"/>
        <v>-0.4822017248842862</v>
      </c>
      <c r="I144" s="200"/>
    </row>
    <row r="145" spans="2:9" x14ac:dyDescent="0.25">
      <c r="B145" s="193">
        <v>42494</v>
      </c>
      <c r="C145" s="282">
        <v>1500</v>
      </c>
      <c r="D145" s="283">
        <v>30.030999999999999</v>
      </c>
      <c r="E145" s="40">
        <v>15.02</v>
      </c>
      <c r="F145" s="40">
        <f t="shared" si="16"/>
        <v>-22516.5</v>
      </c>
      <c r="G145" s="40">
        <f t="shared" si="17"/>
        <v>45046.5</v>
      </c>
      <c r="H145" s="232">
        <f t="shared" si="18"/>
        <v>-0.49985015483999867</v>
      </c>
      <c r="I145" s="200"/>
    </row>
    <row r="146" spans="2:9" x14ac:dyDescent="0.25">
      <c r="B146" s="193">
        <v>42517</v>
      </c>
      <c r="C146" s="282">
        <v>1500</v>
      </c>
      <c r="D146" s="283">
        <v>30.024000000000001</v>
      </c>
      <c r="E146" s="40">
        <v>14.74</v>
      </c>
      <c r="F146" s="40">
        <f t="shared" si="16"/>
        <v>-22926</v>
      </c>
      <c r="G146" s="40">
        <f t="shared" si="17"/>
        <v>45036</v>
      </c>
      <c r="H146" s="232">
        <f t="shared" si="18"/>
        <v>-0.50905941913136155</v>
      </c>
      <c r="I146" s="200"/>
    </row>
    <row r="147" spans="2:9" x14ac:dyDescent="0.25">
      <c r="B147" s="193">
        <v>42522</v>
      </c>
      <c r="C147" s="282">
        <v>1500</v>
      </c>
      <c r="D147" s="283">
        <v>30.024000000000001</v>
      </c>
      <c r="E147" s="40">
        <v>15.08</v>
      </c>
      <c r="F147" s="40">
        <f t="shared" si="16"/>
        <v>-22416</v>
      </c>
      <c r="G147" s="40">
        <f t="shared" si="17"/>
        <v>45036</v>
      </c>
      <c r="H147" s="232">
        <f t="shared" si="18"/>
        <v>-0.49773514521715961</v>
      </c>
      <c r="I147" s="200"/>
    </row>
    <row r="148" spans="2:9" x14ac:dyDescent="0.25">
      <c r="B148" s="193">
        <v>42530</v>
      </c>
      <c r="C148" s="282">
        <v>1520</v>
      </c>
      <c r="D148" s="283">
        <v>29.5</v>
      </c>
      <c r="E148" s="40">
        <v>15.6</v>
      </c>
      <c r="F148" s="40">
        <f t="shared" si="16"/>
        <v>-21128</v>
      </c>
      <c r="G148" s="40">
        <f t="shared" si="17"/>
        <v>44840</v>
      </c>
      <c r="H148" s="232">
        <f t="shared" si="18"/>
        <v>-0.47118644067796611</v>
      </c>
      <c r="I148" s="200"/>
    </row>
    <row r="149" spans="2:9" x14ac:dyDescent="0.25">
      <c r="B149" s="193">
        <v>42534</v>
      </c>
      <c r="C149" s="282">
        <v>1520</v>
      </c>
      <c r="D149" s="283">
        <v>29.5</v>
      </c>
      <c r="E149" s="40">
        <v>14.25</v>
      </c>
      <c r="F149" s="40">
        <f t="shared" si="16"/>
        <v>-23180</v>
      </c>
      <c r="G149" s="40">
        <f t="shared" si="17"/>
        <v>44840</v>
      </c>
      <c r="H149" s="232">
        <f t="shared" si="18"/>
        <v>-0.51694915254237284</v>
      </c>
      <c r="I149" s="200"/>
    </row>
    <row r="150" spans="2:9" x14ac:dyDescent="0.25">
      <c r="B150" s="193">
        <v>42535</v>
      </c>
      <c r="C150" s="282">
        <v>2000</v>
      </c>
      <c r="D150" s="283">
        <v>25.768000000000001</v>
      </c>
      <c r="E150" s="40">
        <v>13.88</v>
      </c>
      <c r="F150" s="40">
        <f t="shared" si="16"/>
        <v>-23776</v>
      </c>
      <c r="G150" s="40">
        <f t="shared" si="17"/>
        <v>51536</v>
      </c>
      <c r="H150" s="232">
        <f t="shared" si="18"/>
        <v>-0.46134740763737969</v>
      </c>
      <c r="I150" s="200"/>
    </row>
    <row r="151" spans="2:9" x14ac:dyDescent="0.25">
      <c r="B151" s="193">
        <v>42538</v>
      </c>
      <c r="C151" s="282">
        <v>1520</v>
      </c>
      <c r="D151" s="283">
        <v>29.428000000000001</v>
      </c>
      <c r="E151" s="40">
        <v>14.24</v>
      </c>
      <c r="F151" s="40">
        <f t="shared" si="16"/>
        <v>-23085.760000000002</v>
      </c>
      <c r="G151" s="40">
        <f t="shared" si="17"/>
        <v>44730.559999999998</v>
      </c>
      <c r="H151" s="232">
        <f t="shared" si="18"/>
        <v>-0.5161071088759005</v>
      </c>
      <c r="I151" s="200"/>
    </row>
    <row r="152" spans="2:9" x14ac:dyDescent="0.25">
      <c r="B152" s="193">
        <v>42543</v>
      </c>
      <c r="C152" s="282">
        <v>2000</v>
      </c>
      <c r="D152" s="283">
        <v>25.696000000000002</v>
      </c>
      <c r="E152" s="40">
        <v>13.79</v>
      </c>
      <c r="F152" s="40">
        <f t="shared" si="16"/>
        <v>-23812.000000000004</v>
      </c>
      <c r="G152" s="40">
        <f t="shared" si="17"/>
        <v>51392</v>
      </c>
      <c r="H152" s="232">
        <f t="shared" si="18"/>
        <v>-0.46334059775840603</v>
      </c>
      <c r="I152" s="200"/>
    </row>
    <row r="153" spans="2:9" x14ac:dyDescent="0.25">
      <c r="B153" s="193">
        <v>42544</v>
      </c>
      <c r="C153" s="282">
        <v>1520</v>
      </c>
      <c r="D153" s="283">
        <v>29.338999999999999</v>
      </c>
      <c r="E153" s="40">
        <v>14.18</v>
      </c>
      <c r="F153" s="40">
        <f t="shared" si="16"/>
        <v>-23041.679999999997</v>
      </c>
      <c r="G153" s="40">
        <f t="shared" si="17"/>
        <v>44595.28</v>
      </c>
      <c r="H153" s="232">
        <f t="shared" si="18"/>
        <v>-0.51668427690105323</v>
      </c>
      <c r="I153" s="200"/>
    </row>
    <row r="154" spans="2:9" x14ac:dyDescent="0.25">
      <c r="B154" s="193">
        <v>42545</v>
      </c>
      <c r="C154" s="282">
        <v>2000</v>
      </c>
      <c r="D154" s="283">
        <v>25.574000000000002</v>
      </c>
      <c r="E154" s="40">
        <v>13.65</v>
      </c>
      <c r="F154" s="40">
        <f t="shared" si="16"/>
        <v>-23848.000000000004</v>
      </c>
      <c r="G154" s="40">
        <f t="shared" si="17"/>
        <v>51148</v>
      </c>
      <c r="H154" s="232">
        <f t="shared" si="18"/>
        <v>-0.4662547900211152</v>
      </c>
      <c r="I154" s="200"/>
    </row>
    <row r="155" spans="2:9" x14ac:dyDescent="0.25">
      <c r="B155" s="193">
        <v>42548</v>
      </c>
      <c r="C155" s="282">
        <v>2000</v>
      </c>
      <c r="D155" s="283">
        <v>25.574000000000002</v>
      </c>
      <c r="E155" s="40">
        <v>13.41</v>
      </c>
      <c r="F155" s="40">
        <f t="shared" si="16"/>
        <v>-24328.000000000004</v>
      </c>
      <c r="G155" s="40">
        <f t="shared" si="17"/>
        <v>51148</v>
      </c>
      <c r="H155" s="232">
        <f t="shared" si="18"/>
        <v>-0.47563932118557911</v>
      </c>
      <c r="I155" s="200"/>
    </row>
    <row r="156" spans="2:9" x14ac:dyDescent="0.25">
      <c r="B156" s="193">
        <v>42549</v>
      </c>
      <c r="C156" s="429">
        <v>2000</v>
      </c>
      <c r="D156" s="212">
        <v>25.574000000000002</v>
      </c>
      <c r="E156" s="40">
        <v>14.22</v>
      </c>
      <c r="F156" s="40">
        <f t="shared" ref="F156" si="19">C156*(E156-D156)</f>
        <v>-22708.000000000004</v>
      </c>
      <c r="G156" s="40">
        <f t="shared" ref="G156" si="20">IF(C156=0, 0,D156*C156)</f>
        <v>51148</v>
      </c>
      <c r="H156" s="232">
        <f t="shared" ref="H156" si="21">IF(C156=0, D156, (E156-D156)/D156)</f>
        <v>-0.44396652850551344</v>
      </c>
      <c r="I156" s="200"/>
    </row>
    <row r="157" spans="2:9" x14ac:dyDescent="0.25">
      <c r="B157" s="193">
        <v>42550</v>
      </c>
      <c r="C157" s="282">
        <v>1520</v>
      </c>
      <c r="D157" s="283">
        <v>28.986999999999998</v>
      </c>
      <c r="E157" s="40">
        <v>14.58</v>
      </c>
      <c r="F157" s="40">
        <f t="shared" ref="F157:F158" si="22">C157*(E157-D157)</f>
        <v>-21898.639999999996</v>
      </c>
      <c r="G157" s="40">
        <f t="shared" ref="G157:G158" si="23">IF(C157=0, 0,D157*C157)</f>
        <v>44060.24</v>
      </c>
      <c r="H157" s="232">
        <f t="shared" ref="H157:H158" si="24">IF(C157=0, D157, (E157-D157)/D157)</f>
        <v>-0.49701590368096038</v>
      </c>
      <c r="I157" s="200"/>
    </row>
    <row r="158" spans="2:9" x14ac:dyDescent="0.25">
      <c r="B158" s="193">
        <v>42556</v>
      </c>
      <c r="C158" s="7">
        <v>2000</v>
      </c>
      <c r="D158" s="79">
        <v>25.433</v>
      </c>
      <c r="E158" s="40">
        <v>14.31</v>
      </c>
      <c r="F158" s="40">
        <f t="shared" si="22"/>
        <v>-22246</v>
      </c>
      <c r="G158" s="40">
        <f t="shared" si="23"/>
        <v>50866</v>
      </c>
      <c r="H158" s="232">
        <f t="shared" si="24"/>
        <v>-0.43734518145716195</v>
      </c>
      <c r="I158" s="44">
        <v>25</v>
      </c>
    </row>
    <row r="159" spans="2:9" x14ac:dyDescent="0.25">
      <c r="B159" s="193">
        <v>42563</v>
      </c>
      <c r="C159" s="10">
        <v>2000</v>
      </c>
      <c r="D159" s="200">
        <v>25.433</v>
      </c>
      <c r="E159" s="40">
        <v>14.98</v>
      </c>
      <c r="F159" s="40">
        <f t="shared" ref="F159" si="25">C159*(E159-D159)</f>
        <v>-20906</v>
      </c>
      <c r="G159" s="40">
        <f t="shared" ref="G159" si="26">IF(C159=0, 0,D159*C159)</f>
        <v>50866</v>
      </c>
      <c r="H159" s="232">
        <f t="shared" ref="H159" si="27">IF(C159=0, D159, (E159-D159)/D159)</f>
        <v>-0.41100145480281525</v>
      </c>
      <c r="I159" s="200"/>
    </row>
    <row r="160" spans="2:9" x14ac:dyDescent="0.25">
      <c r="B160" s="193">
        <v>42578</v>
      </c>
      <c r="C160" s="10">
        <v>2200</v>
      </c>
      <c r="D160" s="200">
        <v>24.399000000000001</v>
      </c>
      <c r="E160" s="40">
        <v>14.06</v>
      </c>
      <c r="F160" s="40">
        <f t="shared" ref="F160:F163" si="28">C160*(E160-D160)</f>
        <v>-22745.8</v>
      </c>
      <c r="G160" s="40">
        <f t="shared" ref="G160:G163" si="29">IF(C160=0, 0,D160*C160)</f>
        <v>53677.8</v>
      </c>
      <c r="H160" s="232">
        <f t="shared" ref="H160:H163" si="30">IF(C160=0, D160, (E160-D160)/D160)</f>
        <v>-0.42374687487192098</v>
      </c>
      <c r="I160" s="200"/>
    </row>
    <row r="161" spans="2:9" x14ac:dyDescent="0.25">
      <c r="B161" s="193">
        <v>42580</v>
      </c>
      <c r="C161" s="10">
        <v>2700</v>
      </c>
      <c r="D161" s="200">
        <v>22.39</v>
      </c>
      <c r="E161" s="40">
        <v>13.74</v>
      </c>
      <c r="F161" s="40">
        <f t="shared" si="28"/>
        <v>-23355</v>
      </c>
      <c r="G161" s="40">
        <f t="shared" si="29"/>
        <v>60453</v>
      </c>
      <c r="H161" s="232">
        <f t="shared" si="30"/>
        <v>-0.38633318445734705</v>
      </c>
      <c r="I161" s="200"/>
    </row>
    <row r="162" spans="2:9" x14ac:dyDescent="0.25">
      <c r="B162" s="193">
        <v>42580</v>
      </c>
      <c r="C162" s="10">
        <v>3000</v>
      </c>
      <c r="D162" s="200">
        <v>21.478999999999999</v>
      </c>
      <c r="E162" s="40">
        <v>13.74</v>
      </c>
      <c r="F162" s="40">
        <f t="shared" si="28"/>
        <v>-23216.999999999996</v>
      </c>
      <c r="G162" s="40">
        <f t="shared" si="29"/>
        <v>64437</v>
      </c>
      <c r="H162" s="232">
        <f t="shared" si="30"/>
        <v>-0.3603054145909958</v>
      </c>
      <c r="I162" s="200"/>
    </row>
    <row r="163" spans="2:9" x14ac:dyDescent="0.25">
      <c r="B163" s="193">
        <v>42580</v>
      </c>
      <c r="C163" s="7">
        <v>2000</v>
      </c>
      <c r="D163" s="79">
        <v>25.353000000000002</v>
      </c>
      <c r="E163" s="40">
        <v>13.74</v>
      </c>
      <c r="F163" s="40">
        <f t="shared" si="28"/>
        <v>-23226.000000000004</v>
      </c>
      <c r="G163" s="40">
        <f t="shared" si="29"/>
        <v>50706</v>
      </c>
      <c r="H163" s="232">
        <f t="shared" si="30"/>
        <v>-0.45805230150278076</v>
      </c>
      <c r="I163" s="44">
        <v>25</v>
      </c>
    </row>
    <row r="164" spans="2:9" x14ac:dyDescent="0.25">
      <c r="B164" s="193">
        <v>42585</v>
      </c>
      <c r="C164" s="10">
        <v>2000</v>
      </c>
      <c r="D164" s="200">
        <v>25.353000000000002</v>
      </c>
      <c r="E164" s="40">
        <v>13.45</v>
      </c>
      <c r="F164" s="40">
        <f t="shared" ref="F164:F167" si="31">C164*(E164-D164)</f>
        <v>-23806.000000000004</v>
      </c>
      <c r="G164" s="40">
        <f t="shared" ref="G164:G167" si="32">IF(C164=0, 0,D164*C164)</f>
        <v>50706</v>
      </c>
      <c r="H164" s="232">
        <f t="shared" ref="H164:H167" si="33">IF(C164=0, D164, (E164-D164)/D164)</f>
        <v>-0.46949079004457073</v>
      </c>
      <c r="I164" s="200"/>
    </row>
    <row r="165" spans="2:9" x14ac:dyDescent="0.25">
      <c r="B165" s="193">
        <v>42586</v>
      </c>
      <c r="C165" s="10">
        <v>2500</v>
      </c>
      <c r="D165" s="200">
        <v>22.902000000000001</v>
      </c>
      <c r="E165" s="40">
        <v>12.97</v>
      </c>
      <c r="F165" s="40">
        <f t="shared" si="31"/>
        <v>-24830</v>
      </c>
      <c r="G165" s="40">
        <f t="shared" si="32"/>
        <v>57255</v>
      </c>
      <c r="H165" s="232">
        <f t="shared" si="33"/>
        <v>-0.43367391494192647</v>
      </c>
      <c r="I165" s="200"/>
    </row>
    <row r="166" spans="2:9" x14ac:dyDescent="0.25">
      <c r="B166" s="193">
        <v>42590</v>
      </c>
      <c r="C166" s="10">
        <v>3000</v>
      </c>
      <c r="D166" s="200">
        <v>21.26</v>
      </c>
      <c r="E166" s="40">
        <v>13.01</v>
      </c>
      <c r="F166" s="40">
        <f t="shared" si="31"/>
        <v>-24750.000000000004</v>
      </c>
      <c r="G166" s="40">
        <f t="shared" si="32"/>
        <v>63780.000000000007</v>
      </c>
      <c r="H166" s="232">
        <f t="shared" si="33"/>
        <v>-0.38805268109125124</v>
      </c>
      <c r="I166" s="200"/>
    </row>
    <row r="167" spans="2:9" x14ac:dyDescent="0.25">
      <c r="B167" s="193">
        <v>42591</v>
      </c>
      <c r="C167" s="512">
        <v>3500</v>
      </c>
      <c r="D167" s="513">
        <v>20.033999999999999</v>
      </c>
      <c r="E167" s="40">
        <v>12.67</v>
      </c>
      <c r="F167" s="40">
        <f t="shared" si="31"/>
        <v>-25773.999999999996</v>
      </c>
      <c r="G167" s="40">
        <f t="shared" si="32"/>
        <v>70119</v>
      </c>
      <c r="H167" s="232">
        <f t="shared" si="33"/>
        <v>-0.36757512229210337</v>
      </c>
      <c r="I167" s="236">
        <v>19.75</v>
      </c>
    </row>
    <row r="168" spans="2:9" x14ac:dyDescent="0.25">
      <c r="B168" s="193">
        <v>42593</v>
      </c>
      <c r="C168" s="10">
        <v>3500</v>
      </c>
      <c r="D168" s="200">
        <v>20.033770000000001</v>
      </c>
      <c r="E168" s="40">
        <v>12.51</v>
      </c>
      <c r="F168" s="40">
        <f t="shared" ref="F168" si="34">C168*(E168-D168)</f>
        <v>-26333.195000000003</v>
      </c>
      <c r="G168" s="40">
        <f t="shared" ref="G168" si="35">IF(C168=0, 0,D168*C168)</f>
        <v>70118.195000000007</v>
      </c>
      <c r="H168" s="232">
        <f t="shared" ref="H168" si="36">IF(C168=0, D168, (E168-D168)/D168)</f>
        <v>-0.37555437643538886</v>
      </c>
      <c r="I168" s="200"/>
    </row>
    <row r="169" spans="2:9" x14ac:dyDescent="0.25">
      <c r="B169" s="193">
        <v>42599</v>
      </c>
      <c r="C169" s="10">
        <v>3500</v>
      </c>
      <c r="D169" s="200">
        <v>20.033770000000001</v>
      </c>
      <c r="E169" s="40">
        <v>12.61</v>
      </c>
      <c r="F169" s="40">
        <f t="shared" ref="F169" si="37">C169*(E169-D169)</f>
        <v>-25983.195000000003</v>
      </c>
      <c r="G169" s="40">
        <f t="shared" ref="G169" si="38">IF(C169=0, 0,D169*C169)</f>
        <v>70118.195000000007</v>
      </c>
      <c r="H169" s="232">
        <f t="shared" ref="H169" si="39">IF(C169=0, D169, (E169-D169)/D169)</f>
        <v>-0.3705628047042569</v>
      </c>
      <c r="I169" s="200"/>
    </row>
    <row r="170" spans="2:9" x14ac:dyDescent="0.25">
      <c r="B170" s="193">
        <v>42600</v>
      </c>
      <c r="C170" s="10">
        <v>3500</v>
      </c>
      <c r="D170" s="200">
        <v>20.033770000000001</v>
      </c>
      <c r="E170" s="40">
        <v>12.57</v>
      </c>
      <c r="F170" s="40">
        <f t="shared" ref="F170:F174" si="40">C170*(E170-D170)</f>
        <v>-26123.195</v>
      </c>
      <c r="G170" s="40">
        <f t="shared" ref="G170:G174" si="41">IF(C170=0, 0,D170*C170)</f>
        <v>70118.195000000007</v>
      </c>
      <c r="H170" s="232">
        <f t="shared" ref="H170:H174" si="42">IF(C170=0, D170, (E170-D170)/D170)</f>
        <v>-0.37255943339670966</v>
      </c>
      <c r="I170" s="200"/>
    </row>
    <row r="171" spans="2:9" x14ac:dyDescent="0.25">
      <c r="B171" s="193">
        <v>42601</v>
      </c>
      <c r="C171" s="10">
        <v>4000</v>
      </c>
      <c r="D171" s="200">
        <v>19.064550000000001</v>
      </c>
      <c r="E171" s="40">
        <v>12.26</v>
      </c>
      <c r="F171" s="40">
        <f t="shared" si="40"/>
        <v>-27218.200000000004</v>
      </c>
      <c r="G171" s="40">
        <f t="shared" si="41"/>
        <v>76258.2</v>
      </c>
      <c r="H171" s="232">
        <f t="shared" si="42"/>
        <v>-0.35692161629831287</v>
      </c>
      <c r="I171" s="200"/>
    </row>
    <row r="172" spans="2:9" x14ac:dyDescent="0.25">
      <c r="B172" s="193">
        <v>42604</v>
      </c>
      <c r="C172" s="449">
        <v>4500</v>
      </c>
      <c r="D172" s="523">
        <v>18.288489999999999</v>
      </c>
      <c r="E172" s="40">
        <v>12.24</v>
      </c>
      <c r="F172" s="40">
        <f t="shared" si="40"/>
        <v>-27218.204999999998</v>
      </c>
      <c r="G172" s="40">
        <f t="shared" si="41"/>
        <v>82298.205000000002</v>
      </c>
      <c r="H172" s="232">
        <f t="shared" si="42"/>
        <v>-0.33072659361161033</v>
      </c>
      <c r="I172" s="236">
        <v>18</v>
      </c>
    </row>
    <row r="173" spans="2:9" x14ac:dyDescent="0.25">
      <c r="B173" s="193">
        <v>42605</v>
      </c>
      <c r="C173" s="10">
        <v>4000</v>
      </c>
      <c r="D173" s="200">
        <v>18.984590000000001</v>
      </c>
      <c r="E173" s="40">
        <v>12.57</v>
      </c>
      <c r="F173" s="40">
        <f t="shared" si="40"/>
        <v>-25658.36</v>
      </c>
      <c r="G173" s="40">
        <f t="shared" si="41"/>
        <v>75938.36</v>
      </c>
      <c r="H173" s="232">
        <f t="shared" si="42"/>
        <v>-0.33788404174122277</v>
      </c>
      <c r="I173" s="200"/>
    </row>
    <row r="174" spans="2:9" x14ac:dyDescent="0.25">
      <c r="B174" s="193">
        <v>42605</v>
      </c>
      <c r="C174" s="449">
        <v>4500</v>
      </c>
      <c r="D174" s="523">
        <v>18.269629999999999</v>
      </c>
      <c r="E174" s="40">
        <v>12.57</v>
      </c>
      <c r="F174" s="40">
        <f t="shared" si="40"/>
        <v>-25648.334999999995</v>
      </c>
      <c r="G174" s="40">
        <f t="shared" si="41"/>
        <v>82213.334999999992</v>
      </c>
      <c r="H174" s="232">
        <f t="shared" si="42"/>
        <v>-0.31197292993892045</v>
      </c>
      <c r="I174" s="40">
        <v>18</v>
      </c>
    </row>
    <row r="175" spans="2:9" x14ac:dyDescent="0.25">
      <c r="B175" s="193">
        <v>42606</v>
      </c>
      <c r="C175" s="10">
        <v>4500</v>
      </c>
      <c r="D175" s="200">
        <v>18.269629999999999</v>
      </c>
      <c r="E175" s="40">
        <v>12.46</v>
      </c>
      <c r="F175" s="40">
        <f t="shared" ref="F175" si="43">C175*(E175-D175)</f>
        <v>-26143.334999999992</v>
      </c>
      <c r="G175" s="40">
        <f t="shared" ref="G175" si="44">IF(C175=0, 0,D175*C175)</f>
        <v>82213.334999999992</v>
      </c>
      <c r="H175" s="232">
        <f t="shared" ref="H175" si="45">IF(C175=0, D175, (E175-D175)/D175)</f>
        <v>-0.31799385099752969</v>
      </c>
      <c r="I175" s="200"/>
    </row>
    <row r="176" spans="2:9" x14ac:dyDescent="0.25">
      <c r="B176" s="193">
        <v>42611</v>
      </c>
      <c r="C176" s="10">
        <v>4500</v>
      </c>
      <c r="D176" s="200">
        <v>18.269629999999999</v>
      </c>
      <c r="E176" s="40">
        <v>12.59</v>
      </c>
      <c r="F176" s="40">
        <f t="shared" ref="F176:F177" si="46">C176*(E176-D176)</f>
        <v>-25558.334999999999</v>
      </c>
      <c r="G176" s="40">
        <f t="shared" ref="G176:G177" si="47">IF(C176=0, 0,D176*C176)</f>
        <v>82213.334999999992</v>
      </c>
      <c r="H176" s="232">
        <f t="shared" ref="H176:H177" si="48">IF(C176=0, D176, (E176-D176)/D176)</f>
        <v>-0.31087821701917334</v>
      </c>
      <c r="I176" s="200"/>
    </row>
    <row r="177" spans="2:9" x14ac:dyDescent="0.25">
      <c r="B177" s="193">
        <v>42612</v>
      </c>
      <c r="C177" s="10">
        <v>4700</v>
      </c>
      <c r="D177" s="200">
        <v>17.991379999999999</v>
      </c>
      <c r="E177" s="40">
        <v>12.41</v>
      </c>
      <c r="F177" s="40">
        <f t="shared" si="46"/>
        <v>-26232.485999999997</v>
      </c>
      <c r="G177" s="40">
        <f t="shared" si="47"/>
        <v>84559.486000000004</v>
      </c>
      <c r="H177" s="232">
        <f t="shared" si="48"/>
        <v>-0.3102252300824061</v>
      </c>
      <c r="I177" s="200"/>
    </row>
    <row r="178" spans="2:9" x14ac:dyDescent="0.25">
      <c r="B178" s="193">
        <v>42614</v>
      </c>
      <c r="C178" s="10">
        <v>4700</v>
      </c>
      <c r="D178" s="200">
        <v>17.991379999999999</v>
      </c>
      <c r="E178" s="40">
        <v>12.13</v>
      </c>
      <c r="F178" s="40">
        <f t="shared" ref="F178:F179" si="49">C178*(E178-D178)</f>
        <v>-27548.485999999994</v>
      </c>
      <c r="G178" s="40">
        <f t="shared" ref="G178:G179" si="50">IF(C178=0, 0,D178*C178)</f>
        <v>84559.486000000004</v>
      </c>
      <c r="H178" s="232">
        <f t="shared" ref="H178:H179" si="51">IF(C178=0, D178, (E178-D178)/D178)</f>
        <v>-0.32578823858981348</v>
      </c>
      <c r="I178" s="200"/>
    </row>
    <row r="179" spans="2:9" x14ac:dyDescent="0.25">
      <c r="B179" s="193">
        <v>42615</v>
      </c>
      <c r="C179" s="449">
        <v>4500</v>
      </c>
      <c r="D179" s="523">
        <v>18.232780000000002</v>
      </c>
      <c r="E179" s="40">
        <v>12.48</v>
      </c>
      <c r="F179" s="40">
        <f t="shared" si="49"/>
        <v>-25887.510000000006</v>
      </c>
      <c r="G179" s="40">
        <f t="shared" si="50"/>
        <v>82047.510000000009</v>
      </c>
      <c r="H179" s="232">
        <f t="shared" si="51"/>
        <v>-0.31551853310356404</v>
      </c>
      <c r="I179" s="528">
        <v>18</v>
      </c>
    </row>
    <row r="180" spans="2:9" x14ac:dyDescent="0.25">
      <c r="B180" s="193">
        <v>42619</v>
      </c>
      <c r="C180" s="10">
        <v>4500</v>
      </c>
      <c r="D180" s="200">
        <v>18.232780000000002</v>
      </c>
      <c r="E180" s="40">
        <v>12.72</v>
      </c>
      <c r="F180" s="40">
        <f t="shared" ref="F180:F184" si="52">C180*(E180-D180)</f>
        <v>-24807.510000000006</v>
      </c>
      <c r="G180" s="40">
        <f t="shared" ref="G180:G184" si="53">IF(C180=0, 0,D180*C180)</f>
        <v>82047.510000000009</v>
      </c>
      <c r="H180" s="232">
        <f t="shared" ref="H180:H184" si="54">IF(C180=0, D180, (E180-D180)/D180)</f>
        <v>-0.30235542797094028</v>
      </c>
      <c r="I180" s="200"/>
    </row>
    <row r="181" spans="2:9" x14ac:dyDescent="0.25">
      <c r="B181" s="193">
        <v>42620</v>
      </c>
      <c r="C181" s="10">
        <v>4000</v>
      </c>
      <c r="D181" s="200">
        <v>18.896979999999999</v>
      </c>
      <c r="E181" s="40">
        <v>13.42</v>
      </c>
      <c r="F181" s="40">
        <f t="shared" si="52"/>
        <v>-21907.919999999998</v>
      </c>
      <c r="G181" s="40">
        <f t="shared" si="53"/>
        <v>75587.92</v>
      </c>
      <c r="H181" s="232">
        <f t="shared" si="54"/>
        <v>-0.28983361362503424</v>
      </c>
      <c r="I181" s="200"/>
    </row>
    <row r="182" spans="2:9" x14ac:dyDescent="0.25">
      <c r="B182" s="193">
        <v>42620</v>
      </c>
      <c r="C182" s="512">
        <v>3500</v>
      </c>
      <c r="D182" s="513">
        <v>19.717970000000001</v>
      </c>
      <c r="E182" s="40">
        <v>13.42</v>
      </c>
      <c r="F182" s="40">
        <f t="shared" si="52"/>
        <v>-22042.895000000004</v>
      </c>
      <c r="G182" s="40">
        <f t="shared" si="53"/>
        <v>69012.895000000004</v>
      </c>
      <c r="H182" s="232">
        <f t="shared" si="54"/>
        <v>-0.31940255513118243</v>
      </c>
      <c r="I182" s="540" t="s">
        <v>340</v>
      </c>
    </row>
    <row r="183" spans="2:9" x14ac:dyDescent="0.25">
      <c r="B183" s="193">
        <v>42620</v>
      </c>
      <c r="C183" s="10">
        <v>3200</v>
      </c>
      <c r="D183" s="200">
        <v>20.317779999999999</v>
      </c>
      <c r="E183" s="40">
        <v>13.42</v>
      </c>
      <c r="F183" s="40">
        <f t="shared" si="52"/>
        <v>-22072.895999999997</v>
      </c>
      <c r="G183" s="40">
        <f t="shared" si="53"/>
        <v>65016.895999999993</v>
      </c>
      <c r="H183" s="232">
        <f t="shared" si="54"/>
        <v>-0.33949476763701542</v>
      </c>
      <c r="I183" s="200"/>
    </row>
    <row r="184" spans="2:9" x14ac:dyDescent="0.25">
      <c r="B184" s="193">
        <v>42621</v>
      </c>
      <c r="C184" s="10">
        <v>3000</v>
      </c>
      <c r="D184" s="200">
        <v>20.755649999999999</v>
      </c>
      <c r="E184" s="40">
        <v>13.86</v>
      </c>
      <c r="F184" s="40">
        <f t="shared" si="52"/>
        <v>-20686.95</v>
      </c>
      <c r="G184" s="40">
        <f t="shared" si="53"/>
        <v>62266.95</v>
      </c>
      <c r="H184" s="232">
        <f t="shared" si="54"/>
        <v>-0.33223001929595075</v>
      </c>
      <c r="I184" s="200"/>
    </row>
    <row r="185" spans="2:9" x14ac:dyDescent="0.25">
      <c r="B185" s="193">
        <v>42622</v>
      </c>
      <c r="C185" s="10">
        <v>3200</v>
      </c>
      <c r="D185" s="200">
        <v>20.29468</v>
      </c>
      <c r="E185" s="40">
        <v>13.4</v>
      </c>
      <c r="F185" s="40">
        <f t="shared" ref="F185" si="55">C185*(E185-D185)</f>
        <v>-22062.975999999999</v>
      </c>
      <c r="G185" s="40">
        <f t="shared" ref="G185" si="56">IF(C185=0, 0,D185*C185)</f>
        <v>64942.975999999995</v>
      </c>
      <c r="H185" s="232">
        <f t="shared" ref="H185" si="57">IF(C185=0, D185, (E185-D185)/D185)</f>
        <v>-0.33972844114812351</v>
      </c>
      <c r="I185" s="200"/>
    </row>
    <row r="186" spans="2:9" x14ac:dyDescent="0.25">
      <c r="B186" s="193">
        <v>42625</v>
      </c>
      <c r="C186" s="10">
        <v>3200</v>
      </c>
      <c r="D186" s="200">
        <v>20.29468</v>
      </c>
      <c r="E186" s="40">
        <v>13.62</v>
      </c>
      <c r="F186" s="40">
        <f t="shared" ref="F186:F187" si="58">C186*(E186-D186)</f>
        <v>-21358.976000000002</v>
      </c>
      <c r="G186" s="40">
        <f t="shared" ref="G186:G187" si="59">IF(C186=0, 0,D186*C186)</f>
        <v>64942.975999999995</v>
      </c>
      <c r="H186" s="232">
        <f t="shared" ref="H186:H187" si="60">IF(C186=0, D186, (E186-D186)/D186)</f>
        <v>-0.3288881618236898</v>
      </c>
      <c r="I186" s="200"/>
    </row>
    <row r="187" spans="2:9" x14ac:dyDescent="0.25">
      <c r="B187" s="193">
        <v>42627</v>
      </c>
      <c r="C187" s="512">
        <v>3500</v>
      </c>
      <c r="D187" s="513">
        <v>19.656559999999999</v>
      </c>
      <c r="E187" s="40">
        <v>12.91</v>
      </c>
      <c r="F187" s="40">
        <f t="shared" si="58"/>
        <v>-23612.959999999995</v>
      </c>
      <c r="G187" s="40">
        <f t="shared" si="59"/>
        <v>68797.959999999992</v>
      </c>
      <c r="H187" s="232">
        <f t="shared" si="60"/>
        <v>-0.34322180483258513</v>
      </c>
      <c r="I187" s="549">
        <v>19.5</v>
      </c>
    </row>
    <row r="188" spans="2:9" x14ac:dyDescent="0.25">
      <c r="B188" s="193">
        <v>42628</v>
      </c>
      <c r="C188" s="10">
        <v>3500</v>
      </c>
      <c r="D188" s="200">
        <v>19.656559999999999</v>
      </c>
      <c r="E188" s="40">
        <v>13.12</v>
      </c>
      <c r="F188" s="40">
        <f t="shared" ref="F188:F189" si="61">C188*(E188-D188)</f>
        <v>-22877.96</v>
      </c>
      <c r="G188" s="40">
        <f t="shared" ref="G188:G189" si="62">IF(C188=0, 0,D188*C188)</f>
        <v>68797.959999999992</v>
      </c>
      <c r="H188" s="232">
        <f t="shared" ref="H188:H189" si="63">IF(C188=0, D188, (E188-D188)/D188)</f>
        <v>-0.33253834852079917</v>
      </c>
      <c r="I188" s="200"/>
    </row>
    <row r="189" spans="2:9" x14ac:dyDescent="0.25">
      <c r="B189" s="193">
        <v>42629</v>
      </c>
      <c r="C189" s="10">
        <v>3200</v>
      </c>
      <c r="D189" s="200">
        <v>20.254390000000001</v>
      </c>
      <c r="E189" s="40">
        <v>13.29</v>
      </c>
      <c r="F189" s="40">
        <f t="shared" si="61"/>
        <v>-22286.048000000006</v>
      </c>
      <c r="G189" s="40">
        <f t="shared" si="62"/>
        <v>64814.048000000003</v>
      </c>
      <c r="H189" s="232">
        <f t="shared" si="63"/>
        <v>-0.34384595142090191</v>
      </c>
      <c r="I189" s="200"/>
    </row>
    <row r="190" spans="2:9" x14ac:dyDescent="0.25">
      <c r="B190" s="193">
        <v>42633</v>
      </c>
      <c r="C190" s="10">
        <v>3200</v>
      </c>
      <c r="D190" s="200">
        <v>20.254390000000001</v>
      </c>
      <c r="E190" s="40">
        <v>13.62</v>
      </c>
      <c r="F190" s="40">
        <f t="shared" ref="F190:F191" si="64">C190*(E190-D190)</f>
        <v>-21230.048000000006</v>
      </c>
      <c r="G190" s="40">
        <f t="shared" ref="G190:G191" si="65">IF(C190=0, 0,D190*C190)</f>
        <v>64814.048000000003</v>
      </c>
      <c r="H190" s="232">
        <f t="shared" ref="H190:H191" si="66">IF(C190=0, D190, (E190-D190)/D190)</f>
        <v>-0.3275531872349649</v>
      </c>
      <c r="I190" s="200"/>
    </row>
    <row r="191" spans="2:9" x14ac:dyDescent="0.25">
      <c r="B191" s="193">
        <v>42634</v>
      </c>
      <c r="C191" s="10">
        <v>3000</v>
      </c>
      <c r="D191" s="200">
        <v>20.66581</v>
      </c>
      <c r="E191" s="40">
        <v>13.79</v>
      </c>
      <c r="F191" s="40">
        <f t="shared" si="64"/>
        <v>-20627.430000000004</v>
      </c>
      <c r="G191" s="40">
        <f t="shared" si="65"/>
        <v>61997.43</v>
      </c>
      <c r="H191" s="232">
        <f t="shared" si="66"/>
        <v>-0.33271427541431964</v>
      </c>
      <c r="I191" s="200"/>
    </row>
    <row r="192" spans="2:9" x14ac:dyDescent="0.25">
      <c r="B192" s="193">
        <v>42635</v>
      </c>
      <c r="C192" s="10">
        <v>3000</v>
      </c>
      <c r="D192" s="200">
        <v>20.66581</v>
      </c>
      <c r="E192" s="40">
        <v>13.91</v>
      </c>
      <c r="F192" s="40">
        <f t="shared" ref="F192" si="67">C192*(E192-D192)</f>
        <v>-20267.43</v>
      </c>
      <c r="G192" s="40">
        <f t="shared" ref="G192" si="68">IF(C192=0, 0,D192*C192)</f>
        <v>61997.43</v>
      </c>
      <c r="H192" s="232">
        <f t="shared" ref="H192" si="69">IF(C192=0, D192, (E192-D192)/D192)</f>
        <v>-0.32690758310465451</v>
      </c>
      <c r="I192" s="200"/>
    </row>
    <row r="193" spans="2:9" x14ac:dyDescent="0.25">
      <c r="B193" s="193">
        <v>42639</v>
      </c>
      <c r="C193" s="10">
        <v>3000</v>
      </c>
      <c r="D193" s="200">
        <v>20.66581</v>
      </c>
      <c r="E193" s="40">
        <v>13.67</v>
      </c>
      <c r="F193" s="40">
        <f t="shared" ref="F193" si="70">C193*(E193-D193)</f>
        <v>-20987.43</v>
      </c>
      <c r="G193" s="40">
        <f t="shared" ref="G193" si="71">IF(C193=0, 0,D193*C193)</f>
        <v>61997.43</v>
      </c>
      <c r="H193" s="232">
        <f t="shared" ref="H193" si="72">IF(C193=0, D193, (E193-D193)/D193)</f>
        <v>-0.33852096772398471</v>
      </c>
      <c r="I193" s="200"/>
    </row>
    <row r="194" spans="2:9" x14ac:dyDescent="0.25">
      <c r="B194" s="193">
        <v>42640</v>
      </c>
      <c r="C194" s="10">
        <v>3000</v>
      </c>
      <c r="D194" s="200">
        <v>20.66581</v>
      </c>
      <c r="E194" s="40">
        <v>13.47</v>
      </c>
      <c r="F194" s="40">
        <f t="shared" ref="F194:F202" si="73">C194*(E194-D194)</f>
        <v>-21587.43</v>
      </c>
      <c r="G194" s="40">
        <f t="shared" ref="G194:G202" si="74">IF(C194=0, 0,D194*C194)</f>
        <v>61997.43</v>
      </c>
      <c r="H194" s="232">
        <f t="shared" ref="H194:H202" si="75">IF(C194=0, D194, (E194-D194)/D194)</f>
        <v>-0.34819878824009315</v>
      </c>
      <c r="I194" s="200"/>
    </row>
    <row r="195" spans="2:9" x14ac:dyDescent="0.25">
      <c r="B195" s="193">
        <v>42641</v>
      </c>
      <c r="C195" s="10">
        <v>3200</v>
      </c>
      <c r="D195" s="200">
        <v>20.206700000000001</v>
      </c>
      <c r="E195" s="40">
        <v>13.31</v>
      </c>
      <c r="F195" s="40">
        <f t="shared" si="73"/>
        <v>-22069.440000000002</v>
      </c>
      <c r="G195" s="40">
        <f t="shared" si="74"/>
        <v>64661.440000000002</v>
      </c>
      <c r="H195" s="232">
        <f t="shared" si="75"/>
        <v>-0.34130758609768047</v>
      </c>
      <c r="I195" s="200"/>
    </row>
    <row r="196" spans="2:9" x14ac:dyDescent="0.25">
      <c r="B196" s="193">
        <v>42642</v>
      </c>
      <c r="C196" s="512">
        <v>3500</v>
      </c>
      <c r="D196" s="513">
        <v>19.589269999999999</v>
      </c>
      <c r="E196" s="40">
        <v>12.76</v>
      </c>
      <c r="F196" s="40">
        <f t="shared" si="73"/>
        <v>-23902.444999999996</v>
      </c>
      <c r="G196" s="40">
        <f t="shared" si="74"/>
        <v>68562.444999999992</v>
      </c>
      <c r="H196" s="232">
        <f t="shared" si="75"/>
        <v>-0.34862299616065323</v>
      </c>
      <c r="I196" s="549">
        <v>19.5</v>
      </c>
    </row>
    <row r="197" spans="2:9" x14ac:dyDescent="0.25">
      <c r="B197" s="193">
        <v>42643</v>
      </c>
      <c r="C197" s="10">
        <v>4000</v>
      </c>
      <c r="D197" s="200">
        <v>18.7132623</v>
      </c>
      <c r="E197" s="40">
        <v>12.64</v>
      </c>
      <c r="F197" s="40">
        <f t="shared" si="73"/>
        <v>-24293.049199999998</v>
      </c>
      <c r="G197" s="40">
        <f t="shared" si="74"/>
        <v>74853.049199999994</v>
      </c>
      <c r="H197" s="232">
        <f t="shared" si="75"/>
        <v>-0.32454321446667261</v>
      </c>
      <c r="I197" s="200"/>
    </row>
    <row r="198" spans="2:9" x14ac:dyDescent="0.25">
      <c r="B198" s="193">
        <v>42646</v>
      </c>
      <c r="C198" s="449">
        <v>4500</v>
      </c>
      <c r="D198" s="523">
        <v>18.03387</v>
      </c>
      <c r="E198" s="40">
        <v>12.5</v>
      </c>
      <c r="F198" s="40">
        <f t="shared" si="73"/>
        <v>-24902.415000000001</v>
      </c>
      <c r="G198" s="40">
        <f t="shared" si="74"/>
        <v>81152.415000000008</v>
      </c>
      <c r="H198" s="232">
        <f t="shared" si="75"/>
        <v>-0.30685981433824244</v>
      </c>
      <c r="I198" s="528">
        <v>18</v>
      </c>
    </row>
    <row r="199" spans="2:9" x14ac:dyDescent="0.25">
      <c r="B199" s="193">
        <v>42646</v>
      </c>
      <c r="C199" s="10">
        <v>5000</v>
      </c>
      <c r="D199" s="200">
        <v>17.470690000000001</v>
      </c>
      <c r="E199" s="40">
        <v>12.5</v>
      </c>
      <c r="F199" s="40">
        <f t="shared" si="73"/>
        <v>-24853.450000000004</v>
      </c>
      <c r="G199" s="40">
        <f t="shared" si="74"/>
        <v>87353.450000000012</v>
      </c>
      <c r="H199" s="232">
        <f t="shared" si="75"/>
        <v>-0.2845159521461374</v>
      </c>
      <c r="I199" s="200"/>
    </row>
    <row r="200" spans="2:9" x14ac:dyDescent="0.25">
      <c r="B200" s="193">
        <v>42646</v>
      </c>
      <c r="C200" s="449">
        <v>4500</v>
      </c>
      <c r="D200" s="523">
        <v>18.020790000000002</v>
      </c>
      <c r="E200" s="40">
        <v>12.5</v>
      </c>
      <c r="F200" s="40">
        <f t="shared" si="73"/>
        <v>-24843.555000000008</v>
      </c>
      <c r="G200" s="40">
        <f t="shared" si="74"/>
        <v>81093.555000000008</v>
      </c>
      <c r="H200" s="232">
        <f t="shared" si="75"/>
        <v>-0.30635671355140376</v>
      </c>
      <c r="I200" s="528">
        <v>18</v>
      </c>
    </row>
    <row r="201" spans="2:9" x14ac:dyDescent="0.25">
      <c r="B201" s="193">
        <v>42647</v>
      </c>
      <c r="C201" s="10">
        <v>5000</v>
      </c>
      <c r="D201" s="200">
        <v>17.436710000000001</v>
      </c>
      <c r="E201" s="40">
        <v>12.2</v>
      </c>
      <c r="F201" s="40">
        <f t="shared" si="73"/>
        <v>-26183.55000000001</v>
      </c>
      <c r="G201" s="40">
        <f t="shared" si="74"/>
        <v>87183.55</v>
      </c>
      <c r="H201" s="232">
        <f t="shared" si="75"/>
        <v>-0.30032672447956077</v>
      </c>
      <c r="I201" s="200"/>
    </row>
    <row r="202" spans="2:9" x14ac:dyDescent="0.25">
      <c r="B202" s="193">
        <v>42648</v>
      </c>
      <c r="C202" s="449">
        <v>4500</v>
      </c>
      <c r="D202" s="523">
        <v>17.994160000000001</v>
      </c>
      <c r="E202" s="40">
        <v>12.33</v>
      </c>
      <c r="F202" s="40">
        <f t="shared" si="73"/>
        <v>-25488.720000000005</v>
      </c>
      <c r="G202" s="40">
        <f t="shared" si="74"/>
        <v>80973.72</v>
      </c>
      <c r="H202" s="232">
        <f t="shared" si="75"/>
        <v>-0.31477768342617829</v>
      </c>
      <c r="I202" s="581" t="s">
        <v>392</v>
      </c>
    </row>
    <row r="203" spans="2:9" x14ac:dyDescent="0.25">
      <c r="B203" s="193">
        <v>42650</v>
      </c>
      <c r="C203" s="10">
        <v>4500</v>
      </c>
      <c r="D203" s="200">
        <v>17.994160000000001</v>
      </c>
      <c r="E203" s="40">
        <v>12.55</v>
      </c>
      <c r="F203" s="40">
        <f t="shared" ref="F203:F212" si="76">C203*(E203-D203)</f>
        <v>-24498.720000000001</v>
      </c>
      <c r="G203" s="40">
        <f t="shared" ref="G203:G212" si="77">IF(C203=0, 0,D203*C203)</f>
        <v>80973.72</v>
      </c>
      <c r="H203" s="232">
        <f t="shared" ref="H203:H212" si="78">IF(C203=0, D203, (E203-D203)/D203)</f>
        <v>-0.30255149448487728</v>
      </c>
      <c r="I203" s="200"/>
    </row>
    <row r="204" spans="2:9" x14ac:dyDescent="0.25">
      <c r="B204" s="193">
        <v>42653</v>
      </c>
      <c r="C204" s="512">
        <v>3500</v>
      </c>
      <c r="D204" s="513">
        <v>19.463999999999999</v>
      </c>
      <c r="E204" s="40">
        <v>13.15</v>
      </c>
      <c r="F204" s="40">
        <f t="shared" si="76"/>
        <v>-22098.999999999993</v>
      </c>
      <c r="G204" s="40">
        <f t="shared" si="77"/>
        <v>68124</v>
      </c>
      <c r="H204" s="232">
        <f t="shared" si="78"/>
        <v>-0.32439375256884501</v>
      </c>
      <c r="I204" s="549" t="s">
        <v>380</v>
      </c>
    </row>
    <row r="205" spans="2:9" x14ac:dyDescent="0.25">
      <c r="B205" s="193">
        <v>42653</v>
      </c>
      <c r="C205" s="10">
        <v>3000</v>
      </c>
      <c r="D205" s="200">
        <v>20.51971</v>
      </c>
      <c r="E205" s="40">
        <v>13.15</v>
      </c>
      <c r="F205" s="40">
        <f t="shared" si="76"/>
        <v>-22109.129999999997</v>
      </c>
      <c r="G205" s="40">
        <f t="shared" si="77"/>
        <v>61559.13</v>
      </c>
      <c r="H205" s="232">
        <f t="shared" si="78"/>
        <v>-0.35915273656401575</v>
      </c>
      <c r="I205" s="200"/>
    </row>
    <row r="206" spans="2:9" x14ac:dyDescent="0.25">
      <c r="B206" s="193">
        <v>42662</v>
      </c>
      <c r="C206" s="10">
        <v>2700</v>
      </c>
      <c r="D206" s="200">
        <v>21.341930000000001</v>
      </c>
      <c r="E206" s="40">
        <v>13.07</v>
      </c>
      <c r="F206" s="40">
        <f t="shared" si="76"/>
        <v>-22334.211000000003</v>
      </c>
      <c r="G206" s="40">
        <f t="shared" si="77"/>
        <v>57623.211000000003</v>
      </c>
      <c r="H206" s="232">
        <f t="shared" si="78"/>
        <v>-0.38759053187785736</v>
      </c>
      <c r="I206" s="242" t="s">
        <v>391</v>
      </c>
    </row>
    <row r="207" spans="2:9" x14ac:dyDescent="0.25">
      <c r="B207" s="193">
        <v>42664</v>
      </c>
      <c r="C207" s="10">
        <v>3000</v>
      </c>
      <c r="D207" s="200">
        <v>20.47974</v>
      </c>
      <c r="E207" s="40">
        <v>12.66</v>
      </c>
      <c r="F207" s="40">
        <f t="shared" si="76"/>
        <v>-23459.219999999998</v>
      </c>
      <c r="G207" s="40">
        <f t="shared" si="77"/>
        <v>61439.22</v>
      </c>
      <c r="H207" s="232">
        <f t="shared" si="78"/>
        <v>-0.38182808961441894</v>
      </c>
      <c r="I207" s="200"/>
    </row>
    <row r="208" spans="2:9" x14ac:dyDescent="0.25">
      <c r="B208" s="193">
        <v>42667</v>
      </c>
      <c r="C208" s="10">
        <v>3200</v>
      </c>
      <c r="D208" s="200">
        <v>19.973510000000001</v>
      </c>
      <c r="E208" s="40">
        <v>12.42</v>
      </c>
      <c r="F208" s="40">
        <f t="shared" si="76"/>
        <v>-24171.232000000004</v>
      </c>
      <c r="G208" s="40">
        <f t="shared" si="77"/>
        <v>63915.232000000004</v>
      </c>
      <c r="H208" s="232">
        <f t="shared" si="78"/>
        <v>-0.37817639463469371</v>
      </c>
      <c r="I208" s="242" t="s">
        <v>395</v>
      </c>
    </row>
    <row r="209" spans="2:9" x14ac:dyDescent="0.25">
      <c r="B209" s="193">
        <v>42668</v>
      </c>
      <c r="C209" s="512">
        <v>3500</v>
      </c>
      <c r="D209" s="513">
        <v>19.305489999999999</v>
      </c>
      <c r="E209" s="40">
        <v>12.16</v>
      </c>
      <c r="F209" s="40">
        <f t="shared" si="76"/>
        <v>-25009.214999999997</v>
      </c>
      <c r="G209" s="40">
        <f t="shared" si="77"/>
        <v>67569.214999999997</v>
      </c>
      <c r="H209" s="232">
        <f t="shared" si="78"/>
        <v>-0.37012735755476805</v>
      </c>
      <c r="I209" s="549">
        <v>19.25</v>
      </c>
    </row>
    <row r="210" spans="2:9" x14ac:dyDescent="0.25">
      <c r="B210" s="193">
        <v>42669</v>
      </c>
      <c r="C210" s="10">
        <v>3500</v>
      </c>
      <c r="D210" s="200">
        <v>19.305</v>
      </c>
      <c r="E210" s="40">
        <v>11.9</v>
      </c>
      <c r="F210" s="40">
        <f t="shared" si="76"/>
        <v>-25917.499999999996</v>
      </c>
      <c r="G210" s="40">
        <f t="shared" si="77"/>
        <v>67567.5</v>
      </c>
      <c r="H210" s="232">
        <f t="shared" si="78"/>
        <v>-0.38357938357938354</v>
      </c>
      <c r="I210" s="200"/>
    </row>
    <row r="211" spans="2:9" x14ac:dyDescent="0.25">
      <c r="B211" s="193">
        <v>42671</v>
      </c>
      <c r="C211" s="512">
        <v>3500</v>
      </c>
      <c r="D211" s="513">
        <v>19.29607</v>
      </c>
      <c r="E211" s="40">
        <v>11.76</v>
      </c>
      <c r="F211" s="40">
        <f t="shared" si="76"/>
        <v>-26376.245000000003</v>
      </c>
      <c r="G211" s="40">
        <f t="shared" si="77"/>
        <v>67536.244999999995</v>
      </c>
      <c r="H211" s="232">
        <f t="shared" si="78"/>
        <v>-0.39054947458212996</v>
      </c>
      <c r="I211" s="549">
        <v>19.25</v>
      </c>
    </row>
    <row r="212" spans="2:9" x14ac:dyDescent="0.25">
      <c r="B212" s="193">
        <v>42676</v>
      </c>
      <c r="C212" s="10">
        <v>3800</v>
      </c>
      <c r="D212" s="200">
        <v>18.651119999999999</v>
      </c>
      <c r="E212" s="40">
        <v>10.89</v>
      </c>
      <c r="F212" s="40">
        <f t="shared" si="76"/>
        <v>-29492.255999999994</v>
      </c>
      <c r="G212" s="40">
        <f t="shared" si="77"/>
        <v>70874.255999999994</v>
      </c>
      <c r="H212" s="232">
        <f t="shared" si="78"/>
        <v>-0.41612085494061474</v>
      </c>
      <c r="I212" s="200"/>
    </row>
    <row r="213" spans="2:9" x14ac:dyDescent="0.25">
      <c r="B213" s="193"/>
      <c r="C213" s="10"/>
      <c r="D213" s="200"/>
      <c r="E213" s="40"/>
      <c r="F213" s="40"/>
      <c r="G213" s="40"/>
      <c r="H213" s="232"/>
      <c r="I213" s="200"/>
    </row>
    <row r="214" spans="2:9" x14ac:dyDescent="0.25">
      <c r="B214" s="193"/>
      <c r="C214" s="10"/>
      <c r="D214" s="200"/>
      <c r="E214" s="40"/>
      <c r="F214" s="40"/>
      <c r="G214" s="40"/>
      <c r="H214" s="232"/>
      <c r="I214" s="200"/>
    </row>
    <row r="215" spans="2:9" x14ac:dyDescent="0.25">
      <c r="B215" s="193"/>
      <c r="C215" s="10"/>
      <c r="D215" s="200"/>
      <c r="E215" s="40"/>
      <c r="F215" s="40"/>
      <c r="G215" s="40"/>
      <c r="H215" s="232"/>
      <c r="I215" s="200"/>
    </row>
    <row r="216" spans="2:9" x14ac:dyDescent="0.25">
      <c r="B216" s="193"/>
      <c r="C216" s="10"/>
      <c r="D216" s="200"/>
      <c r="E216" s="40"/>
      <c r="F216" s="40"/>
      <c r="G216" s="40"/>
      <c r="H216" s="232"/>
      <c r="I216" s="200"/>
    </row>
    <row r="217" spans="2:9" x14ac:dyDescent="0.25">
      <c r="B217" s="193"/>
      <c r="C217" s="10"/>
      <c r="D217" s="200"/>
      <c r="E217" s="40"/>
      <c r="F217" s="40"/>
      <c r="G217" s="40"/>
      <c r="H217" s="232"/>
      <c r="I217" s="200"/>
    </row>
    <row r="218" spans="2:9" x14ac:dyDescent="0.25">
      <c r="B218" s="193"/>
      <c r="C218" s="10"/>
      <c r="D218" s="200"/>
      <c r="E218" s="40"/>
      <c r="F218" s="40"/>
      <c r="G218" s="40"/>
      <c r="H218" s="232"/>
      <c r="I218" s="200"/>
    </row>
    <row r="219" spans="2:9" x14ac:dyDescent="0.25">
      <c r="B219" s="193"/>
      <c r="C219" s="10"/>
      <c r="D219" s="200"/>
      <c r="E219" s="40"/>
      <c r="F219" s="40"/>
      <c r="G219" s="40"/>
      <c r="H219" s="232"/>
      <c r="I219" s="200"/>
    </row>
    <row r="220" spans="2:9" x14ac:dyDescent="0.25">
      <c r="B220" s="193"/>
      <c r="C220" s="10"/>
      <c r="D220" s="200"/>
      <c r="E220" s="40"/>
      <c r="F220" s="40"/>
      <c r="G220" s="40"/>
      <c r="H220" s="232"/>
      <c r="I220" s="200"/>
    </row>
    <row r="221" spans="2:9" x14ac:dyDescent="0.25">
      <c r="B221" s="193"/>
      <c r="C221" s="10"/>
      <c r="D221" s="200"/>
      <c r="E221" s="40"/>
      <c r="F221" s="40"/>
      <c r="G221" s="40"/>
      <c r="H221" s="232"/>
      <c r="I221" s="200"/>
    </row>
    <row r="222" spans="2:9" x14ac:dyDescent="0.25">
      <c r="B222" s="193"/>
      <c r="C222" s="10"/>
      <c r="D222" s="200"/>
      <c r="E222" s="40"/>
      <c r="F222" s="40"/>
      <c r="G222" s="40"/>
      <c r="H222" s="232"/>
      <c r="I222" s="200"/>
    </row>
    <row r="223" spans="2:9" x14ac:dyDescent="0.25">
      <c r="B223" s="193"/>
      <c r="C223" s="10"/>
      <c r="D223" s="200"/>
      <c r="E223" s="40"/>
      <c r="F223" s="40"/>
      <c r="G223" s="40"/>
      <c r="H223" s="232"/>
      <c r="I223" s="200"/>
    </row>
    <row r="224" spans="2:9" x14ac:dyDescent="0.25">
      <c r="B224" s="193"/>
      <c r="C224" s="10"/>
      <c r="D224" s="200"/>
      <c r="E224" s="40"/>
      <c r="F224" s="40"/>
      <c r="G224" s="40"/>
      <c r="H224" s="232"/>
      <c r="I224" s="200"/>
    </row>
  </sheetData>
  <mergeCells count="3">
    <mergeCell ref="B47:B48"/>
    <mergeCell ref="A68:A73"/>
    <mergeCell ref="A65:A67"/>
  </mergeCells>
  <conditionalFormatting sqref="Q12 F134:F224 H126:H224">
    <cfRule type="expression" dxfId="569" priority="38">
      <formula>F12&gt;0</formula>
    </cfRule>
    <cfRule type="expression" dxfId="568" priority="39">
      <formula>F12&lt;0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113:F133">
    <cfRule type="expression" dxfId="567" priority="31">
      <formula>F113&gt;0</formula>
    </cfRule>
    <cfRule type="expression" dxfId="566" priority="32">
      <formula>F113&lt;0</formula>
    </cfRule>
  </conditionalFormatting>
  <conditionalFormatting sqref="H113:H119">
    <cfRule type="expression" dxfId="565" priority="19">
      <formula>H113&gt;0</formula>
    </cfRule>
    <cfRule type="expression" dxfId="564" priority="20">
      <formula>H113&lt;0</formula>
    </cfRule>
  </conditionalFormatting>
  <conditionalFormatting sqref="H120">
    <cfRule type="expression" dxfId="563" priority="17">
      <formula>H120&gt;0</formula>
    </cfRule>
    <cfRule type="expression" dxfId="562" priority="18">
      <formula>H120&lt;0</formula>
    </cfRule>
  </conditionalFormatting>
  <conditionalFormatting sqref="H121">
    <cfRule type="expression" dxfId="561" priority="15">
      <formula>H121&gt;0</formula>
    </cfRule>
    <cfRule type="expression" dxfId="560" priority="16">
      <formula>H121&lt;0</formula>
    </cfRule>
  </conditionalFormatting>
  <conditionalFormatting sqref="H122:H124">
    <cfRule type="expression" dxfId="559" priority="13">
      <formula>H122&gt;0</formula>
    </cfRule>
    <cfRule type="expression" dxfId="558" priority="14">
      <formula>H122&lt;0</formula>
    </cfRule>
  </conditionalFormatting>
  <conditionalFormatting sqref="H125">
    <cfRule type="expression" dxfId="557" priority="9">
      <formula>H125&gt;0</formula>
    </cfRule>
    <cfRule type="expression" dxfId="556" priority="10">
      <formula>H125&lt;0</formula>
    </cfRule>
  </conditionalFormatting>
  <conditionalFormatting sqref="Q7">
    <cfRule type="expression" dxfId="555" priority="3">
      <formula>Q7&gt;0</formula>
    </cfRule>
    <cfRule type="expression" dxfId="554" priority="4">
      <formula>Q7&lt;0</formula>
    </cfRule>
  </conditionalFormatting>
  <conditionalFormatting sqref="Q8">
    <cfRule type="expression" dxfId="553" priority="1">
      <formula>Q8&gt;0</formula>
    </cfRule>
    <cfRule type="expression" dxfId="55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8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285156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202</v>
      </c>
      <c r="B2" s="74">
        <v>42640</v>
      </c>
      <c r="C2" s="4">
        <v>40</v>
      </c>
      <c r="D2" s="3">
        <v>52.68</v>
      </c>
      <c r="E2" s="3">
        <v>0</v>
      </c>
      <c r="F2" s="3">
        <f>C2*D2+E2</f>
        <v>2107.1999999999998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16"/>
      <c r="U2" s="127"/>
      <c r="V2" s="16"/>
      <c r="W2" s="141">
        <v>42676</v>
      </c>
      <c r="X2" s="142">
        <v>49.24</v>
      </c>
      <c r="Y2" s="142">
        <v>50.27</v>
      </c>
      <c r="Z2" s="10">
        <v>49.01</v>
      </c>
      <c r="AA2" s="10">
        <v>49.72</v>
      </c>
      <c r="AB2" s="95">
        <v>10740100</v>
      </c>
      <c r="AC2" s="10">
        <v>49.72</v>
      </c>
      <c r="AE2" s="138"/>
    </row>
    <row r="3" spans="1:42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52.679999999999993</v>
      </c>
      <c r="W3" s="133">
        <v>42675</v>
      </c>
      <c r="X3" s="10">
        <v>50.5</v>
      </c>
      <c r="Y3" s="10">
        <v>50.51</v>
      </c>
      <c r="Z3" s="10">
        <v>49.14</v>
      </c>
      <c r="AA3" s="10">
        <v>49.62</v>
      </c>
      <c r="AB3" s="95">
        <v>14079600</v>
      </c>
      <c r="AC3" s="10">
        <v>49.62</v>
      </c>
      <c r="AE3" s="138"/>
      <c r="AL3" s="234"/>
      <c r="AO3" s="234"/>
    </row>
    <row r="4" spans="1:4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49.72</v>
      </c>
      <c r="R4" s="527">
        <v>2E-3</v>
      </c>
      <c r="T4" s="1"/>
      <c r="W4" s="133">
        <v>42674</v>
      </c>
      <c r="X4" s="10">
        <v>50.88</v>
      </c>
      <c r="Y4" s="10">
        <v>51.15</v>
      </c>
      <c r="Z4" s="10">
        <v>50</v>
      </c>
      <c r="AA4" s="10">
        <v>50.18</v>
      </c>
      <c r="AB4" s="95">
        <v>17931300</v>
      </c>
      <c r="AC4" s="10">
        <v>50.18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1988.8</v>
      </c>
      <c r="W5" s="133">
        <v>42671</v>
      </c>
      <c r="X5" s="10">
        <v>52.12</v>
      </c>
      <c r="Y5" s="10">
        <v>52.5</v>
      </c>
      <c r="Z5" s="10">
        <v>51.79</v>
      </c>
      <c r="AA5" s="10">
        <v>52.02</v>
      </c>
      <c r="AB5" s="95">
        <v>9096700</v>
      </c>
      <c r="AC5" s="10">
        <v>52.02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2107.1999999999998</v>
      </c>
      <c r="W6" s="133">
        <v>42670</v>
      </c>
      <c r="X6" s="10">
        <v>52.34</v>
      </c>
      <c r="Y6" s="10">
        <v>52.34</v>
      </c>
      <c r="Z6" s="10">
        <v>51.69</v>
      </c>
      <c r="AA6" s="10">
        <v>51.89</v>
      </c>
      <c r="AB6" s="95">
        <v>7939200</v>
      </c>
      <c r="AC6" s="10">
        <v>51.89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163.56000000000108</v>
      </c>
      <c r="R7">
        <v>40</v>
      </c>
      <c r="W7" s="133">
        <v>42669</v>
      </c>
      <c r="X7" s="10">
        <v>50.95</v>
      </c>
      <c r="Y7" s="10">
        <v>52.27</v>
      </c>
      <c r="Z7" s="10">
        <v>50.9</v>
      </c>
      <c r="AA7" s="10">
        <v>51.97</v>
      </c>
      <c r="AB7" s="95">
        <v>12401100</v>
      </c>
      <c r="AC7" s="10">
        <v>51.97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-118.39999999999986</v>
      </c>
      <c r="W8" s="133">
        <v>42668</v>
      </c>
      <c r="X8" s="10">
        <v>50.97</v>
      </c>
      <c r="Y8" s="10">
        <v>51.44</v>
      </c>
      <c r="Z8" s="10">
        <v>50.71</v>
      </c>
      <c r="AA8" s="10">
        <v>51.05</v>
      </c>
      <c r="AB8" s="95">
        <v>14975300</v>
      </c>
      <c r="AC8" s="10">
        <v>51.05</v>
      </c>
      <c r="AE8" s="138"/>
      <c r="AL8" s="234"/>
      <c r="AO8" s="234"/>
      <c r="AP8" s="234"/>
    </row>
    <row r="9" spans="1:42" x14ac:dyDescent="0.25">
      <c r="H9" s="72"/>
      <c r="O9" s="11" t="s">
        <v>219</v>
      </c>
      <c r="Q9" s="138">
        <f>IF(Q2=0, 0, Q8/Q6)</f>
        <v>-5.6188306757782781E-2</v>
      </c>
      <c r="W9" s="133">
        <v>42667</v>
      </c>
      <c r="X9" s="10">
        <v>52.16</v>
      </c>
      <c r="Y9" s="10">
        <v>52.29</v>
      </c>
      <c r="Z9" s="10">
        <v>51.83</v>
      </c>
      <c r="AA9" s="10">
        <v>51.87</v>
      </c>
      <c r="AB9" s="95">
        <v>7578200</v>
      </c>
      <c r="AC9" s="10">
        <v>51.87</v>
      </c>
      <c r="AE9" s="138"/>
    </row>
    <row r="10" spans="1:42" x14ac:dyDescent="0.25">
      <c r="H10" s="72"/>
      <c r="O10" s="11" t="s">
        <v>218</v>
      </c>
      <c r="P10" s="34"/>
      <c r="Q10" s="2">
        <f>M63</f>
        <v>281.96000000000095</v>
      </c>
      <c r="T10" s="11"/>
      <c r="W10" s="133">
        <v>42664</v>
      </c>
      <c r="X10" s="10">
        <v>51.74</v>
      </c>
      <c r="Y10" s="10">
        <v>51.87</v>
      </c>
      <c r="Z10" s="10">
        <v>51.25</v>
      </c>
      <c r="AA10" s="10">
        <v>51.77</v>
      </c>
      <c r="AB10" s="95">
        <v>9161000</v>
      </c>
      <c r="AC10" s="10">
        <v>51.77</v>
      </c>
      <c r="AE10" s="138"/>
      <c r="AL10" s="234"/>
      <c r="AO10" s="234"/>
    </row>
    <row r="11" spans="1:42" x14ac:dyDescent="0.25">
      <c r="H11" s="72"/>
      <c r="O11" s="11" t="s">
        <v>181</v>
      </c>
      <c r="P11" s="34"/>
      <c r="Q11" s="138">
        <f>IF(U58="N/A (N/A)", 0, VALUE(TRIM(CLEAN(MID(U58, FIND("(", U58)+1, 5)))))</f>
        <v>1.23E-2</v>
      </c>
      <c r="T11" s="1"/>
      <c r="W11" s="133">
        <v>42663</v>
      </c>
      <c r="X11" s="10">
        <v>51.77</v>
      </c>
      <c r="Y11" s="10">
        <v>52.36</v>
      </c>
      <c r="Z11" s="10">
        <v>51.69</v>
      </c>
      <c r="AA11" s="10">
        <v>51.89</v>
      </c>
      <c r="AB11" s="95">
        <v>6590500</v>
      </c>
      <c r="AC11" s="10">
        <v>51.89</v>
      </c>
      <c r="AE11" s="138"/>
    </row>
    <row r="12" spans="1:42" x14ac:dyDescent="0.25">
      <c r="H12" s="72"/>
      <c r="W12" s="133">
        <v>42662</v>
      </c>
      <c r="X12" s="10">
        <v>51.34</v>
      </c>
      <c r="Y12" s="10">
        <v>51.84</v>
      </c>
      <c r="Z12" s="10">
        <v>51.14</v>
      </c>
      <c r="AA12" s="10">
        <v>51.8</v>
      </c>
      <c r="AB12" s="95">
        <v>6999000</v>
      </c>
      <c r="AC12" s="10">
        <v>51.8</v>
      </c>
      <c r="AE12" s="138"/>
      <c r="AL12" s="234"/>
      <c r="AO12" s="234"/>
    </row>
    <row r="13" spans="1:42" x14ac:dyDescent="0.25">
      <c r="H13" s="72"/>
      <c r="T13" s="1"/>
      <c r="W13" s="133">
        <v>42661</v>
      </c>
      <c r="X13" s="10">
        <v>51.3</v>
      </c>
      <c r="Y13" s="10">
        <v>51.66</v>
      </c>
      <c r="Z13" s="10">
        <v>51.19</v>
      </c>
      <c r="AA13" s="10">
        <v>51.22</v>
      </c>
      <c r="AB13" s="95">
        <v>6805200</v>
      </c>
      <c r="AC13" s="10">
        <v>51.22</v>
      </c>
      <c r="AE13" s="138"/>
    </row>
    <row r="14" spans="1:42" x14ac:dyDescent="0.25">
      <c r="H14" s="72"/>
      <c r="W14" s="133">
        <v>42660</v>
      </c>
      <c r="X14" s="10">
        <v>51.65</v>
      </c>
      <c r="Y14" s="10">
        <v>51.75</v>
      </c>
      <c r="Z14" s="10">
        <v>50.96</v>
      </c>
      <c r="AA14" s="10">
        <v>51.03</v>
      </c>
      <c r="AB14" s="95">
        <v>7904000</v>
      </c>
      <c r="AC14" s="10">
        <v>51.03</v>
      </c>
      <c r="AE14" s="138"/>
      <c r="AL14" s="234"/>
      <c r="AO14" s="234"/>
      <c r="AP14" s="234"/>
    </row>
    <row r="15" spans="1:42" x14ac:dyDescent="0.25">
      <c r="H15" s="72"/>
      <c r="W15" s="133">
        <v>42657</v>
      </c>
      <c r="X15" s="10">
        <v>52.38</v>
      </c>
      <c r="Y15" s="10">
        <v>52.5</v>
      </c>
      <c r="Z15" s="10">
        <v>51.62</v>
      </c>
      <c r="AA15" s="10">
        <v>51.62</v>
      </c>
      <c r="AB15" s="95">
        <v>7133800</v>
      </c>
      <c r="AC15" s="10">
        <v>51.62</v>
      </c>
      <c r="AE15" s="138"/>
    </row>
    <row r="16" spans="1:42" x14ac:dyDescent="0.25">
      <c r="H16" s="72"/>
      <c r="O16" s="2"/>
      <c r="P16" s="2"/>
      <c r="Q16" s="2"/>
      <c r="T16" s="69"/>
      <c r="W16" s="133">
        <v>42656</v>
      </c>
      <c r="X16" s="10">
        <v>52.12</v>
      </c>
      <c r="Y16" s="10">
        <v>52.32</v>
      </c>
      <c r="Z16" s="10">
        <v>51.5</v>
      </c>
      <c r="AA16" s="10">
        <v>52.03</v>
      </c>
      <c r="AB16" s="95">
        <v>8425800</v>
      </c>
      <c r="AC16" s="10">
        <v>52.03</v>
      </c>
      <c r="AE16" s="138"/>
    </row>
    <row r="17" spans="1:41" x14ac:dyDescent="0.25">
      <c r="H17" s="72"/>
      <c r="O17" s="2"/>
      <c r="P17" s="2"/>
      <c r="Q17" s="2"/>
      <c r="W17" s="133">
        <v>42655</v>
      </c>
      <c r="X17" s="10">
        <v>52.01</v>
      </c>
      <c r="Y17" s="10">
        <v>52.71</v>
      </c>
      <c r="Z17" s="10">
        <v>51.8</v>
      </c>
      <c r="AA17" s="10">
        <v>52.44</v>
      </c>
      <c r="AB17" s="95">
        <v>9301300</v>
      </c>
      <c r="AC17" s="10">
        <v>52.44</v>
      </c>
      <c r="AE17" s="138"/>
    </row>
    <row r="18" spans="1:41" x14ac:dyDescent="0.25">
      <c r="A18" s="22" t="s">
        <v>81</v>
      </c>
      <c r="B18" s="12"/>
      <c r="C18" s="12">
        <f>SUM(C2:C7)</f>
        <v>40</v>
      </c>
      <c r="D18" s="12"/>
      <c r="E18" s="12"/>
      <c r="F18" s="13">
        <f>SUM(F2:F7)</f>
        <v>2107.1999999999998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 t="shared" ref="M18" si="0">SUM(M2:M17)</f>
        <v>0</v>
      </c>
      <c r="O18" s="2"/>
      <c r="P18" s="2"/>
      <c r="Q18" s="2"/>
      <c r="W18" s="133">
        <v>42654</v>
      </c>
      <c r="X18" s="10">
        <v>51.95</v>
      </c>
      <c r="Y18" s="10">
        <v>52.25</v>
      </c>
      <c r="Z18" s="10">
        <v>51.52</v>
      </c>
      <c r="AA18" s="10">
        <v>51.82</v>
      </c>
      <c r="AB18" s="95">
        <v>9203500</v>
      </c>
      <c r="AC18" s="10">
        <v>51.82</v>
      </c>
      <c r="AE18" s="138"/>
      <c r="AL18" s="234"/>
      <c r="AO18" s="234"/>
    </row>
    <row r="19" spans="1:4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SumByColor($A$19,F2:F5)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>SumByColor($A$19,M2:M17)</f>
        <v>0</v>
      </c>
      <c r="O19" s="2"/>
      <c r="P19" s="2"/>
      <c r="Q19" s="2"/>
      <c r="W19" s="133">
        <v>42653</v>
      </c>
      <c r="X19" s="10">
        <v>52.13</v>
      </c>
      <c r="Y19" s="10">
        <v>52.25</v>
      </c>
      <c r="Z19" s="10">
        <v>51.77</v>
      </c>
      <c r="AA19" s="10">
        <v>51.79</v>
      </c>
      <c r="AB19" s="95">
        <v>5469300</v>
      </c>
      <c r="AC19" s="10">
        <v>51.79</v>
      </c>
      <c r="AE19" s="138"/>
    </row>
    <row r="20" spans="1:41" x14ac:dyDescent="0.25">
      <c r="O20" s="2"/>
      <c r="P20" s="2"/>
      <c r="Q20" s="2"/>
      <c r="W20" s="133">
        <v>42650</v>
      </c>
      <c r="X20" s="10">
        <v>52.42</v>
      </c>
      <c r="Y20" s="10">
        <v>52.46</v>
      </c>
      <c r="Z20" s="10">
        <v>51.68</v>
      </c>
      <c r="AA20" s="10">
        <v>51.79</v>
      </c>
      <c r="AB20" s="95">
        <v>8407100</v>
      </c>
      <c r="AC20" s="10">
        <v>51.79</v>
      </c>
      <c r="AE20" s="138"/>
    </row>
    <row r="21" spans="1:41" x14ac:dyDescent="0.25">
      <c r="O21" s="2"/>
      <c r="P21" s="2"/>
      <c r="Q21" s="2"/>
      <c r="W21" s="133">
        <v>42649</v>
      </c>
      <c r="X21" s="10">
        <v>52.2</v>
      </c>
      <c r="Y21" s="10">
        <v>52.33</v>
      </c>
      <c r="Z21" s="10">
        <v>51.97</v>
      </c>
      <c r="AA21" s="10">
        <v>52.03</v>
      </c>
      <c r="AB21" s="95">
        <v>9391700</v>
      </c>
      <c r="AC21" s="10">
        <v>52.03</v>
      </c>
      <c r="AE21" s="138"/>
    </row>
    <row r="22" spans="1:41" x14ac:dyDescent="0.25">
      <c r="B22" s="563" t="s">
        <v>114</v>
      </c>
      <c r="C22" s="563" t="s">
        <v>149</v>
      </c>
      <c r="D22" s="564" t="s">
        <v>148</v>
      </c>
      <c r="E22" s="565" t="s">
        <v>150</v>
      </c>
      <c r="F22" s="566" t="s">
        <v>65</v>
      </c>
      <c r="G22" s="567" t="s">
        <v>154</v>
      </c>
      <c r="H22" s="566" t="s">
        <v>88</v>
      </c>
      <c r="I22" s="567" t="s">
        <v>158</v>
      </c>
      <c r="O22" s="2"/>
      <c r="P22" s="2"/>
      <c r="Q22" s="2"/>
      <c r="W22" s="133">
        <v>42648</v>
      </c>
      <c r="X22" s="10">
        <v>52.15</v>
      </c>
      <c r="Y22" s="10">
        <v>52.64</v>
      </c>
      <c r="Z22" s="10">
        <v>52.1</v>
      </c>
      <c r="AA22" s="10">
        <v>52.12</v>
      </c>
      <c r="AB22" s="95">
        <v>7244100</v>
      </c>
      <c r="AC22" s="10">
        <v>52.12</v>
      </c>
      <c r="AE22" s="138"/>
    </row>
    <row r="23" spans="1:41" x14ac:dyDescent="0.25">
      <c r="B23" s="568">
        <v>42472</v>
      </c>
      <c r="C23" s="569">
        <v>50</v>
      </c>
      <c r="D23" s="570">
        <v>56.99</v>
      </c>
      <c r="E23" s="571">
        <v>58.55</v>
      </c>
      <c r="F23" s="571">
        <f t="shared" ref="F23:F31" si="1">-C23*(D23-E23)</f>
        <v>77.999999999999758</v>
      </c>
      <c r="G23" s="571">
        <f t="shared" ref="G23:G31" si="2">IF(C23=0, 0,D23*C23)</f>
        <v>2849.5</v>
      </c>
      <c r="H23" s="572">
        <f t="shared" ref="H23:H31" si="3">IF(C23=0, D23, (E23-D23)/D23)</f>
        <v>2.7373223372521408E-2</v>
      </c>
      <c r="I23" s="571"/>
      <c r="O23" s="2"/>
      <c r="P23" s="2"/>
      <c r="Q23" s="2"/>
      <c r="W23" s="133">
        <v>42647</v>
      </c>
      <c r="X23" s="10">
        <v>52.9</v>
      </c>
      <c r="Y23" s="10">
        <v>53.06</v>
      </c>
      <c r="Z23" s="10">
        <v>52.08</v>
      </c>
      <c r="AA23" s="10">
        <v>52.14</v>
      </c>
      <c r="AB23" s="95">
        <v>10737400</v>
      </c>
      <c r="AC23" s="10">
        <v>52.14</v>
      </c>
      <c r="AE23" s="138"/>
    </row>
    <row r="24" spans="1:41" x14ac:dyDescent="0.25">
      <c r="B24" s="568">
        <v>42484</v>
      </c>
      <c r="C24" s="569">
        <v>50</v>
      </c>
      <c r="D24" s="570">
        <v>56.99</v>
      </c>
      <c r="E24" s="571">
        <v>59.43</v>
      </c>
      <c r="F24" s="571">
        <f t="shared" si="1"/>
        <v>121.99999999999989</v>
      </c>
      <c r="G24" s="571">
        <f t="shared" si="2"/>
        <v>2849.5</v>
      </c>
      <c r="H24" s="572">
        <f t="shared" si="3"/>
        <v>4.281452886471307E-2</v>
      </c>
      <c r="I24" s="571"/>
      <c r="O24" s="2"/>
      <c r="P24" s="2"/>
      <c r="Q24" s="2"/>
      <c r="W24" s="133">
        <v>42646</v>
      </c>
      <c r="X24" s="10">
        <v>52.54</v>
      </c>
      <c r="Y24" s="10">
        <v>53</v>
      </c>
      <c r="Z24" s="10">
        <v>52.42</v>
      </c>
      <c r="AA24" s="10">
        <v>52.67</v>
      </c>
      <c r="AB24" s="95">
        <v>7632500</v>
      </c>
      <c r="AC24" s="10">
        <v>52.67</v>
      </c>
      <c r="AE24" s="138"/>
    </row>
    <row r="25" spans="1:41" x14ac:dyDescent="0.25">
      <c r="B25" s="568">
        <v>42502</v>
      </c>
      <c r="C25" s="569">
        <v>50</v>
      </c>
      <c r="D25" s="570">
        <v>56.99</v>
      </c>
      <c r="E25" s="571">
        <v>57.99</v>
      </c>
      <c r="F25" s="571">
        <f t="shared" si="1"/>
        <v>50</v>
      </c>
      <c r="G25" s="571">
        <f t="shared" si="2"/>
        <v>2849.5</v>
      </c>
      <c r="H25" s="572">
        <f t="shared" si="3"/>
        <v>1.754693805930865E-2</v>
      </c>
      <c r="I25" s="571"/>
      <c r="O25" s="2"/>
      <c r="P25" s="2"/>
      <c r="Q25" s="2"/>
      <c r="W25" s="133">
        <v>42643</v>
      </c>
      <c r="X25" s="10">
        <v>52.57</v>
      </c>
      <c r="Y25" s="10">
        <v>53.06</v>
      </c>
      <c r="Z25" s="10">
        <v>52.28</v>
      </c>
      <c r="AA25" s="10">
        <v>52.65</v>
      </c>
      <c r="AB25" s="95">
        <v>12940200</v>
      </c>
      <c r="AC25" s="10">
        <v>52.65</v>
      </c>
      <c r="AE25" s="138"/>
    </row>
    <row r="26" spans="1:41" x14ac:dyDescent="0.25">
      <c r="B26" s="568">
        <v>42508</v>
      </c>
      <c r="C26" s="569">
        <v>50</v>
      </c>
      <c r="D26" s="570">
        <v>56.99</v>
      </c>
      <c r="E26" s="571">
        <v>56.12</v>
      </c>
      <c r="F26" s="571">
        <f t="shared" si="1"/>
        <v>-43.500000000000227</v>
      </c>
      <c r="G26" s="571">
        <f t="shared" si="2"/>
        <v>2849.5</v>
      </c>
      <c r="H26" s="572">
        <f t="shared" si="3"/>
        <v>-1.5265836111598605E-2</v>
      </c>
      <c r="I26" s="571"/>
      <c r="O26" s="2"/>
      <c r="P26" s="2"/>
      <c r="Q26" s="2"/>
      <c r="W26" s="133">
        <v>42642</v>
      </c>
      <c r="X26" s="10">
        <v>52.92</v>
      </c>
      <c r="Y26" s="10">
        <v>53.58</v>
      </c>
      <c r="Z26" s="10">
        <v>52.12</v>
      </c>
      <c r="AA26" s="10">
        <v>52.16</v>
      </c>
      <c r="AB26" s="95">
        <v>16993900</v>
      </c>
      <c r="AC26" s="10">
        <v>52.16</v>
      </c>
      <c r="AE26" s="138"/>
    </row>
    <row r="27" spans="1:41" x14ac:dyDescent="0.25">
      <c r="B27" s="568">
        <v>42524</v>
      </c>
      <c r="C27" s="569">
        <v>120</v>
      </c>
      <c r="D27" s="570">
        <v>55.284999999999997</v>
      </c>
      <c r="E27" s="571">
        <v>53.45</v>
      </c>
      <c r="F27" s="571">
        <f t="shared" si="1"/>
        <v>-220.19999999999925</v>
      </c>
      <c r="G27" s="571">
        <f t="shared" si="2"/>
        <v>6634.2</v>
      </c>
      <c r="H27" s="572">
        <f t="shared" si="3"/>
        <v>-3.3191643302884939E-2</v>
      </c>
      <c r="I27" s="571"/>
      <c r="O27" s="2"/>
      <c r="P27" s="2"/>
      <c r="Q27" s="2"/>
      <c r="W27" s="133">
        <v>42641</v>
      </c>
      <c r="X27" s="10">
        <v>54.6</v>
      </c>
      <c r="Y27" s="10">
        <v>55</v>
      </c>
      <c r="Z27" s="10">
        <v>52.8</v>
      </c>
      <c r="AA27" s="10">
        <v>53.25</v>
      </c>
      <c r="AB27" s="95">
        <v>33213000</v>
      </c>
      <c r="AC27" s="10">
        <v>53.25</v>
      </c>
      <c r="AE27" s="138"/>
    </row>
    <row r="28" spans="1:41" x14ac:dyDescent="0.25">
      <c r="B28" s="568">
        <v>42530</v>
      </c>
      <c r="C28" s="569">
        <v>120</v>
      </c>
      <c r="D28" s="570">
        <v>55.284999999999997</v>
      </c>
      <c r="E28" s="571">
        <v>54.94</v>
      </c>
      <c r="F28" s="571">
        <f t="shared" si="1"/>
        <v>-41.399999999999864</v>
      </c>
      <c r="G28" s="571">
        <f t="shared" si="2"/>
        <v>6634.2</v>
      </c>
      <c r="H28" s="572">
        <f t="shared" si="3"/>
        <v>-6.2403907027222373E-3</v>
      </c>
      <c r="I28" s="571"/>
      <c r="O28" s="2"/>
      <c r="P28" s="2"/>
      <c r="Q28" s="2"/>
      <c r="W28" s="133">
        <v>42640</v>
      </c>
      <c r="X28" s="10">
        <v>54.25</v>
      </c>
      <c r="Y28" s="10">
        <v>55.54</v>
      </c>
      <c r="Z28" s="10">
        <v>53.9</v>
      </c>
      <c r="AA28" s="10">
        <v>55.34</v>
      </c>
      <c r="AB28" s="95">
        <v>17945200</v>
      </c>
      <c r="AC28" s="10">
        <v>55.34</v>
      </c>
      <c r="AE28" s="138"/>
    </row>
    <row r="29" spans="1:41" x14ac:dyDescent="0.25">
      <c r="B29" s="568">
        <v>42537</v>
      </c>
      <c r="C29" s="569">
        <v>120</v>
      </c>
      <c r="D29" s="570">
        <v>55.284999999999997</v>
      </c>
      <c r="E29" s="571">
        <v>53.47</v>
      </c>
      <c r="F29" s="571">
        <f t="shared" si="1"/>
        <v>-217.79999999999973</v>
      </c>
      <c r="G29" s="571">
        <f t="shared" si="2"/>
        <v>6634.2</v>
      </c>
      <c r="H29" s="572">
        <f t="shared" si="3"/>
        <v>-3.2829881523017052E-2</v>
      </c>
      <c r="I29" s="571"/>
      <c r="W29" s="133">
        <v>42639</v>
      </c>
      <c r="X29" s="10">
        <v>54.8</v>
      </c>
      <c r="Y29" s="10">
        <v>55</v>
      </c>
      <c r="Z29" s="10">
        <v>54.08</v>
      </c>
      <c r="AA29" s="10">
        <v>54.4</v>
      </c>
      <c r="AB29" s="95">
        <v>11629600</v>
      </c>
      <c r="AC29" s="10">
        <v>54.4</v>
      </c>
      <c r="AE29" s="138"/>
    </row>
    <row r="30" spans="1:41" x14ac:dyDescent="0.25">
      <c r="B30" s="568">
        <v>42542</v>
      </c>
      <c r="C30" s="569">
        <v>120</v>
      </c>
      <c r="D30" s="570">
        <v>55.284999999999997</v>
      </c>
      <c r="E30" s="571">
        <v>54.77</v>
      </c>
      <c r="F30" s="571">
        <f t="shared" si="1"/>
        <v>-61.799999999999216</v>
      </c>
      <c r="G30" s="571">
        <f t="shared" si="2"/>
        <v>6634.2</v>
      </c>
      <c r="H30" s="572">
        <f t="shared" si="3"/>
        <v>-9.3153658315997742E-3</v>
      </c>
      <c r="I30" s="571"/>
      <c r="W30" s="133">
        <v>42636</v>
      </c>
      <c r="X30" s="10">
        <v>55.02</v>
      </c>
      <c r="Y30" s="10">
        <v>55.71</v>
      </c>
      <c r="Z30" s="10">
        <v>54.91</v>
      </c>
      <c r="AA30" s="10">
        <v>55.15</v>
      </c>
      <c r="AB30" s="95">
        <v>8921700</v>
      </c>
      <c r="AC30" s="10">
        <v>55.15</v>
      </c>
      <c r="AE30" s="138"/>
    </row>
    <row r="31" spans="1:41" x14ac:dyDescent="0.25">
      <c r="B31" s="568">
        <v>42546</v>
      </c>
      <c r="C31" s="569">
        <v>150</v>
      </c>
      <c r="D31" s="570">
        <v>54.704000000000001</v>
      </c>
      <c r="E31" s="571">
        <v>52.59</v>
      </c>
      <c r="F31" s="571">
        <f t="shared" si="1"/>
        <v>-317.09999999999957</v>
      </c>
      <c r="G31" s="571">
        <f t="shared" si="2"/>
        <v>8205.6</v>
      </c>
      <c r="H31" s="572">
        <f t="shared" si="3"/>
        <v>-3.8644340450424051E-2</v>
      </c>
      <c r="I31" s="571"/>
      <c r="W31" s="133">
        <v>42635</v>
      </c>
      <c r="X31" s="10">
        <v>55.47</v>
      </c>
      <c r="Y31" s="10">
        <v>55.98</v>
      </c>
      <c r="Z31" s="10">
        <v>55.24</v>
      </c>
      <c r="AA31" s="10">
        <v>55.41</v>
      </c>
      <c r="AB31" s="95">
        <v>8052400</v>
      </c>
      <c r="AC31" s="10">
        <v>55.41</v>
      </c>
      <c r="AE31" s="138"/>
    </row>
    <row r="32" spans="1:41" x14ac:dyDescent="0.25">
      <c r="B32" s="568">
        <v>42549</v>
      </c>
      <c r="C32" s="569">
        <v>150</v>
      </c>
      <c r="D32" s="570">
        <v>54.704000000000001</v>
      </c>
      <c r="E32" s="571">
        <v>53.09</v>
      </c>
      <c r="F32" s="571">
        <f t="shared" ref="F32" si="4">-C32*(D32-E32)</f>
        <v>-242.09999999999957</v>
      </c>
      <c r="G32" s="571">
        <f t="shared" ref="G32" si="5">IF(C32=0, 0,D32*C32)</f>
        <v>8205.6</v>
      </c>
      <c r="H32" s="572">
        <f t="shared" ref="H32" si="6">IF(C32=0, D32, (E32-D32)/D32)</f>
        <v>-2.9504241006142094E-2</v>
      </c>
      <c r="I32" s="571" t="s">
        <v>252</v>
      </c>
      <c r="W32" s="133">
        <v>42634</v>
      </c>
      <c r="X32" s="10">
        <v>55.02</v>
      </c>
      <c r="Y32" s="10">
        <v>55.38</v>
      </c>
      <c r="Z32" s="10">
        <v>54.61</v>
      </c>
      <c r="AA32" s="10">
        <v>55.34</v>
      </c>
      <c r="AB32" s="95">
        <v>8041700</v>
      </c>
      <c r="AC32" s="10">
        <v>55.34</v>
      </c>
      <c r="AE32" s="138"/>
    </row>
    <row r="33" spans="2:41" x14ac:dyDescent="0.25">
      <c r="B33" s="568">
        <v>42550</v>
      </c>
      <c r="C33" s="569">
        <v>100</v>
      </c>
      <c r="D33" s="570">
        <v>54.6511</v>
      </c>
      <c r="E33" s="571">
        <v>55.13</v>
      </c>
      <c r="F33" s="571">
        <f t="shared" ref="F33:F35" si="7">-C33*(D33-E33)</f>
        <v>47.890000000000299</v>
      </c>
      <c r="G33" s="571">
        <f t="shared" ref="G33:G35" si="8">IF(C33=0, 0,D33*C33)</f>
        <v>5465.11</v>
      </c>
      <c r="H33" s="572">
        <f t="shared" ref="H33:H35" si="9">IF(C33=0, D33, (E33-D33)/D33)</f>
        <v>8.7628611317979513E-3</v>
      </c>
      <c r="I33" s="571" t="s">
        <v>253</v>
      </c>
      <c r="W33" s="133">
        <v>42633</v>
      </c>
      <c r="X33" s="10">
        <v>55.26</v>
      </c>
      <c r="Y33" s="10">
        <v>55.44</v>
      </c>
      <c r="Z33" s="10">
        <v>54.76</v>
      </c>
      <c r="AA33" s="10">
        <v>54.87</v>
      </c>
      <c r="AB33" s="95">
        <v>8563000</v>
      </c>
      <c r="AC33" s="10">
        <v>54.87</v>
      </c>
      <c r="AE33" s="138"/>
    </row>
    <row r="34" spans="2:41" x14ac:dyDescent="0.25">
      <c r="B34" s="568">
        <v>42552</v>
      </c>
      <c r="C34" s="569">
        <v>100</v>
      </c>
      <c r="D34" s="570">
        <v>54.6511</v>
      </c>
      <c r="E34" s="571">
        <v>55.61</v>
      </c>
      <c r="F34" s="571">
        <f t="shared" si="7"/>
        <v>95.889999999999986</v>
      </c>
      <c r="G34" s="571">
        <f t="shared" si="8"/>
        <v>5465.11</v>
      </c>
      <c r="H34" s="572">
        <f t="shared" si="9"/>
        <v>1.7545849946295679E-2</v>
      </c>
      <c r="I34" s="571"/>
      <c r="W34" s="133">
        <v>42632</v>
      </c>
      <c r="X34" s="10">
        <v>55.38</v>
      </c>
      <c r="Y34" s="10">
        <v>55.47</v>
      </c>
      <c r="Z34" s="10">
        <v>54.93</v>
      </c>
      <c r="AA34" s="10">
        <v>54.95</v>
      </c>
      <c r="AB34" s="95">
        <v>7671300</v>
      </c>
      <c r="AC34" s="10">
        <v>54.95</v>
      </c>
      <c r="AE34" s="138"/>
    </row>
    <row r="35" spans="2:41" x14ac:dyDescent="0.25">
      <c r="B35" s="568">
        <v>42556</v>
      </c>
      <c r="C35" s="569">
        <v>100</v>
      </c>
      <c r="D35" s="570">
        <v>54.539099999999998</v>
      </c>
      <c r="E35" s="571">
        <v>55.2</v>
      </c>
      <c r="F35" s="571">
        <f t="shared" si="7"/>
        <v>66.090000000000515</v>
      </c>
      <c r="G35" s="571">
        <f t="shared" si="8"/>
        <v>5453.91</v>
      </c>
      <c r="H35" s="572">
        <f t="shared" si="9"/>
        <v>1.2117911736717422E-2</v>
      </c>
      <c r="I35" s="571" t="s">
        <v>192</v>
      </c>
      <c r="W35" s="133">
        <v>42629</v>
      </c>
      <c r="X35" s="10">
        <v>55.24</v>
      </c>
      <c r="Y35" s="10">
        <v>55.36</v>
      </c>
      <c r="Z35" s="10">
        <v>55.05</v>
      </c>
      <c r="AA35" s="10">
        <v>55.18</v>
      </c>
      <c r="AB35" s="95">
        <v>11715400</v>
      </c>
      <c r="AC35" s="10">
        <v>55.18</v>
      </c>
      <c r="AE35" s="138"/>
    </row>
    <row r="36" spans="2:41" x14ac:dyDescent="0.25">
      <c r="B36" s="568">
        <v>42562</v>
      </c>
      <c r="C36" s="569">
        <v>100</v>
      </c>
      <c r="D36" s="570">
        <v>54.539099999999998</v>
      </c>
      <c r="E36" s="571">
        <v>56.83</v>
      </c>
      <c r="F36" s="571">
        <f t="shared" ref="F36:F37" si="10">-C36*(D36-E36)</f>
        <v>229.09000000000006</v>
      </c>
      <c r="G36" s="571">
        <f t="shared" ref="G36:G37" si="11">IF(C36=0, 0,D36*C36)</f>
        <v>5453.91</v>
      </c>
      <c r="H36" s="572">
        <f t="shared" ref="H36:H37" si="12">IF(C36=0, D36, (E36-D36)/D36)</f>
        <v>4.2004726884015332E-2</v>
      </c>
      <c r="I36" s="571"/>
      <c r="W36" s="133">
        <v>42628</v>
      </c>
      <c r="X36" s="10">
        <v>55</v>
      </c>
      <c r="Y36" s="10">
        <v>55.54</v>
      </c>
      <c r="Z36" s="10">
        <v>54.81</v>
      </c>
      <c r="AA36" s="10">
        <v>55.47</v>
      </c>
      <c r="AB36" s="95">
        <v>6283900</v>
      </c>
      <c r="AC36" s="10">
        <v>55.47</v>
      </c>
      <c r="AE36" s="138"/>
      <c r="AL36" s="234"/>
    </row>
    <row r="37" spans="2:41" x14ac:dyDescent="0.25">
      <c r="B37" s="568">
        <v>42563</v>
      </c>
      <c r="C37" s="569">
        <v>30</v>
      </c>
      <c r="D37" s="570">
        <v>46.98</v>
      </c>
      <c r="E37" s="571">
        <v>58.06</v>
      </c>
      <c r="F37" s="571">
        <f t="shared" si="10"/>
        <v>332.40000000000015</v>
      </c>
      <c r="G37" s="571">
        <f t="shared" si="11"/>
        <v>1409.3999999999999</v>
      </c>
      <c r="H37" s="572">
        <f t="shared" si="12"/>
        <v>0.23584504044274171</v>
      </c>
      <c r="I37" s="571"/>
      <c r="W37" s="133">
        <v>42627</v>
      </c>
      <c r="X37" s="10">
        <v>55.16</v>
      </c>
      <c r="Y37" s="10">
        <v>55.56</v>
      </c>
      <c r="Z37" s="10">
        <v>54.93</v>
      </c>
      <c r="AA37" s="10">
        <v>55.13</v>
      </c>
      <c r="AB37" s="95">
        <v>7621200</v>
      </c>
      <c r="AC37" s="10">
        <v>55.13</v>
      </c>
      <c r="AE37" s="138"/>
    </row>
    <row r="38" spans="2:41" x14ac:dyDescent="0.25">
      <c r="B38" s="568">
        <v>42570</v>
      </c>
      <c r="C38" s="569">
        <v>30</v>
      </c>
      <c r="D38" s="570">
        <v>46.98</v>
      </c>
      <c r="E38" s="571">
        <v>57.76</v>
      </c>
      <c r="F38" s="571">
        <f t="shared" ref="F38" si="13">-C38*(D38-E38)</f>
        <v>323.40000000000003</v>
      </c>
      <c r="G38" s="571">
        <f t="shared" ref="G38" si="14">IF(C38=0, 0,D38*C38)</f>
        <v>1409.3999999999999</v>
      </c>
      <c r="H38" s="572">
        <f t="shared" ref="H38" si="15">IF(C38=0, D38, (E38-D38)/D38)</f>
        <v>0.22945934440187318</v>
      </c>
      <c r="I38" s="571"/>
      <c r="W38" s="133">
        <v>42626</v>
      </c>
      <c r="X38" s="10">
        <v>55.86</v>
      </c>
      <c r="Y38" s="10">
        <v>55.94</v>
      </c>
      <c r="Z38" s="10">
        <v>55.12</v>
      </c>
      <c r="AA38" s="10">
        <v>55.37</v>
      </c>
      <c r="AB38" s="95">
        <v>7359400</v>
      </c>
      <c r="AC38" s="10">
        <v>55.37</v>
      </c>
      <c r="AE38" s="138"/>
    </row>
    <row r="39" spans="2:41" x14ac:dyDescent="0.25">
      <c r="B39" s="568">
        <v>42571</v>
      </c>
      <c r="C39" s="569">
        <v>30</v>
      </c>
      <c r="D39" s="570">
        <v>46.98</v>
      </c>
      <c r="E39" s="571">
        <v>57.76</v>
      </c>
      <c r="F39" s="571">
        <f t="shared" ref="F39" si="16">-C39*(D39-E39)</f>
        <v>323.40000000000003</v>
      </c>
      <c r="G39" s="571">
        <f t="shared" ref="G39" si="17">IF(C39=0, 0,D39*C39)</f>
        <v>1409.3999999999999</v>
      </c>
      <c r="H39" s="572">
        <f t="shared" ref="H39" si="18">IF(C39=0, D39, (E39-D39)/D39)</f>
        <v>0.22945934440187318</v>
      </c>
      <c r="I39" s="571"/>
      <c r="W39" s="133">
        <v>42625</v>
      </c>
      <c r="X39" s="10">
        <v>55</v>
      </c>
      <c r="Y39" s="10">
        <v>56.12</v>
      </c>
      <c r="Z39" s="10">
        <v>54.95</v>
      </c>
      <c r="AA39" s="10">
        <v>56.01</v>
      </c>
      <c r="AB39" s="95">
        <v>7470900</v>
      </c>
      <c r="AC39" s="10">
        <v>56.01</v>
      </c>
      <c r="AE39" s="138"/>
    </row>
    <row r="40" spans="2:41" x14ac:dyDescent="0.25">
      <c r="B40" s="568">
        <v>42572</v>
      </c>
      <c r="C40" s="569">
        <v>30</v>
      </c>
      <c r="D40" s="570">
        <v>46.98</v>
      </c>
      <c r="E40" s="571">
        <v>56.99</v>
      </c>
      <c r="F40" s="571">
        <f t="shared" ref="F40" si="19">-C40*(D40-E40)</f>
        <v>300.30000000000018</v>
      </c>
      <c r="G40" s="571">
        <f t="shared" ref="G40" si="20">IF(C40=0, 0,D40*C40)</f>
        <v>1409.3999999999999</v>
      </c>
      <c r="H40" s="572">
        <f t="shared" ref="H40" si="21">IF(C40=0, D40, (E40-D40)/D40)</f>
        <v>0.21306939123031091</v>
      </c>
      <c r="I40" s="571"/>
      <c r="W40" s="133">
        <v>42622</v>
      </c>
      <c r="X40" s="10">
        <v>55.88</v>
      </c>
      <c r="Y40" s="10">
        <v>56</v>
      </c>
      <c r="Z40" s="10">
        <v>55.27</v>
      </c>
      <c r="AA40" s="10">
        <v>55.33</v>
      </c>
      <c r="AB40" s="95">
        <v>11310400</v>
      </c>
      <c r="AC40" s="10">
        <v>55.33</v>
      </c>
      <c r="AE40" s="138"/>
    </row>
    <row r="41" spans="2:41" x14ac:dyDescent="0.25">
      <c r="B41" s="568">
        <v>42577</v>
      </c>
      <c r="C41" s="569">
        <v>30</v>
      </c>
      <c r="D41" s="570">
        <v>46.98</v>
      </c>
      <c r="E41" s="571">
        <v>56.37</v>
      </c>
      <c r="F41" s="571">
        <f t="shared" ref="F41" si="22">-C41*(D41-E41)</f>
        <v>281.70000000000005</v>
      </c>
      <c r="G41" s="571">
        <f t="shared" ref="G41" si="23">IF(C41=0, 0,D41*C41)</f>
        <v>1409.3999999999999</v>
      </c>
      <c r="H41" s="572">
        <f t="shared" ref="H41" si="24">IF(C41=0, D41, (E41-D41)/D41)</f>
        <v>0.19987228607918264</v>
      </c>
      <c r="I41" s="571"/>
      <c r="W41" s="133">
        <v>42621</v>
      </c>
      <c r="X41" s="10">
        <v>56.88</v>
      </c>
      <c r="Y41" s="10">
        <v>57.27</v>
      </c>
      <c r="Z41" s="10">
        <v>56.11</v>
      </c>
      <c r="AA41" s="10">
        <v>56.17</v>
      </c>
      <c r="AB41" s="95">
        <v>12741900</v>
      </c>
      <c r="AC41" s="10">
        <v>56.17</v>
      </c>
      <c r="AE41" s="138"/>
    </row>
    <row r="42" spans="2:41" ht="20.25" thickBot="1" x14ac:dyDescent="0.35">
      <c r="B42" s="568">
        <v>42580</v>
      </c>
      <c r="C42" s="569">
        <v>30</v>
      </c>
      <c r="D42" s="570">
        <v>46.98</v>
      </c>
      <c r="E42" s="571">
        <v>55.5</v>
      </c>
      <c r="F42" s="571">
        <f t="shared" ref="F42" si="25">-C42*(D42-E42)</f>
        <v>255.60000000000008</v>
      </c>
      <c r="G42" s="571">
        <f t="shared" ref="G42" si="26">IF(C42=0, 0,D42*C42)</f>
        <v>1409.3999999999999</v>
      </c>
      <c r="H42" s="572">
        <f t="shared" ref="H42" si="27">IF(C42=0, D42, (E42-D42)/D42)</f>
        <v>0.18135376756066418</v>
      </c>
      <c r="I42" s="571"/>
      <c r="T42" s="91" t="s">
        <v>113</v>
      </c>
      <c r="W42" s="133">
        <v>42620</v>
      </c>
      <c r="X42" s="10">
        <v>57.48</v>
      </c>
      <c r="Y42" s="10">
        <v>57.78</v>
      </c>
      <c r="Z42" s="10">
        <v>57.01</v>
      </c>
      <c r="AA42" s="10">
        <v>57.72</v>
      </c>
      <c r="AB42" s="95">
        <v>7536100</v>
      </c>
      <c r="AC42" s="10">
        <v>57.72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49.62</v>
      </c>
      <c r="W43" s="133">
        <v>42619</v>
      </c>
      <c r="X43" s="10">
        <v>58.25</v>
      </c>
      <c r="Y43" s="10">
        <v>58.38</v>
      </c>
      <c r="Z43" s="10">
        <v>57.21</v>
      </c>
      <c r="AA43" s="10">
        <v>57.41</v>
      </c>
      <c r="AB43" s="95">
        <v>9771800</v>
      </c>
      <c r="AC43" s="10">
        <v>57.41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588" t="s">
        <v>78</v>
      </c>
      <c r="P44" s="588"/>
      <c r="T44" s="93" t="s">
        <v>99</v>
      </c>
      <c r="U44" s="130">
        <v>49.24</v>
      </c>
      <c r="W44" s="133">
        <v>42615</v>
      </c>
      <c r="X44" s="10">
        <v>58.63</v>
      </c>
      <c r="Y44" s="10">
        <v>59.18</v>
      </c>
      <c r="Z44" s="10">
        <v>57.99</v>
      </c>
      <c r="AA44" s="10">
        <v>58.02</v>
      </c>
      <c r="AB44" s="95">
        <v>6933100</v>
      </c>
      <c r="AC44" s="10">
        <v>58.02</v>
      </c>
      <c r="AE44" s="138"/>
    </row>
    <row r="45" spans="2:41" ht="15.75" thickTop="1" x14ac:dyDescent="0.25">
      <c r="B45" s="191" t="s">
        <v>114</v>
      </c>
      <c r="C45" s="191" t="s">
        <v>149</v>
      </c>
      <c r="D45" s="192" t="s">
        <v>148</v>
      </c>
      <c r="E45" s="194" t="s">
        <v>150</v>
      </c>
      <c r="F45" s="195" t="s">
        <v>65</v>
      </c>
      <c r="G45" s="229" t="s">
        <v>154</v>
      </c>
      <c r="H45" s="195" t="s">
        <v>88</v>
      </c>
      <c r="I45" s="229" t="s">
        <v>158</v>
      </c>
      <c r="O45" s="83">
        <v>1.1000000000000001</v>
      </c>
      <c r="P45" s="83">
        <f>O45*$Q$4</f>
        <v>54.692</v>
      </c>
      <c r="T45" s="93" t="s">
        <v>100</v>
      </c>
      <c r="U45" s="130" t="s">
        <v>636</v>
      </c>
      <c r="W45" s="133">
        <v>42614</v>
      </c>
      <c r="X45" s="10">
        <v>57.67</v>
      </c>
      <c r="Y45" s="10">
        <v>58.55</v>
      </c>
      <c r="Z45" s="10">
        <v>57.53</v>
      </c>
      <c r="AA45" s="10">
        <v>58.54</v>
      </c>
      <c r="AB45" s="95">
        <v>8225000</v>
      </c>
      <c r="AC45" s="10">
        <v>58.54</v>
      </c>
      <c r="AE45" s="138"/>
    </row>
    <row r="46" spans="2:41" x14ac:dyDescent="0.25">
      <c r="B46" s="193">
        <v>42640</v>
      </c>
      <c r="C46" s="10">
        <v>40</v>
      </c>
      <c r="D46" s="200">
        <v>52.68</v>
      </c>
      <c r="E46" s="40">
        <v>55.34</v>
      </c>
      <c r="F46" s="40">
        <f t="shared" ref="F46" si="28">-C46*(D46-E46)</f>
        <v>106.40000000000015</v>
      </c>
      <c r="G46" s="40">
        <f t="shared" ref="G46" si="29">IF(C46=0, 0,D46*C46)</f>
        <v>2107.1999999999998</v>
      </c>
      <c r="H46" s="232">
        <f t="shared" ref="H46" si="30">IF(C46=0, D46, (E46-D46)/D46)</f>
        <v>5.0493545937737354E-2</v>
      </c>
      <c r="I46" s="40" t="s">
        <v>282</v>
      </c>
      <c r="O46" s="83">
        <v>1.0900000000000001</v>
      </c>
      <c r="P46" s="83">
        <f t="shared" ref="P46:P65" si="31">O46*$Q$4</f>
        <v>54.194800000000001</v>
      </c>
      <c r="T46" s="93" t="s">
        <v>101</v>
      </c>
      <c r="U46" s="130" t="s">
        <v>637</v>
      </c>
      <c r="W46" s="133">
        <v>42614</v>
      </c>
      <c r="X46" s="10" t="s">
        <v>203</v>
      </c>
      <c r="Y46" s="10"/>
      <c r="Z46" s="10"/>
      <c r="AA46" s="10"/>
      <c r="AB46" s="95"/>
      <c r="AC46" s="10"/>
      <c r="AE46" s="138"/>
    </row>
    <row r="47" spans="2:41" x14ac:dyDescent="0.25">
      <c r="B47" s="193">
        <v>42641</v>
      </c>
      <c r="C47" s="10">
        <v>40</v>
      </c>
      <c r="D47" s="200">
        <v>52.68</v>
      </c>
      <c r="E47" s="40">
        <v>53.25</v>
      </c>
      <c r="F47" s="40">
        <f t="shared" ref="F47" si="32">-C47*(D47-E47)</f>
        <v>22.800000000000011</v>
      </c>
      <c r="G47" s="40">
        <f t="shared" ref="G47" si="33">IF(C47=0, 0,D47*C47)</f>
        <v>2107.1999999999998</v>
      </c>
      <c r="H47" s="232">
        <f t="shared" ref="H47" si="34">IF(C47=0, D47, (E47-D47)/D47)</f>
        <v>1.0820045558086565E-2</v>
      </c>
      <c r="I47" s="40"/>
      <c r="O47" s="83">
        <v>1.08</v>
      </c>
      <c r="P47" s="83">
        <f t="shared" si="31"/>
        <v>53.697600000000001</v>
      </c>
      <c r="T47" s="93" t="s">
        <v>102</v>
      </c>
      <c r="U47" s="130">
        <v>62.41</v>
      </c>
      <c r="W47" s="133">
        <v>42613</v>
      </c>
      <c r="X47" s="10">
        <v>57.86</v>
      </c>
      <c r="Y47" s="10">
        <v>58.28</v>
      </c>
      <c r="Z47" s="10">
        <v>57.19</v>
      </c>
      <c r="AA47" s="10">
        <v>57.64</v>
      </c>
      <c r="AB47" s="95">
        <v>7723600</v>
      </c>
      <c r="AC47" s="10">
        <v>57.48</v>
      </c>
      <c r="AE47" s="138"/>
    </row>
    <row r="48" spans="2:41" x14ac:dyDescent="0.25">
      <c r="B48" s="193">
        <v>42668</v>
      </c>
      <c r="C48" s="10">
        <v>40</v>
      </c>
      <c r="D48" s="200">
        <v>52.68</v>
      </c>
      <c r="E48" s="40">
        <v>51.05</v>
      </c>
      <c r="F48" s="40">
        <f t="shared" ref="F48" si="35">-C48*(D48-E48)</f>
        <v>-65.200000000000102</v>
      </c>
      <c r="G48" s="40">
        <f t="shared" ref="G48" si="36">IF(C48=0, 0,D48*C48)</f>
        <v>2107.1999999999998</v>
      </c>
      <c r="H48" s="232">
        <f t="shared" ref="H48" si="37">IF(C48=0, D48, (E48-D48)/D48)</f>
        <v>-3.0941533788914247E-2</v>
      </c>
      <c r="I48" s="40"/>
      <c r="O48" s="83">
        <v>1.07</v>
      </c>
      <c r="P48" s="83">
        <f t="shared" si="31"/>
        <v>53.200400000000002</v>
      </c>
      <c r="T48" s="93" t="s">
        <v>103</v>
      </c>
      <c r="U48" s="130">
        <v>0.50887499999999997</v>
      </c>
      <c r="W48" s="133">
        <v>42612</v>
      </c>
      <c r="X48" s="10">
        <v>58.46</v>
      </c>
      <c r="Y48" s="10">
        <v>58.76</v>
      </c>
      <c r="Z48" s="10">
        <v>57.85</v>
      </c>
      <c r="AA48" s="10">
        <v>58</v>
      </c>
      <c r="AB48" s="95">
        <v>6344600</v>
      </c>
      <c r="AC48" s="10">
        <v>57.84</v>
      </c>
      <c r="AE48" s="138"/>
    </row>
    <row r="49" spans="1:41" x14ac:dyDescent="0.25">
      <c r="B49" s="193">
        <v>42674</v>
      </c>
      <c r="C49" s="10">
        <v>40</v>
      </c>
      <c r="D49" s="200">
        <v>52.68</v>
      </c>
      <c r="E49" s="40">
        <v>50.18</v>
      </c>
      <c r="F49" s="40">
        <f t="shared" ref="F49" si="38">-C49*(D49-E49)</f>
        <v>-100</v>
      </c>
      <c r="G49" s="40">
        <f t="shared" ref="G49" si="39">IF(C49=0, 0,D49*C49)</f>
        <v>2107.1999999999998</v>
      </c>
      <c r="H49" s="232">
        <f t="shared" ref="H49" si="40">IF(C49=0, D49, (E49-D49)/D49)</f>
        <v>-4.7456340167046321E-2</v>
      </c>
      <c r="I49" s="40"/>
      <c r="O49" s="83">
        <v>1.06</v>
      </c>
      <c r="P49" s="83">
        <f t="shared" si="31"/>
        <v>52.703200000000002</v>
      </c>
      <c r="T49" s="93" t="s">
        <v>122</v>
      </c>
      <c r="U49" s="130" t="s">
        <v>363</v>
      </c>
      <c r="W49" s="133">
        <v>42611</v>
      </c>
      <c r="X49" s="10">
        <v>59.2</v>
      </c>
      <c r="Y49" s="10">
        <v>59.25</v>
      </c>
      <c r="Z49" s="10">
        <v>58.53</v>
      </c>
      <c r="AA49" s="10">
        <v>58.63</v>
      </c>
      <c r="AB49" s="95">
        <v>5831000</v>
      </c>
      <c r="AC49" s="10">
        <v>58.47</v>
      </c>
      <c r="AE49" s="138"/>
    </row>
    <row r="50" spans="1:41" x14ac:dyDescent="0.25">
      <c r="B50" s="193">
        <v>42676</v>
      </c>
      <c r="C50" s="10">
        <v>40</v>
      </c>
      <c r="D50" s="200">
        <v>52.68</v>
      </c>
      <c r="E50" s="40">
        <v>49.72</v>
      </c>
      <c r="F50" s="40">
        <f t="shared" ref="F50" si="41">-C50*(D50-E50)</f>
        <v>-118.40000000000003</v>
      </c>
      <c r="G50" s="40">
        <f t="shared" ref="G50" si="42">IF(C50=0, 0,D50*C50)</f>
        <v>2107.1999999999998</v>
      </c>
      <c r="H50" s="232">
        <f t="shared" ref="H50" si="43">IF(C50=0, D50, (E50-D50)/D50)</f>
        <v>-5.6188306757782858E-2</v>
      </c>
      <c r="I50" s="40"/>
      <c r="O50" s="83">
        <v>1.05</v>
      </c>
      <c r="P50" s="83">
        <f t="shared" si="31"/>
        <v>52.206000000000003</v>
      </c>
      <c r="T50" s="93"/>
      <c r="U50" s="130"/>
      <c r="W50" s="133">
        <v>42608</v>
      </c>
      <c r="X50" s="10">
        <v>58.57</v>
      </c>
      <c r="Y50" s="10">
        <v>59.2</v>
      </c>
      <c r="Z50" s="10">
        <v>58.3</v>
      </c>
      <c r="AA50" s="10">
        <v>59</v>
      </c>
      <c r="AB50" s="95">
        <v>9994300</v>
      </c>
      <c r="AC50" s="10">
        <v>58.84</v>
      </c>
      <c r="AE50" s="138"/>
      <c r="AL50" s="234"/>
      <c r="AO50" s="234"/>
    </row>
    <row r="51" spans="1:41" x14ac:dyDescent="0.25">
      <c r="B51" s="193"/>
      <c r="C51" s="10"/>
      <c r="D51" s="200"/>
      <c r="E51" s="40"/>
      <c r="F51" s="40"/>
      <c r="G51" s="40"/>
      <c r="H51" s="232"/>
      <c r="I51" s="40"/>
      <c r="O51" s="83">
        <v>1.04</v>
      </c>
      <c r="P51" s="83">
        <f t="shared" si="31"/>
        <v>51.708800000000004</v>
      </c>
      <c r="T51" s="93" t="s">
        <v>105</v>
      </c>
      <c r="U51" s="130" t="s">
        <v>638</v>
      </c>
      <c r="W51" s="133">
        <v>42607</v>
      </c>
      <c r="X51" s="10">
        <v>60.01</v>
      </c>
      <c r="Y51" s="10">
        <v>60.15</v>
      </c>
      <c r="Z51" s="10">
        <v>59.03</v>
      </c>
      <c r="AA51" s="10">
        <v>59.24</v>
      </c>
      <c r="AB51" s="95">
        <v>8713900</v>
      </c>
      <c r="AC51" s="10">
        <v>59.08</v>
      </c>
      <c r="AE51" s="138"/>
    </row>
    <row r="52" spans="1:41" x14ac:dyDescent="0.25">
      <c r="B52" s="193"/>
      <c r="C52" s="10"/>
      <c r="D52" s="200"/>
      <c r="E52" s="40"/>
      <c r="F52" s="40"/>
      <c r="G52" s="40"/>
      <c r="H52" s="232"/>
      <c r="I52" s="40"/>
      <c r="O52" s="83">
        <v>1.03</v>
      </c>
      <c r="P52" s="83">
        <f t="shared" si="31"/>
        <v>51.211599999999997</v>
      </c>
      <c r="T52" s="93" t="s">
        <v>106</v>
      </c>
      <c r="U52" s="130" t="s">
        <v>639</v>
      </c>
      <c r="W52" s="133">
        <v>42606</v>
      </c>
      <c r="X52" s="10">
        <v>59.89</v>
      </c>
      <c r="Y52" s="10">
        <v>60.33</v>
      </c>
      <c r="Z52" s="10">
        <v>59.72</v>
      </c>
      <c r="AA52" s="10">
        <v>60.22</v>
      </c>
      <c r="AB52" s="95">
        <v>11379000</v>
      </c>
      <c r="AC52" s="10">
        <v>60.05</v>
      </c>
      <c r="AE52" s="138"/>
    </row>
    <row r="53" spans="1:41" x14ac:dyDescent="0.25">
      <c r="B53" s="193"/>
      <c r="C53" s="10"/>
      <c r="D53" s="200"/>
      <c r="E53" s="40"/>
      <c r="F53" s="40"/>
      <c r="G53" s="40"/>
      <c r="H53" s="232"/>
      <c r="I53" s="40"/>
      <c r="O53" s="83">
        <v>1.02</v>
      </c>
      <c r="P53" s="83">
        <f t="shared" si="31"/>
        <v>50.714399999999998</v>
      </c>
      <c r="T53" s="93" t="s">
        <v>107</v>
      </c>
      <c r="U53" s="131">
        <v>10775938</v>
      </c>
      <c r="W53" s="133">
        <v>42605</v>
      </c>
      <c r="X53" s="10">
        <v>58.8</v>
      </c>
      <c r="Y53" s="10">
        <v>59.8</v>
      </c>
      <c r="Z53" s="10">
        <v>58.8</v>
      </c>
      <c r="AA53" s="10">
        <v>59.62</v>
      </c>
      <c r="AB53" s="95">
        <v>8222800</v>
      </c>
      <c r="AC53" s="10">
        <v>59.45</v>
      </c>
      <c r="AE53" s="138"/>
    </row>
    <row r="54" spans="1:41" x14ac:dyDescent="0.25">
      <c r="B54" s="193"/>
      <c r="C54" s="10"/>
      <c r="D54" s="200"/>
      <c r="E54" s="40"/>
      <c r="F54" s="40"/>
      <c r="G54" s="40"/>
      <c r="H54" s="232"/>
      <c r="I54" s="40"/>
      <c r="O54" s="83">
        <v>1.01</v>
      </c>
      <c r="P54" s="83">
        <f t="shared" si="31"/>
        <v>50.217199999999998</v>
      </c>
      <c r="T54" s="93" t="s">
        <v>110</v>
      </c>
      <c r="U54" s="131">
        <v>9421840</v>
      </c>
      <c r="W54" s="133">
        <v>42604</v>
      </c>
      <c r="X54" s="10">
        <v>58.82</v>
      </c>
      <c r="Y54" s="10">
        <v>59.46</v>
      </c>
      <c r="Z54" s="10">
        <v>58.65</v>
      </c>
      <c r="AA54" s="10">
        <v>58.66</v>
      </c>
      <c r="AB54" s="95">
        <v>8266000</v>
      </c>
      <c r="AC54" s="10">
        <v>58.5</v>
      </c>
      <c r="AE54" s="138"/>
      <c r="AL54" s="234"/>
      <c r="AO54" s="234"/>
    </row>
    <row r="55" spans="1:41" x14ac:dyDescent="0.25">
      <c r="B55" s="193"/>
      <c r="C55" s="10"/>
      <c r="D55" s="200"/>
      <c r="E55" s="40"/>
      <c r="F55" s="40"/>
      <c r="G55" s="40"/>
      <c r="H55" s="232"/>
      <c r="I55" s="40"/>
      <c r="O55" s="83">
        <v>1</v>
      </c>
      <c r="P55" s="83">
        <f t="shared" si="31"/>
        <v>49.72</v>
      </c>
      <c r="T55" s="93" t="s">
        <v>108</v>
      </c>
      <c r="U55" s="130" t="s">
        <v>640</v>
      </c>
      <c r="W55" s="133">
        <v>42601</v>
      </c>
      <c r="X55" s="10">
        <v>57.4</v>
      </c>
      <c r="Y55" s="10">
        <v>59.14</v>
      </c>
      <c r="Z55" s="10">
        <v>57.25</v>
      </c>
      <c r="AA55" s="10">
        <v>58.9</v>
      </c>
      <c r="AB55" s="95">
        <v>15987100</v>
      </c>
      <c r="AC55" s="10">
        <v>58.74</v>
      </c>
      <c r="AE55" s="138"/>
    </row>
    <row r="56" spans="1:41" x14ac:dyDescent="0.25">
      <c r="B56" s="193"/>
      <c r="C56" s="10"/>
      <c r="D56" s="200"/>
      <c r="E56" s="40"/>
      <c r="F56" s="40"/>
      <c r="G56" s="40"/>
      <c r="H56" s="232"/>
      <c r="I56" s="40"/>
      <c r="O56" s="83">
        <v>0.99</v>
      </c>
      <c r="P56" s="83">
        <f t="shared" si="31"/>
        <v>49.222799999999999</v>
      </c>
      <c r="T56" s="93" t="s">
        <v>111</v>
      </c>
      <c r="U56" s="130">
        <v>22.44</v>
      </c>
      <c r="W56" s="133">
        <v>42600</v>
      </c>
      <c r="X56" s="10">
        <v>56.99</v>
      </c>
      <c r="Y56" s="10">
        <v>57.46</v>
      </c>
      <c r="Z56" s="10">
        <v>56.9</v>
      </c>
      <c r="AA56" s="10">
        <v>57.21</v>
      </c>
      <c r="AB56" s="95">
        <v>6043600</v>
      </c>
      <c r="AC56" s="10">
        <v>57.05</v>
      </c>
      <c r="AE56" s="138"/>
    </row>
    <row r="57" spans="1:41" x14ac:dyDescent="0.25">
      <c r="B57" s="193"/>
      <c r="C57" s="10"/>
      <c r="D57" s="200"/>
      <c r="E57" s="40"/>
      <c r="F57" s="40"/>
      <c r="G57" s="40"/>
      <c r="H57" s="232"/>
      <c r="I57" s="40"/>
      <c r="O57" s="83">
        <v>0.98</v>
      </c>
      <c r="P57" s="83">
        <f t="shared" si="31"/>
        <v>48.7256</v>
      </c>
      <c r="T57" s="93" t="s">
        <v>112</v>
      </c>
      <c r="U57" s="130">
        <v>2.2200000000000002</v>
      </c>
      <c r="W57" s="133">
        <v>42599</v>
      </c>
      <c r="X57" s="10">
        <v>56.87</v>
      </c>
      <c r="Y57" s="10">
        <v>56.97</v>
      </c>
      <c r="Z57" s="10">
        <v>56.54</v>
      </c>
      <c r="AA57" s="10">
        <v>56.86</v>
      </c>
      <c r="AB57" s="95">
        <v>7340500</v>
      </c>
      <c r="AC57" s="10">
        <v>56.7</v>
      </c>
      <c r="AE57" s="138"/>
    </row>
    <row r="58" spans="1:41" x14ac:dyDescent="0.25">
      <c r="O58" s="83">
        <v>0.97</v>
      </c>
      <c r="P58" s="83">
        <f t="shared" si="31"/>
        <v>48.228400000000001</v>
      </c>
      <c r="T58" s="93" t="s">
        <v>109</v>
      </c>
      <c r="U58" s="130" t="s">
        <v>453</v>
      </c>
      <c r="W58" s="133">
        <v>42598</v>
      </c>
      <c r="X58" s="10">
        <v>56.8</v>
      </c>
      <c r="Y58" s="10">
        <v>57.04</v>
      </c>
      <c r="Z58" s="10">
        <v>56.42</v>
      </c>
      <c r="AA58" s="10">
        <v>56.88</v>
      </c>
      <c r="AB58" s="95">
        <v>4901800</v>
      </c>
      <c r="AC58" s="10">
        <v>56.72</v>
      </c>
      <c r="AE58" s="138"/>
      <c r="AL58" s="234"/>
      <c r="AO58" s="234"/>
    </row>
    <row r="59" spans="1:41" x14ac:dyDescent="0.25">
      <c r="O59" s="83">
        <v>0.96</v>
      </c>
      <c r="P59" s="83">
        <f t="shared" si="31"/>
        <v>47.731199999999994</v>
      </c>
      <c r="W59" s="133">
        <v>42597</v>
      </c>
      <c r="X59" s="10">
        <v>56.65</v>
      </c>
      <c r="Y59" s="10">
        <v>57.06</v>
      </c>
      <c r="Z59" s="10">
        <v>56.62</v>
      </c>
      <c r="AA59" s="10">
        <v>56.77</v>
      </c>
      <c r="AB59" s="95">
        <v>4836300</v>
      </c>
      <c r="AC59" s="10">
        <v>56.61</v>
      </c>
      <c r="AE59" s="138"/>
    </row>
    <row r="60" spans="1:41" x14ac:dyDescent="0.25">
      <c r="O60" s="83">
        <v>0.95</v>
      </c>
      <c r="P60" s="83">
        <f t="shared" si="31"/>
        <v>47.233999999999995</v>
      </c>
      <c r="W60" s="133">
        <v>42594</v>
      </c>
      <c r="X60" s="10">
        <v>56.7</v>
      </c>
      <c r="Y60" s="10">
        <v>56.76</v>
      </c>
      <c r="Z60" s="10">
        <v>56.13</v>
      </c>
      <c r="AA60" s="10">
        <v>56.45</v>
      </c>
      <c r="AB60" s="95">
        <v>5393400</v>
      </c>
      <c r="AC60" s="10">
        <v>56.29</v>
      </c>
      <c r="AE60" s="138"/>
    </row>
    <row r="61" spans="1:41" x14ac:dyDescent="0.25">
      <c r="O61" s="83">
        <v>0.94</v>
      </c>
      <c r="P61" s="83">
        <f t="shared" si="31"/>
        <v>46.736799999999995</v>
      </c>
      <c r="W61" s="133">
        <v>42593</v>
      </c>
      <c r="X61" s="10">
        <v>55.63</v>
      </c>
      <c r="Y61" s="10">
        <v>56.89</v>
      </c>
      <c r="Z61" s="10">
        <v>55.48</v>
      </c>
      <c r="AA61" s="10">
        <v>56.73</v>
      </c>
      <c r="AB61" s="95">
        <v>9539500</v>
      </c>
      <c r="AC61" s="10">
        <v>56.57</v>
      </c>
      <c r="AE61" s="138"/>
    </row>
    <row r="62" spans="1:41" x14ac:dyDescent="0.25">
      <c r="O62" s="83">
        <v>0.93</v>
      </c>
      <c r="P62" s="83">
        <f t="shared" si="31"/>
        <v>46.239600000000003</v>
      </c>
      <c r="W62" s="133">
        <v>42592</v>
      </c>
      <c r="X62" s="10">
        <v>55.95</v>
      </c>
      <c r="Y62" s="10">
        <v>56.18</v>
      </c>
      <c r="Z62" s="10">
        <v>55.07</v>
      </c>
      <c r="AA62" s="10">
        <v>55.13</v>
      </c>
      <c r="AB62" s="95">
        <v>6881400</v>
      </c>
      <c r="AC62" s="10">
        <v>54.98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31"/>
        <v>45.742400000000004</v>
      </c>
      <c r="W63" s="133">
        <v>42591</v>
      </c>
      <c r="X63" s="10">
        <v>56.08</v>
      </c>
      <c r="Y63" s="10">
        <v>56.24</v>
      </c>
      <c r="Z63" s="10">
        <v>55.69</v>
      </c>
      <c r="AA63" s="10">
        <v>55.77</v>
      </c>
      <c r="AB63" s="95">
        <v>8044400</v>
      </c>
      <c r="AC63" s="10">
        <v>55.62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518" t="s">
        <v>7</v>
      </c>
      <c r="J64" s="518" t="s">
        <v>95</v>
      </c>
      <c r="K64" s="518" t="s">
        <v>61</v>
      </c>
      <c r="L64" s="32" t="s">
        <v>37</v>
      </c>
      <c r="M64" s="32" t="s">
        <v>38</v>
      </c>
      <c r="O64" s="83">
        <v>0.91</v>
      </c>
      <c r="P64" s="83">
        <f t="shared" si="31"/>
        <v>45.245199999999997</v>
      </c>
      <c r="W64" s="133">
        <v>42590</v>
      </c>
      <c r="X64" s="10">
        <v>56.13</v>
      </c>
      <c r="Y64" s="10">
        <v>56.39</v>
      </c>
      <c r="Z64" s="10">
        <v>55.68</v>
      </c>
      <c r="AA64" s="10">
        <v>55.98</v>
      </c>
      <c r="AB64" s="95">
        <v>6307000</v>
      </c>
      <c r="AC64" s="10">
        <v>55.82</v>
      </c>
      <c r="AE64" s="138"/>
    </row>
    <row r="65" spans="1:31" x14ac:dyDescent="0.25">
      <c r="A65" s="265" t="s">
        <v>202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31"/>
        <v>44.747999999999998</v>
      </c>
      <c r="W65" s="133">
        <v>42587</v>
      </c>
      <c r="X65" s="10">
        <v>55.32</v>
      </c>
      <c r="Y65" s="10">
        <v>56.06</v>
      </c>
      <c r="Z65" s="10">
        <v>55.17</v>
      </c>
      <c r="AA65" s="10">
        <v>55.85</v>
      </c>
      <c r="AB65" s="95">
        <v>7512500</v>
      </c>
      <c r="AC65" s="10">
        <v>55.69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268</v>
      </c>
      <c r="M66" s="261"/>
      <c r="W66" s="133">
        <v>42586</v>
      </c>
      <c r="X66" s="10">
        <v>54.96</v>
      </c>
      <c r="Y66" s="10">
        <v>55.57</v>
      </c>
      <c r="Z66" s="10">
        <v>54.65</v>
      </c>
      <c r="AA66" s="10">
        <v>54.79</v>
      </c>
      <c r="AB66" s="95">
        <v>8678100</v>
      </c>
      <c r="AC66" s="10">
        <v>54.64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42585</v>
      </c>
      <c r="X67" s="10">
        <v>54.55</v>
      </c>
      <c r="Y67" s="10">
        <v>55.19</v>
      </c>
      <c r="Z67" s="10">
        <v>54.28</v>
      </c>
      <c r="AA67" s="10">
        <v>54.75</v>
      </c>
      <c r="AB67" s="95">
        <v>9687300</v>
      </c>
      <c r="AC67" s="10">
        <v>54.6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42584</v>
      </c>
      <c r="X68" s="10">
        <v>55.23</v>
      </c>
      <c r="Y68" s="10">
        <v>55.28</v>
      </c>
      <c r="Z68" s="10">
        <v>54.78</v>
      </c>
      <c r="AA68" s="10">
        <v>54.92</v>
      </c>
      <c r="AB68" s="95">
        <v>7145600</v>
      </c>
      <c r="AC68" s="10">
        <v>54.77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44">SUM(M65:M80)</f>
        <v>11.2</v>
      </c>
    </row>
    <row r="82" spans="1:13" ht="15.75" thickBot="1" x14ac:dyDescent="0.3">
      <c r="A82" s="484" t="s">
        <v>201</v>
      </c>
      <c r="B82" s="485"/>
      <c r="C82" s="486">
        <f>SumByColor($A$19,C65:C80)</f>
        <v>0</v>
      </c>
      <c r="D82" s="486"/>
      <c r="E82" s="486"/>
      <c r="F82" s="487">
        <f>SumByColor($A$19,F65:F68)</f>
        <v>0</v>
      </c>
      <c r="G82" s="486"/>
      <c r="H82" s="486">
        <f>SumByColor($A$19,H65:H80)</f>
        <v>0</v>
      </c>
      <c r="I82" s="486"/>
      <c r="J82" s="486"/>
      <c r="K82" s="487">
        <f>SumByColor($A$19,K65:K80)</f>
        <v>0</v>
      </c>
      <c r="L82" s="486"/>
      <c r="M82" s="487">
        <f>SumByColor($A$19,M65:M80)</f>
        <v>0</v>
      </c>
    </row>
  </sheetData>
  <mergeCells count="1">
    <mergeCell ref="O44:P44"/>
  </mergeCells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7:F33 F35:F44">
    <cfRule type="expression" dxfId="551" priority="39">
      <formula>F27&gt;0</formula>
    </cfRule>
    <cfRule type="expression" dxfId="550" priority="40">
      <formula>F27&lt;0</formula>
    </cfRule>
  </conditionalFormatting>
  <conditionalFormatting sqref="H27:H33 H35:H44">
    <cfRule type="expression" dxfId="549" priority="35">
      <formula>H27&gt;0</formula>
    </cfRule>
    <cfRule type="expression" dxfId="548" priority="36">
      <formula>H27&lt;0</formula>
    </cfRule>
  </conditionalFormatting>
  <conditionalFormatting sqref="F23:F26">
    <cfRule type="expression" dxfId="547" priority="21">
      <formula>F23&gt;0</formula>
    </cfRule>
    <cfRule type="expression" dxfId="546" priority="22">
      <formula>F23&lt;0</formula>
    </cfRule>
  </conditionalFormatting>
  <conditionalFormatting sqref="H23:H26">
    <cfRule type="expression" dxfId="545" priority="19">
      <formula>H23&gt;0</formula>
    </cfRule>
    <cfRule type="expression" dxfId="544" priority="20">
      <formula>H23&lt;0</formula>
    </cfRule>
  </conditionalFormatting>
  <conditionalFormatting sqref="Q8">
    <cfRule type="expression" dxfId="543" priority="15">
      <formula>Q8&gt;0</formula>
    </cfRule>
    <cfRule type="expression" dxfId="542" priority="16">
      <formula>Q8&lt;0</formula>
    </cfRule>
  </conditionalFormatting>
  <conditionalFormatting sqref="Q7">
    <cfRule type="expression" dxfId="541" priority="17">
      <formula>Q7&gt;0</formula>
    </cfRule>
    <cfRule type="expression" dxfId="540" priority="18">
      <formula>Q7&lt;0</formula>
    </cfRule>
  </conditionalFormatting>
  <conditionalFormatting sqref="F34">
    <cfRule type="expression" dxfId="539" priority="13">
      <formula>F34&gt;0</formula>
    </cfRule>
    <cfRule type="expression" dxfId="538" priority="14">
      <formula>F34&lt;0</formula>
    </cfRule>
  </conditionalFormatting>
  <conditionalFormatting sqref="H34">
    <cfRule type="expression" dxfId="537" priority="11">
      <formula>H34&gt;0</formula>
    </cfRule>
    <cfRule type="expression" dxfId="536" priority="12">
      <formula>H34&lt;0</formula>
    </cfRule>
  </conditionalFormatting>
  <conditionalFormatting sqref="F46:F50">
    <cfRule type="expression" dxfId="535" priority="9">
      <formula>F46&gt;0</formula>
    </cfRule>
    <cfRule type="expression" dxfId="534" priority="10">
      <formula>F46&lt;0</formula>
    </cfRule>
  </conditionalFormatting>
  <conditionalFormatting sqref="H46:H50">
    <cfRule type="expression" dxfId="533" priority="7">
      <formula>H46&gt;0</formula>
    </cfRule>
    <cfRule type="expression" dxfId="532" priority="8">
      <formula>H46&lt;0</formula>
    </cfRule>
  </conditionalFormatting>
  <conditionalFormatting sqref="F51:F57">
    <cfRule type="expression" dxfId="531" priority="5">
      <formula>F51&gt;0</formula>
    </cfRule>
    <cfRule type="expression" dxfId="530" priority="6">
      <formula>F51&lt;0</formula>
    </cfRule>
  </conditionalFormatting>
  <conditionalFormatting sqref="H51:H57">
    <cfRule type="expression" dxfId="529" priority="3">
      <formula>H51&gt;0</formula>
    </cfRule>
    <cfRule type="expression" dxfId="528" priority="4">
      <formula>H51&lt;0</formula>
    </cfRule>
  </conditionalFormatting>
  <conditionalFormatting sqref="M63">
    <cfRule type="expression" dxfId="527" priority="1">
      <formula>M63&gt;0</formula>
    </cfRule>
    <cfRule type="expression" dxfId="526" priority="2">
      <formula>M63&lt;0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86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11.8554687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248</v>
      </c>
      <c r="B2" s="473">
        <v>42627</v>
      </c>
      <c r="C2" s="4">
        <v>50</v>
      </c>
      <c r="D2" s="3">
        <v>25.74</v>
      </c>
      <c r="E2" s="3">
        <v>0</v>
      </c>
      <c r="F2" s="3">
        <f>D2*C2+E2</f>
        <v>1287</v>
      </c>
      <c r="G2" s="473">
        <v>42670</v>
      </c>
      <c r="H2" s="82">
        <v>50</v>
      </c>
      <c r="I2" s="44">
        <v>25</v>
      </c>
      <c r="J2" s="44">
        <v>0.03</v>
      </c>
      <c r="K2" s="44">
        <f>I2*H2-J2</f>
        <v>1249.97</v>
      </c>
      <c r="L2" s="74"/>
      <c r="M2" s="4"/>
      <c r="O2" s="11" t="s">
        <v>57</v>
      </c>
      <c r="Q2">
        <f>C18-H18</f>
        <v>150</v>
      </c>
      <c r="T2" s="477" t="s">
        <v>270</v>
      </c>
      <c r="W2" s="133">
        <v>42676</v>
      </c>
      <c r="X2" s="10">
        <v>24.53</v>
      </c>
      <c r="Y2" s="10">
        <v>25.04</v>
      </c>
      <c r="Z2" s="10">
        <v>24.21</v>
      </c>
      <c r="AA2" s="10">
        <v>24.73</v>
      </c>
      <c r="AB2" s="95">
        <v>7177300</v>
      </c>
      <c r="AC2" s="10">
        <v>24.73</v>
      </c>
      <c r="AD2" s="2">
        <f>Y2-Z2</f>
        <v>0.82999999999999829</v>
      </c>
      <c r="AE2" s="138">
        <f>AC2/AC3-1</f>
        <v>1.6858552631578982E-2</v>
      </c>
    </row>
    <row r="3" spans="1:31" x14ac:dyDescent="0.25">
      <c r="A3" s="23" t="s">
        <v>71</v>
      </c>
      <c r="B3" s="473">
        <v>42639</v>
      </c>
      <c r="C3" s="7">
        <v>50</v>
      </c>
      <c r="D3" s="44">
        <v>24.48</v>
      </c>
      <c r="E3" s="44">
        <v>0</v>
      </c>
      <c r="F3" s="44">
        <f>D3*C3+E3</f>
        <v>1224</v>
      </c>
      <c r="G3" s="473">
        <v>42675</v>
      </c>
      <c r="H3" s="82">
        <v>100</v>
      </c>
      <c r="I3" s="44">
        <v>24.88</v>
      </c>
      <c r="J3" s="44">
        <v>0.05</v>
      </c>
      <c r="K3" s="44">
        <f>I3*H3-J3</f>
        <v>2487.9499999999998</v>
      </c>
      <c r="L3" s="4"/>
      <c r="M3" s="4"/>
      <c r="O3" s="11" t="s">
        <v>58</v>
      </c>
      <c r="Q3" s="230">
        <f>IF(Q2=0, Q4, (F18-K18-M18)/Q2)</f>
        <v>24.264733333333332</v>
      </c>
      <c r="T3" s="1"/>
      <c r="W3" s="133">
        <v>42675</v>
      </c>
      <c r="X3" s="10">
        <v>23.96</v>
      </c>
      <c r="Y3" s="10">
        <v>24.94</v>
      </c>
      <c r="Z3" s="10">
        <v>23.66</v>
      </c>
      <c r="AA3" s="10">
        <v>24.32</v>
      </c>
      <c r="AB3" s="95">
        <v>8046100</v>
      </c>
      <c r="AC3" s="10">
        <v>24.32</v>
      </c>
      <c r="AD3" s="2">
        <f t="shared" ref="AD3:AD66" si="0">Y3-Z3</f>
        <v>1.2800000000000011</v>
      </c>
      <c r="AE3" s="138">
        <f t="shared" ref="AE3:AE66" si="1">AC3/AC4-1</f>
        <v>3.3574160645983842E-2</v>
      </c>
    </row>
    <row r="4" spans="1:31" x14ac:dyDescent="0.25">
      <c r="B4" s="473">
        <v>42639</v>
      </c>
      <c r="C4" s="7">
        <v>50</v>
      </c>
      <c r="D4" s="44">
        <v>24.18</v>
      </c>
      <c r="E4" s="44">
        <v>0</v>
      </c>
      <c r="F4" s="44">
        <f>D4*C4+E4</f>
        <v>1209</v>
      </c>
      <c r="G4" s="4"/>
      <c r="H4" s="185"/>
      <c r="I4" s="3"/>
      <c r="J4" s="3"/>
      <c r="K4" s="3"/>
      <c r="L4" s="4"/>
      <c r="O4" s="11" t="s">
        <v>66</v>
      </c>
      <c r="Q4" s="55">
        <v>24.73</v>
      </c>
      <c r="R4" s="527">
        <v>1.6899999999999998E-2</v>
      </c>
      <c r="T4" s="163"/>
      <c r="U4" s="1"/>
      <c r="W4" s="133">
        <v>42674</v>
      </c>
      <c r="X4" s="10">
        <v>23.72</v>
      </c>
      <c r="Y4" s="10">
        <v>23.9</v>
      </c>
      <c r="Z4" s="10">
        <v>23.26</v>
      </c>
      <c r="AA4" s="10">
        <v>23.53</v>
      </c>
      <c r="AB4" s="95">
        <v>4857100</v>
      </c>
      <c r="AC4" s="10">
        <v>23.53</v>
      </c>
      <c r="AD4" s="2">
        <f t="shared" si="0"/>
        <v>0.63999999999999702</v>
      </c>
      <c r="AE4" s="138">
        <f t="shared" si="1"/>
        <v>-1.0928961748633781E-2</v>
      </c>
    </row>
    <row r="5" spans="1:31" x14ac:dyDescent="0.25">
      <c r="B5" s="525">
        <v>42670</v>
      </c>
      <c r="C5" s="7">
        <v>50</v>
      </c>
      <c r="D5" s="44">
        <v>24.48</v>
      </c>
      <c r="E5" s="44">
        <v>0</v>
      </c>
      <c r="F5" s="44">
        <f>D5*C5+E5</f>
        <v>1224</v>
      </c>
      <c r="G5" s="4"/>
      <c r="H5" s="185"/>
      <c r="I5" s="3"/>
      <c r="J5" s="3"/>
      <c r="K5" s="3"/>
      <c r="L5" s="4"/>
      <c r="O5" s="11" t="s">
        <v>67</v>
      </c>
      <c r="Q5" s="3">
        <f>Q4*Q2</f>
        <v>3709.5</v>
      </c>
      <c r="W5" s="133">
        <v>42671</v>
      </c>
      <c r="X5" s="10">
        <v>23.99</v>
      </c>
      <c r="Y5" s="10">
        <v>24.29</v>
      </c>
      <c r="Z5" s="10">
        <v>23.53</v>
      </c>
      <c r="AA5" s="10">
        <v>23.79</v>
      </c>
      <c r="AB5" s="95">
        <v>3762700</v>
      </c>
      <c r="AC5" s="10">
        <v>23.79</v>
      </c>
      <c r="AD5" s="2">
        <f t="shared" si="0"/>
        <v>0.75999999999999801</v>
      </c>
      <c r="AE5" s="138">
        <f t="shared" si="1"/>
        <v>-5.8503969912244713E-3</v>
      </c>
    </row>
    <row r="6" spans="1:31" x14ac:dyDescent="0.25">
      <c r="B6" s="525">
        <v>42675</v>
      </c>
      <c r="C6" s="4">
        <v>100</v>
      </c>
      <c r="D6" s="3">
        <v>24.34</v>
      </c>
      <c r="E6" s="3">
        <v>-0.37</v>
      </c>
      <c r="F6" s="3">
        <f>D6*C6+E6</f>
        <v>2433.63</v>
      </c>
      <c r="G6" s="4"/>
      <c r="H6" s="185"/>
      <c r="I6" s="3"/>
      <c r="J6" s="3"/>
      <c r="K6" s="3"/>
      <c r="L6" s="4"/>
      <c r="O6" s="11" t="s">
        <v>64</v>
      </c>
      <c r="Q6" s="2">
        <f>Q3*Q2</f>
        <v>3639.71</v>
      </c>
      <c r="W6" s="133">
        <v>42670</v>
      </c>
      <c r="X6" s="10">
        <v>25</v>
      </c>
      <c r="Y6" s="10">
        <v>25.07</v>
      </c>
      <c r="Z6" s="10">
        <v>23.83</v>
      </c>
      <c r="AA6" s="10">
        <v>23.93</v>
      </c>
      <c r="AB6" s="95">
        <v>5462100</v>
      </c>
      <c r="AC6" s="10">
        <v>23.93</v>
      </c>
      <c r="AD6" s="2">
        <f t="shared" si="0"/>
        <v>1.240000000000002</v>
      </c>
      <c r="AE6" s="138">
        <f t="shared" si="1"/>
        <v>-3.5858178887993586E-2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357.73</v>
      </c>
      <c r="R7" s="30">
        <v>42702</v>
      </c>
      <c r="W7" s="133">
        <v>42669</v>
      </c>
      <c r="X7" s="10">
        <v>24.51</v>
      </c>
      <c r="Y7" s="10">
        <v>24.97</v>
      </c>
      <c r="Z7" s="10">
        <v>24.36</v>
      </c>
      <c r="AA7" s="10">
        <v>24.82</v>
      </c>
      <c r="AB7" s="95">
        <v>3447800</v>
      </c>
      <c r="AC7" s="10">
        <v>24.82</v>
      </c>
      <c r="AD7" s="2">
        <f t="shared" si="0"/>
        <v>0.60999999999999943</v>
      </c>
      <c r="AE7" s="138">
        <f t="shared" si="1"/>
        <v>8.9430894308941689E-3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69.789999999999964</v>
      </c>
      <c r="W8" s="133">
        <v>42668</v>
      </c>
      <c r="X8" s="10">
        <v>24.58</v>
      </c>
      <c r="Y8" s="10">
        <v>24.83</v>
      </c>
      <c r="Z8" s="10">
        <v>24.35</v>
      </c>
      <c r="AA8" s="10">
        <v>24.6</v>
      </c>
      <c r="AB8" s="95">
        <v>3515100</v>
      </c>
      <c r="AC8" s="10">
        <v>24.6</v>
      </c>
      <c r="AD8" s="2">
        <f t="shared" si="0"/>
        <v>0.47999999999999687</v>
      </c>
      <c r="AE8" s="138">
        <f t="shared" si="1"/>
        <v>3.6719706242349659E-3</v>
      </c>
    </row>
    <row r="9" spans="1:31" x14ac:dyDescent="0.25">
      <c r="H9" s="72"/>
      <c r="O9" s="11" t="s">
        <v>219</v>
      </c>
      <c r="Q9" s="138">
        <f>IF(Q2=0, 0, Q8/Q6)</f>
        <v>1.9174604570144315E-2</v>
      </c>
      <c r="W9" s="133">
        <v>42667</v>
      </c>
      <c r="X9" s="10">
        <v>24.4</v>
      </c>
      <c r="Y9" s="10">
        <v>24.54</v>
      </c>
      <c r="Z9" s="10">
        <v>24.17</v>
      </c>
      <c r="AA9" s="10">
        <v>24.51</v>
      </c>
      <c r="AB9" s="95">
        <v>3094200</v>
      </c>
      <c r="AC9" s="10">
        <v>24.51</v>
      </c>
      <c r="AD9" s="2">
        <f t="shared" si="0"/>
        <v>0.36999999999999744</v>
      </c>
      <c r="AE9" s="138">
        <f t="shared" si="1"/>
        <v>8.2270670505966148E-3</v>
      </c>
    </row>
    <row r="10" spans="1:31" x14ac:dyDescent="0.25">
      <c r="H10" s="72"/>
      <c r="O10" s="11" t="s">
        <v>218</v>
      </c>
      <c r="P10" s="34"/>
      <c r="Q10" s="2">
        <f>M67</f>
        <v>287.94000000000005</v>
      </c>
      <c r="W10" s="133">
        <v>42664</v>
      </c>
      <c r="X10" s="10">
        <v>24.52</v>
      </c>
      <c r="Y10" s="10">
        <v>24.76</v>
      </c>
      <c r="Z10" s="10">
        <v>24.15</v>
      </c>
      <c r="AA10" s="10">
        <v>24.31</v>
      </c>
      <c r="AB10" s="95">
        <v>4099700</v>
      </c>
      <c r="AC10" s="10">
        <v>24.31</v>
      </c>
      <c r="AD10" s="2">
        <f t="shared" si="0"/>
        <v>0.61000000000000298</v>
      </c>
      <c r="AE10" s="138">
        <f t="shared" si="1"/>
        <v>-1.539084649655742E-2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2.9000000000000001E-2</v>
      </c>
      <c r="W11" s="133">
        <v>42663</v>
      </c>
      <c r="X11" s="10">
        <v>23.7</v>
      </c>
      <c r="Y11" s="10">
        <v>24.85</v>
      </c>
      <c r="Z11" s="10">
        <v>23.59</v>
      </c>
      <c r="AA11" s="10">
        <v>24.69</v>
      </c>
      <c r="AB11" s="95">
        <v>8721000</v>
      </c>
      <c r="AC11" s="10">
        <v>24.69</v>
      </c>
      <c r="AD11" s="2">
        <f t="shared" si="0"/>
        <v>1.2600000000000016</v>
      </c>
      <c r="AE11" s="138">
        <f t="shared" si="1"/>
        <v>3.5654362416107421E-2</v>
      </c>
    </row>
    <row r="12" spans="1:31" x14ac:dyDescent="0.25">
      <c r="H12" s="72"/>
      <c r="W12" s="133">
        <v>42662</v>
      </c>
      <c r="X12" s="10">
        <v>23.28</v>
      </c>
      <c r="Y12" s="10">
        <v>23.94</v>
      </c>
      <c r="Z12" s="10">
        <v>23.22</v>
      </c>
      <c r="AA12" s="10">
        <v>23.84</v>
      </c>
      <c r="AB12" s="95">
        <v>5508900</v>
      </c>
      <c r="AC12" s="10">
        <v>23.84</v>
      </c>
      <c r="AD12" s="2">
        <f t="shared" si="0"/>
        <v>0.72000000000000242</v>
      </c>
      <c r="AE12" s="138">
        <f t="shared" si="1"/>
        <v>1.9238991021804264E-2</v>
      </c>
    </row>
    <row r="13" spans="1:31" x14ac:dyDescent="0.25">
      <c r="H13" s="72"/>
      <c r="W13" s="133">
        <v>42661</v>
      </c>
      <c r="X13" s="10">
        <v>23.11</v>
      </c>
      <c r="Y13" s="10">
        <v>23.54</v>
      </c>
      <c r="Z13" s="10">
        <v>22.83</v>
      </c>
      <c r="AA13" s="10">
        <v>23.39</v>
      </c>
      <c r="AB13" s="95">
        <v>4209000</v>
      </c>
      <c r="AC13" s="10">
        <v>23.39</v>
      </c>
      <c r="AD13" s="2">
        <f t="shared" si="0"/>
        <v>0.71000000000000085</v>
      </c>
      <c r="AE13" s="138">
        <f t="shared" si="1"/>
        <v>2.4529128339903838E-2</v>
      </c>
    </row>
    <row r="14" spans="1:31" x14ac:dyDescent="0.25">
      <c r="H14" s="72"/>
      <c r="W14" s="133">
        <v>42660</v>
      </c>
      <c r="X14" s="10">
        <v>23.16</v>
      </c>
      <c r="Y14" s="10">
        <v>23.28</v>
      </c>
      <c r="Z14" s="10">
        <v>22.8</v>
      </c>
      <c r="AA14" s="10">
        <v>22.83</v>
      </c>
      <c r="AB14" s="95">
        <v>4035500</v>
      </c>
      <c r="AC14" s="10">
        <v>22.83</v>
      </c>
      <c r="AD14" s="2">
        <f t="shared" si="0"/>
        <v>0.48000000000000043</v>
      </c>
      <c r="AE14" s="138">
        <f t="shared" si="1"/>
        <v>-1.3822894168466493E-2</v>
      </c>
    </row>
    <row r="15" spans="1:31" x14ac:dyDescent="0.25">
      <c r="H15" s="72"/>
      <c r="W15" s="133">
        <v>42657</v>
      </c>
      <c r="X15" s="10">
        <v>23.4</v>
      </c>
      <c r="Y15" s="10">
        <v>23.73</v>
      </c>
      <c r="Z15" s="10">
        <v>23.14</v>
      </c>
      <c r="AA15" s="10">
        <v>23.15</v>
      </c>
      <c r="AB15" s="95">
        <v>4146800</v>
      </c>
      <c r="AC15" s="10">
        <v>23.15</v>
      </c>
      <c r="AD15" s="2">
        <f t="shared" si="0"/>
        <v>0.58999999999999986</v>
      </c>
      <c r="AE15" s="138">
        <f t="shared" si="1"/>
        <v>-3.8726333907056487E-3</v>
      </c>
    </row>
    <row r="16" spans="1:31" x14ac:dyDescent="0.25">
      <c r="H16" s="72"/>
      <c r="W16" s="133">
        <v>42656</v>
      </c>
      <c r="X16" s="10">
        <v>23.52</v>
      </c>
      <c r="Y16" s="10">
        <v>23.52</v>
      </c>
      <c r="Z16" s="10">
        <v>22.77</v>
      </c>
      <c r="AA16" s="10">
        <v>23.24</v>
      </c>
      <c r="AB16" s="95">
        <v>6158200</v>
      </c>
      <c r="AC16" s="10">
        <v>23.24</v>
      </c>
      <c r="AD16" s="2">
        <f t="shared" si="0"/>
        <v>0.75</v>
      </c>
      <c r="AE16" s="138">
        <f t="shared" si="1"/>
        <v>-2.3118957545187113E-2</v>
      </c>
    </row>
    <row r="17" spans="1:31" x14ac:dyDescent="0.25">
      <c r="W17" s="133">
        <v>42655</v>
      </c>
      <c r="X17" s="10">
        <v>24.8</v>
      </c>
      <c r="Y17" s="10">
        <v>24.87</v>
      </c>
      <c r="Z17" s="10">
        <v>23.75</v>
      </c>
      <c r="AA17" s="10">
        <v>23.79</v>
      </c>
      <c r="AB17" s="95">
        <v>6488600</v>
      </c>
      <c r="AC17" s="10">
        <v>23.79</v>
      </c>
      <c r="AD17" s="2">
        <f t="shared" si="0"/>
        <v>1.120000000000001</v>
      </c>
      <c r="AE17" s="138">
        <f t="shared" si="1"/>
        <v>-4.304102976669355E-2</v>
      </c>
    </row>
    <row r="18" spans="1:31" x14ac:dyDescent="0.25">
      <c r="A18" s="32" t="s">
        <v>81</v>
      </c>
      <c r="B18" s="14"/>
      <c r="C18" s="14">
        <f>SUM(C2:C6)</f>
        <v>300</v>
      </c>
      <c r="D18" s="18"/>
      <c r="E18" s="18"/>
      <c r="F18" s="18">
        <f>SUM(F2:F6)</f>
        <v>7377.63</v>
      </c>
      <c r="G18" s="14"/>
      <c r="H18" s="14">
        <f>SUM(H2:H5)</f>
        <v>150</v>
      </c>
      <c r="I18" s="18"/>
      <c r="J18" s="18"/>
      <c r="K18" s="18">
        <f>SUM(K2:K5)</f>
        <v>3737.92</v>
      </c>
      <c r="L18" s="14"/>
      <c r="M18" s="18">
        <f>SUM(M2:M10)</f>
        <v>0</v>
      </c>
      <c r="W18" s="133">
        <v>42654</v>
      </c>
      <c r="X18" s="10">
        <v>24.83</v>
      </c>
      <c r="Y18" s="10">
        <v>25</v>
      </c>
      <c r="Z18" s="10">
        <v>24.43</v>
      </c>
      <c r="AA18" s="10">
        <v>24.86</v>
      </c>
      <c r="AB18" s="95">
        <v>4607700</v>
      </c>
      <c r="AC18" s="10">
        <v>24.86</v>
      </c>
      <c r="AD18" s="2">
        <f t="shared" si="0"/>
        <v>0.57000000000000028</v>
      </c>
      <c r="AE18" s="138">
        <f t="shared" si="1"/>
        <v>1.208215867901874E-3</v>
      </c>
    </row>
    <row r="19" spans="1:31" ht="15.75" thickBot="1" x14ac:dyDescent="0.3">
      <c r="A19" s="359" t="s">
        <v>201</v>
      </c>
      <c r="B19" s="360"/>
      <c r="C19" s="361">
        <f>SumByColor($A$19,C2:C17)</f>
        <v>250</v>
      </c>
      <c r="D19" s="361"/>
      <c r="E19" s="361"/>
      <c r="F19" s="362">
        <f>SumByColor($A$19,F2:F17)</f>
        <v>3657</v>
      </c>
      <c r="G19" s="361"/>
      <c r="H19" s="361">
        <f>SumByColor($A$19,H2:H17)</f>
        <v>50</v>
      </c>
      <c r="I19" s="361"/>
      <c r="J19" s="361"/>
      <c r="K19" s="362">
        <f>SumByColor($A$19,K2:K17)</f>
        <v>3738</v>
      </c>
      <c r="L19" s="361"/>
      <c r="M19" s="362">
        <f t="shared" ref="M19" si="2">SumByColor($A$19,M2:M17)</f>
        <v>0</v>
      </c>
      <c r="W19" s="133">
        <v>42653</v>
      </c>
      <c r="X19" s="10">
        <v>24.81</v>
      </c>
      <c r="Y19" s="10">
        <v>25.05</v>
      </c>
      <c r="Z19" s="10">
        <v>24.67</v>
      </c>
      <c r="AA19" s="10">
        <v>24.83</v>
      </c>
      <c r="AB19" s="95">
        <v>2875400</v>
      </c>
      <c r="AC19" s="10">
        <v>24.83</v>
      </c>
      <c r="AD19" s="2">
        <f t="shared" si="0"/>
        <v>0.37999999999999901</v>
      </c>
      <c r="AE19" s="138">
        <f t="shared" si="1"/>
        <v>1.0170870626525552E-2</v>
      </c>
    </row>
    <row r="20" spans="1:31" x14ac:dyDescent="0.25">
      <c r="W20" s="133">
        <v>42650</v>
      </c>
      <c r="X20" s="10">
        <v>24.9</v>
      </c>
      <c r="Y20" s="10">
        <v>24.91</v>
      </c>
      <c r="Z20" s="10">
        <v>24.43</v>
      </c>
      <c r="AA20" s="10">
        <v>24.58</v>
      </c>
      <c r="AB20" s="95">
        <v>3920000</v>
      </c>
      <c r="AC20" s="10">
        <v>24.58</v>
      </c>
      <c r="AD20" s="2">
        <f t="shared" si="0"/>
        <v>0.48000000000000043</v>
      </c>
      <c r="AE20" s="138">
        <f t="shared" si="1"/>
        <v>-1.0865191146881448E-2</v>
      </c>
    </row>
    <row r="21" spans="1:31" x14ac:dyDescent="0.25">
      <c r="W21" s="133">
        <v>42649</v>
      </c>
      <c r="X21" s="10">
        <v>25.05</v>
      </c>
      <c r="Y21" s="10">
        <v>25.2</v>
      </c>
      <c r="Z21" s="10">
        <v>24.59</v>
      </c>
      <c r="AA21" s="10">
        <v>24.85</v>
      </c>
      <c r="AB21" s="95">
        <v>3759800</v>
      </c>
      <c r="AC21" s="10">
        <v>24.85</v>
      </c>
      <c r="AD21" s="2">
        <f t="shared" si="0"/>
        <v>0.60999999999999943</v>
      </c>
      <c r="AE21" s="138">
        <f t="shared" si="1"/>
        <v>-8.775428799361773E-3</v>
      </c>
    </row>
    <row r="22" spans="1:31" x14ac:dyDescent="0.25">
      <c r="W22" s="133">
        <v>42648</v>
      </c>
      <c r="X22" s="10">
        <v>24.79</v>
      </c>
      <c r="Y22" s="10">
        <v>25.49</v>
      </c>
      <c r="Z22" s="10">
        <v>24.61</v>
      </c>
      <c r="AA22" s="10">
        <v>25.07</v>
      </c>
      <c r="AB22" s="95">
        <v>4812400</v>
      </c>
      <c r="AC22" s="10">
        <v>25.07</v>
      </c>
      <c r="AD22" s="2">
        <f t="shared" si="0"/>
        <v>0.87999999999999901</v>
      </c>
      <c r="AE22" s="138">
        <f t="shared" si="1"/>
        <v>1.745129870129869E-2</v>
      </c>
    </row>
    <row r="23" spans="1:31" x14ac:dyDescent="0.25">
      <c r="W23" s="133">
        <v>42647</v>
      </c>
      <c r="X23" s="10">
        <v>24.86</v>
      </c>
      <c r="Y23" s="10">
        <v>24.95</v>
      </c>
      <c r="Z23" s="10">
        <v>24.59</v>
      </c>
      <c r="AA23" s="10">
        <v>24.64</v>
      </c>
      <c r="AB23" s="95">
        <v>4267000</v>
      </c>
      <c r="AC23" s="10">
        <v>24.64</v>
      </c>
      <c r="AD23" s="2">
        <f t="shared" si="0"/>
        <v>0.35999999999999943</v>
      </c>
      <c r="AE23" s="138">
        <f t="shared" si="1"/>
        <v>-1.0044194455604671E-2</v>
      </c>
    </row>
    <row r="24" spans="1:31" x14ac:dyDescent="0.25">
      <c r="B24" s="551" t="s">
        <v>114</v>
      </c>
      <c r="C24" s="551" t="s">
        <v>149</v>
      </c>
      <c r="D24" s="552" t="s">
        <v>148</v>
      </c>
      <c r="E24" s="553" t="s">
        <v>150</v>
      </c>
      <c r="F24" s="553" t="s">
        <v>65</v>
      </c>
      <c r="G24" s="555" t="s">
        <v>154</v>
      </c>
      <c r="H24" s="555" t="s">
        <v>88</v>
      </c>
      <c r="I24" s="555" t="s">
        <v>158</v>
      </c>
      <c r="W24" s="133">
        <v>42646</v>
      </c>
      <c r="X24" s="10">
        <v>24.5</v>
      </c>
      <c r="Y24" s="10">
        <v>24.94</v>
      </c>
      <c r="Z24" s="10">
        <v>24.26</v>
      </c>
      <c r="AA24" s="10">
        <v>24.89</v>
      </c>
      <c r="AB24" s="95">
        <v>5816800</v>
      </c>
      <c r="AC24" s="10">
        <v>24.89</v>
      </c>
      <c r="AD24" s="2">
        <f t="shared" si="0"/>
        <v>0.67999999999999972</v>
      </c>
      <c r="AE24" s="138">
        <f t="shared" si="1"/>
        <v>1.7579721995093944E-2</v>
      </c>
    </row>
    <row r="25" spans="1:31" x14ac:dyDescent="0.25">
      <c r="B25" s="383">
        <v>42548</v>
      </c>
      <c r="C25" s="384">
        <v>100</v>
      </c>
      <c r="D25" s="385">
        <v>25</v>
      </c>
      <c r="E25" s="385">
        <v>24.69</v>
      </c>
      <c r="F25" s="385">
        <f t="shared" ref="F25:F30" si="3">C25*(E25-D25)</f>
        <v>-30.999999999999872</v>
      </c>
      <c r="G25" s="385">
        <f t="shared" ref="G25:G30" si="4">D25*C25</f>
        <v>2500</v>
      </c>
      <c r="H25" s="386">
        <f t="shared" ref="H25:H30" si="5">(E25-D25)/D25</f>
        <v>-1.2399999999999949E-2</v>
      </c>
      <c r="I25" s="385"/>
      <c r="W25" s="133">
        <v>42643</v>
      </c>
      <c r="X25" s="10">
        <v>24.4</v>
      </c>
      <c r="Y25" s="10">
        <v>24.64</v>
      </c>
      <c r="Z25" s="10">
        <v>24.15</v>
      </c>
      <c r="AA25" s="10">
        <v>24.46</v>
      </c>
      <c r="AB25" s="95">
        <v>5645900</v>
      </c>
      <c r="AC25" s="10">
        <v>24.46</v>
      </c>
      <c r="AD25" s="2">
        <f t="shared" si="0"/>
        <v>0.49000000000000199</v>
      </c>
      <c r="AE25" s="138">
        <f t="shared" si="1"/>
        <v>8.6597938144330477E-3</v>
      </c>
    </row>
    <row r="26" spans="1:31" x14ac:dyDescent="0.25">
      <c r="B26" s="383">
        <v>42549</v>
      </c>
      <c r="C26" s="384">
        <v>100</v>
      </c>
      <c r="D26" s="385">
        <v>25</v>
      </c>
      <c r="E26" s="385">
        <v>25.26</v>
      </c>
      <c r="F26" s="385">
        <f t="shared" si="3"/>
        <v>26.000000000000156</v>
      </c>
      <c r="G26" s="385">
        <f t="shared" si="4"/>
        <v>2500</v>
      </c>
      <c r="H26" s="386">
        <f t="shared" si="5"/>
        <v>1.0400000000000062E-2</v>
      </c>
      <c r="I26" s="385"/>
      <c r="W26" s="133">
        <v>42642</v>
      </c>
      <c r="X26" s="10">
        <v>24.5</v>
      </c>
      <c r="Y26" s="10">
        <v>24.79</v>
      </c>
      <c r="Z26" s="10">
        <v>24.17</v>
      </c>
      <c r="AA26" s="10">
        <v>24.25</v>
      </c>
      <c r="AB26" s="95">
        <v>4453900</v>
      </c>
      <c r="AC26" s="10">
        <v>24.25</v>
      </c>
      <c r="AD26" s="2">
        <f t="shared" si="0"/>
        <v>0.61999999999999744</v>
      </c>
      <c r="AE26" s="138">
        <f t="shared" si="1"/>
        <v>-8.5854456255111122E-3</v>
      </c>
    </row>
    <row r="27" spans="1:31" x14ac:dyDescent="0.25">
      <c r="B27" s="383">
        <v>42552</v>
      </c>
      <c r="C27" s="384">
        <v>100</v>
      </c>
      <c r="D27" s="385">
        <v>25</v>
      </c>
      <c r="E27" s="385">
        <v>26.57</v>
      </c>
      <c r="F27" s="385">
        <f t="shared" si="3"/>
        <v>157.00000000000003</v>
      </c>
      <c r="G27" s="385">
        <f t="shared" si="4"/>
        <v>2500</v>
      </c>
      <c r="H27" s="386">
        <f t="shared" si="5"/>
        <v>6.2800000000000009E-2</v>
      </c>
      <c r="I27" s="385"/>
      <c r="W27" s="133">
        <v>42641</v>
      </c>
      <c r="X27" s="10">
        <v>24.07</v>
      </c>
      <c r="Y27" s="10">
        <v>24.48</v>
      </c>
      <c r="Z27" s="10">
        <v>23.92</v>
      </c>
      <c r="AA27" s="10">
        <v>24.46</v>
      </c>
      <c r="AB27" s="95">
        <v>5132900</v>
      </c>
      <c r="AC27" s="10">
        <v>24.46</v>
      </c>
      <c r="AD27" s="2">
        <f t="shared" si="0"/>
        <v>0.55999999999999872</v>
      </c>
      <c r="AE27" s="138">
        <f t="shared" si="1"/>
        <v>1.9591496456857094E-2</v>
      </c>
    </row>
    <row r="28" spans="1:31" x14ac:dyDescent="0.25">
      <c r="B28" s="383">
        <v>42556</v>
      </c>
      <c r="C28" s="384">
        <v>100</v>
      </c>
      <c r="D28" s="385">
        <v>25</v>
      </c>
      <c r="E28" s="385">
        <v>25.47</v>
      </c>
      <c r="F28" s="385">
        <f t="shared" si="3"/>
        <v>46.999999999999886</v>
      </c>
      <c r="G28" s="385">
        <f t="shared" si="4"/>
        <v>2500</v>
      </c>
      <c r="H28" s="386">
        <f t="shared" si="5"/>
        <v>1.8799999999999956E-2</v>
      </c>
      <c r="I28" s="385"/>
      <c r="W28" s="133">
        <v>42640</v>
      </c>
      <c r="X28" s="10">
        <v>24.06</v>
      </c>
      <c r="Y28" s="10">
        <v>24.12</v>
      </c>
      <c r="Z28" s="10">
        <v>23.73</v>
      </c>
      <c r="AA28" s="10">
        <v>23.99</v>
      </c>
      <c r="AB28" s="95">
        <v>6960400</v>
      </c>
      <c r="AC28" s="10">
        <v>23.99</v>
      </c>
      <c r="AD28" s="2">
        <f t="shared" si="0"/>
        <v>0.39000000000000057</v>
      </c>
      <c r="AE28" s="138">
        <f t="shared" si="1"/>
        <v>-6.2137531068766627E-3</v>
      </c>
    </row>
    <row r="29" spans="1:31" x14ac:dyDescent="0.25">
      <c r="B29" s="383">
        <v>42562</v>
      </c>
      <c r="C29" s="384">
        <v>100</v>
      </c>
      <c r="D29" s="385">
        <v>25</v>
      </c>
      <c r="E29" s="385">
        <v>25.69</v>
      </c>
      <c r="F29" s="385">
        <f t="shared" si="3"/>
        <v>69.000000000000128</v>
      </c>
      <c r="G29" s="385">
        <f t="shared" si="4"/>
        <v>2500</v>
      </c>
      <c r="H29" s="386">
        <f t="shared" si="5"/>
        <v>2.7600000000000052E-2</v>
      </c>
      <c r="I29" s="385"/>
      <c r="W29" s="133">
        <v>42639</v>
      </c>
      <c r="X29" s="10">
        <v>24.75</v>
      </c>
      <c r="Y29" s="10">
        <v>24.87</v>
      </c>
      <c r="Z29" s="10">
        <v>24.12</v>
      </c>
      <c r="AA29" s="10">
        <v>24.14</v>
      </c>
      <c r="AB29" s="95">
        <v>6537300</v>
      </c>
      <c r="AC29" s="10">
        <v>24.14</v>
      </c>
      <c r="AD29" s="2">
        <f t="shared" si="0"/>
        <v>0.75</v>
      </c>
      <c r="AE29" s="138">
        <f t="shared" si="1"/>
        <v>-2.7397260273972601E-2</v>
      </c>
    </row>
    <row r="30" spans="1:31" x14ac:dyDescent="0.25">
      <c r="B30" s="383">
        <v>42563</v>
      </c>
      <c r="C30" s="384">
        <v>100</v>
      </c>
      <c r="D30" s="385">
        <v>25</v>
      </c>
      <c r="E30" s="385">
        <v>26.48</v>
      </c>
      <c r="F30" s="385">
        <f t="shared" si="3"/>
        <v>148.00000000000006</v>
      </c>
      <c r="G30" s="385">
        <f t="shared" si="4"/>
        <v>2500</v>
      </c>
      <c r="H30" s="386">
        <f t="shared" si="5"/>
        <v>5.9200000000000016E-2</v>
      </c>
      <c r="I30" s="385"/>
      <c r="W30" s="133">
        <v>42636</v>
      </c>
      <c r="X30" s="10">
        <v>25.42</v>
      </c>
      <c r="Y30" s="10">
        <v>25.53</v>
      </c>
      <c r="Z30" s="10">
        <v>24.8</v>
      </c>
      <c r="AA30" s="10">
        <v>24.82</v>
      </c>
      <c r="AB30" s="95">
        <v>5474200</v>
      </c>
      <c r="AC30" s="10">
        <v>24.82</v>
      </c>
      <c r="AD30" s="2">
        <f t="shared" si="0"/>
        <v>0.73000000000000043</v>
      </c>
      <c r="AE30" s="138">
        <f t="shared" si="1"/>
        <v>-2.8571428571428581E-2</v>
      </c>
    </row>
    <row r="31" spans="1:31" x14ac:dyDescent="0.25">
      <c r="B31" s="383">
        <v>42569</v>
      </c>
      <c r="C31" s="384">
        <v>100</v>
      </c>
      <c r="D31" s="385">
        <v>25</v>
      </c>
      <c r="E31" s="385">
        <v>29.28</v>
      </c>
      <c r="F31" s="385">
        <f t="shared" ref="F31" si="6">C31*(E31-D31)</f>
        <v>428.00000000000011</v>
      </c>
      <c r="G31" s="385">
        <f t="shared" ref="G31" si="7">D31*C31</f>
        <v>2500</v>
      </c>
      <c r="H31" s="386">
        <f t="shared" ref="H31" si="8">(E31-D31)/D31</f>
        <v>0.17120000000000005</v>
      </c>
      <c r="I31" s="385"/>
      <c r="W31" s="133">
        <v>42635</v>
      </c>
      <c r="X31" s="10">
        <v>25.46</v>
      </c>
      <c r="Y31" s="10">
        <v>25.95</v>
      </c>
      <c r="Z31" s="10">
        <v>25.38</v>
      </c>
      <c r="AA31" s="10">
        <v>25.55</v>
      </c>
      <c r="AB31" s="95">
        <v>5199000</v>
      </c>
      <c r="AC31" s="10">
        <v>25.55</v>
      </c>
      <c r="AD31" s="2">
        <f t="shared" si="0"/>
        <v>0.57000000000000028</v>
      </c>
      <c r="AE31" s="138">
        <f t="shared" si="1"/>
        <v>9.0837282780411588E-3</v>
      </c>
    </row>
    <row r="32" spans="1:31" x14ac:dyDescent="0.25">
      <c r="B32" s="383">
        <v>42570</v>
      </c>
      <c r="C32" s="384">
        <v>100</v>
      </c>
      <c r="D32" s="385">
        <v>25</v>
      </c>
      <c r="E32" s="385">
        <v>28.68</v>
      </c>
      <c r="F32" s="385">
        <f t="shared" ref="F32" si="9">C32*(E32-D32)</f>
        <v>368</v>
      </c>
      <c r="G32" s="385">
        <f t="shared" ref="G32" si="10">D32*C32</f>
        <v>2500</v>
      </c>
      <c r="H32" s="386">
        <f t="shared" ref="H32" si="11">(E32-D32)/D32</f>
        <v>0.1472</v>
      </c>
      <c r="I32" s="385"/>
      <c r="W32" s="133">
        <v>42634</v>
      </c>
      <c r="X32" s="10">
        <v>25.3</v>
      </c>
      <c r="Y32" s="10">
        <v>25.66</v>
      </c>
      <c r="Z32" s="10">
        <v>25.02</v>
      </c>
      <c r="AA32" s="10">
        <v>25.32</v>
      </c>
      <c r="AB32" s="95">
        <v>4077400</v>
      </c>
      <c r="AC32" s="10">
        <v>25.32</v>
      </c>
      <c r="AD32" s="2">
        <f t="shared" si="0"/>
        <v>0.64000000000000057</v>
      </c>
      <c r="AE32" s="138">
        <f t="shared" si="1"/>
        <v>9.1669988043046047E-3</v>
      </c>
    </row>
    <row r="33" spans="2:31" x14ac:dyDescent="0.25">
      <c r="B33" s="383">
        <v>42571</v>
      </c>
      <c r="C33" s="384">
        <v>100</v>
      </c>
      <c r="D33" s="385">
        <v>25</v>
      </c>
      <c r="E33" s="385">
        <v>29.01</v>
      </c>
      <c r="F33" s="385">
        <f t="shared" ref="F33" si="12">C33*(E33-D33)</f>
        <v>401.00000000000017</v>
      </c>
      <c r="G33" s="385">
        <f t="shared" ref="G33" si="13">D33*C33</f>
        <v>2500</v>
      </c>
      <c r="H33" s="386">
        <f t="shared" ref="H33" si="14">(E33-D33)/D33</f>
        <v>0.16040000000000007</v>
      </c>
      <c r="I33" s="385"/>
      <c r="W33" s="133">
        <v>42633</v>
      </c>
      <c r="X33" s="10">
        <v>25.42</v>
      </c>
      <c r="Y33" s="10">
        <v>25.54</v>
      </c>
      <c r="Z33" s="10">
        <v>25</v>
      </c>
      <c r="AA33" s="10">
        <v>25.09</v>
      </c>
      <c r="AB33" s="95">
        <v>4040800</v>
      </c>
      <c r="AC33" s="10">
        <v>25.09</v>
      </c>
      <c r="AD33" s="2">
        <f t="shared" si="0"/>
        <v>0.53999999999999915</v>
      </c>
      <c r="AE33" s="138">
        <f t="shared" si="1"/>
        <v>-7.5158227848102221E-3</v>
      </c>
    </row>
    <row r="34" spans="2:31" x14ac:dyDescent="0.25">
      <c r="B34" s="383">
        <v>42572</v>
      </c>
      <c r="C34" s="384">
        <v>100</v>
      </c>
      <c r="D34" s="385">
        <v>25</v>
      </c>
      <c r="E34" s="385">
        <v>28.89</v>
      </c>
      <c r="F34" s="385">
        <f t="shared" ref="F34" si="15">C34*(E34-D34)</f>
        <v>389.00000000000006</v>
      </c>
      <c r="G34" s="385">
        <f t="shared" ref="G34" si="16">D34*C34</f>
        <v>2500</v>
      </c>
      <c r="H34" s="386">
        <f t="shared" ref="H34" si="17">(E34-D34)/D34</f>
        <v>0.15560000000000002</v>
      </c>
      <c r="I34" s="385"/>
      <c r="W34" s="133">
        <v>42632</v>
      </c>
      <c r="X34" s="10">
        <v>25.56</v>
      </c>
      <c r="Y34" s="10">
        <v>25.71</v>
      </c>
      <c r="Z34" s="10">
        <v>25.28</v>
      </c>
      <c r="AA34" s="10">
        <v>25.28</v>
      </c>
      <c r="AB34" s="95">
        <v>3599900</v>
      </c>
      <c r="AC34" s="10">
        <v>25.28</v>
      </c>
      <c r="AD34" s="2">
        <f t="shared" si="0"/>
        <v>0.42999999999999972</v>
      </c>
      <c r="AE34" s="138">
        <f t="shared" si="1"/>
        <v>-1.0180109631949819E-2</v>
      </c>
    </row>
    <row r="35" spans="2:31" x14ac:dyDescent="0.25">
      <c r="B35" s="383">
        <v>42576</v>
      </c>
      <c r="C35" s="384">
        <v>100</v>
      </c>
      <c r="D35" s="385">
        <v>25</v>
      </c>
      <c r="E35" s="385">
        <v>28.63</v>
      </c>
      <c r="F35" s="385">
        <f t="shared" ref="F35" si="18">C35*(E35-D35)</f>
        <v>362.99999999999989</v>
      </c>
      <c r="G35" s="385">
        <f t="shared" ref="G35" si="19">D35*C35</f>
        <v>2500</v>
      </c>
      <c r="H35" s="386">
        <f t="shared" ref="H35" si="20">(E35-D35)/D35</f>
        <v>0.14519999999999997</v>
      </c>
      <c r="I35" s="385"/>
      <c r="W35" s="133">
        <v>42629</v>
      </c>
      <c r="X35" s="10">
        <v>25.75</v>
      </c>
      <c r="Y35" s="10">
        <v>25.98</v>
      </c>
      <c r="Z35" s="10">
        <v>25.44</v>
      </c>
      <c r="AA35" s="10">
        <v>25.54</v>
      </c>
      <c r="AB35" s="95">
        <v>4650600</v>
      </c>
      <c r="AC35" s="10">
        <v>25.54</v>
      </c>
      <c r="AD35" s="2">
        <f t="shared" si="0"/>
        <v>0.53999999999999915</v>
      </c>
      <c r="AE35" s="138">
        <f t="shared" si="1"/>
        <v>-1.579961464354529E-2</v>
      </c>
    </row>
    <row r="36" spans="2:31" x14ac:dyDescent="0.25">
      <c r="B36" s="383">
        <v>42577</v>
      </c>
      <c r="C36" s="384">
        <v>100</v>
      </c>
      <c r="D36" s="385">
        <v>25</v>
      </c>
      <c r="E36" s="385">
        <v>29.34</v>
      </c>
      <c r="F36" s="385">
        <f t="shared" ref="F36" si="21">C36*(E36-D36)</f>
        <v>434</v>
      </c>
      <c r="G36" s="385">
        <f t="shared" ref="G36" si="22">D36*C36</f>
        <v>2500</v>
      </c>
      <c r="H36" s="386">
        <f t="shared" ref="H36" si="23">(E36-D36)/D36</f>
        <v>0.1736</v>
      </c>
      <c r="I36" s="385"/>
      <c r="W36" s="133">
        <v>42628</v>
      </c>
      <c r="X36" s="10">
        <v>25.72</v>
      </c>
      <c r="Y36" s="10">
        <v>26.21</v>
      </c>
      <c r="Z36" s="10">
        <v>25.71</v>
      </c>
      <c r="AA36" s="10">
        <v>25.95</v>
      </c>
      <c r="AB36" s="95">
        <v>4456800</v>
      </c>
      <c r="AC36" s="10">
        <v>25.95</v>
      </c>
      <c r="AD36" s="2">
        <f t="shared" si="0"/>
        <v>0.5</v>
      </c>
      <c r="AE36" s="138">
        <f t="shared" si="1"/>
        <v>4.6457607433216808E-3</v>
      </c>
    </row>
    <row r="37" spans="2:31" x14ac:dyDescent="0.25">
      <c r="B37" s="383">
        <v>42580</v>
      </c>
      <c r="C37" s="384">
        <v>100</v>
      </c>
      <c r="D37" s="385">
        <v>25</v>
      </c>
      <c r="E37" s="385">
        <v>27</v>
      </c>
      <c r="F37" s="385">
        <f t="shared" ref="F37" si="24">C37*(E37-D37)</f>
        <v>200</v>
      </c>
      <c r="G37" s="385">
        <f t="shared" ref="G37" si="25">D37*C37</f>
        <v>2500</v>
      </c>
      <c r="H37" s="386">
        <f t="shared" ref="H37" si="26">(E37-D37)/D37</f>
        <v>0.08</v>
      </c>
      <c r="I37" s="385"/>
      <c r="W37" s="133">
        <v>42627</v>
      </c>
      <c r="X37" s="10">
        <v>26.59</v>
      </c>
      <c r="Y37" s="10">
        <v>26.68</v>
      </c>
      <c r="Z37" s="10">
        <v>25.7</v>
      </c>
      <c r="AA37" s="10">
        <v>25.83</v>
      </c>
      <c r="AB37" s="95">
        <v>3943700</v>
      </c>
      <c r="AC37" s="10">
        <v>25.83</v>
      </c>
      <c r="AD37" s="2">
        <f t="shared" si="0"/>
        <v>0.98000000000000043</v>
      </c>
      <c r="AE37" s="138">
        <f t="shared" si="1"/>
        <v>-2.491506228765572E-2</v>
      </c>
    </row>
    <row r="38" spans="2:31" x14ac:dyDescent="0.25">
      <c r="B38" s="383">
        <v>42584</v>
      </c>
      <c r="C38" s="384">
        <v>0</v>
      </c>
      <c r="D38" s="385"/>
      <c r="E38" s="385"/>
      <c r="F38" s="385">
        <v>287.94</v>
      </c>
      <c r="G38" s="385"/>
      <c r="H38" s="386"/>
      <c r="I38" s="385"/>
      <c r="W38" s="133">
        <v>42626</v>
      </c>
      <c r="X38" s="10">
        <v>26.8</v>
      </c>
      <c r="Y38" s="10">
        <v>26.92</v>
      </c>
      <c r="Z38" s="10">
        <v>26.09</v>
      </c>
      <c r="AA38" s="10">
        <v>26.49</v>
      </c>
      <c r="AB38" s="95">
        <v>4866600</v>
      </c>
      <c r="AC38" s="10">
        <v>26.49</v>
      </c>
      <c r="AD38" s="2">
        <f t="shared" si="0"/>
        <v>0.83000000000000185</v>
      </c>
      <c r="AE38" s="138">
        <f t="shared" si="1"/>
        <v>-2.7889908256880758E-2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42625</v>
      </c>
      <c r="X39" s="10">
        <v>27.09</v>
      </c>
      <c r="Y39" s="10">
        <v>27.58</v>
      </c>
      <c r="Z39" s="10">
        <v>26.75</v>
      </c>
      <c r="AA39" s="10">
        <v>27.25</v>
      </c>
      <c r="AB39" s="95">
        <v>5763900</v>
      </c>
      <c r="AC39" s="10">
        <v>27.25</v>
      </c>
      <c r="AD39" s="2">
        <f t="shared" si="0"/>
        <v>0.82999999999999829</v>
      </c>
      <c r="AE39" s="138">
        <f t="shared" si="1"/>
        <v>8.8855979266937446E-3</v>
      </c>
    </row>
    <row r="40" spans="2:31" ht="20.25" thickBot="1" x14ac:dyDescent="0.35">
      <c r="B40" s="191" t="s">
        <v>114</v>
      </c>
      <c r="C40" s="191" t="s">
        <v>149</v>
      </c>
      <c r="D40" s="192" t="s">
        <v>148</v>
      </c>
      <c r="E40" s="194" t="s">
        <v>150</v>
      </c>
      <c r="F40" s="194" t="s">
        <v>65</v>
      </c>
      <c r="G40" s="229" t="s">
        <v>154</v>
      </c>
      <c r="H40" s="229" t="s">
        <v>88</v>
      </c>
      <c r="I40" s="229" t="s">
        <v>158</v>
      </c>
      <c r="O40" s="588" t="s">
        <v>78</v>
      </c>
      <c r="P40" s="588"/>
      <c r="W40" s="133">
        <v>42622</v>
      </c>
      <c r="X40" s="10">
        <v>28.06</v>
      </c>
      <c r="Y40" s="10">
        <v>28.13</v>
      </c>
      <c r="Z40" s="10">
        <v>26.97</v>
      </c>
      <c r="AA40" s="10">
        <v>27.01</v>
      </c>
      <c r="AB40" s="95">
        <v>4595300</v>
      </c>
      <c r="AC40" s="10">
        <v>27.01</v>
      </c>
      <c r="AD40" s="2">
        <f t="shared" si="0"/>
        <v>1.1600000000000001</v>
      </c>
      <c r="AE40" s="138">
        <f t="shared" si="1"/>
        <v>-4.3893805309734413E-2</v>
      </c>
    </row>
    <row r="41" spans="2:31" ht="15.75" thickTop="1" x14ac:dyDescent="0.25">
      <c r="B41" s="193">
        <v>42627</v>
      </c>
      <c r="C41" s="10">
        <v>50</v>
      </c>
      <c r="D41" s="40">
        <v>25.74</v>
      </c>
      <c r="E41" s="40">
        <v>25.83</v>
      </c>
      <c r="F41" s="40">
        <f t="shared" ref="F41" si="27">C41*(E41-D41)</f>
        <v>4.4999999999999929</v>
      </c>
      <c r="G41" s="40">
        <f t="shared" ref="G41" si="28">D41*C41</f>
        <v>1287</v>
      </c>
      <c r="H41" s="231">
        <f t="shared" ref="H41" si="29">(E41-D41)/D41</f>
        <v>3.4965034965034913E-3</v>
      </c>
      <c r="I41" s="40"/>
      <c r="O41" s="83">
        <v>1.1000000000000001</v>
      </c>
      <c r="P41" s="83">
        <f>O41*$Q$4</f>
        <v>27.203000000000003</v>
      </c>
      <c r="Q41" s="2"/>
      <c r="W41" s="133">
        <v>42621</v>
      </c>
      <c r="X41" s="10">
        <v>28.63</v>
      </c>
      <c r="Y41" s="10">
        <v>28.95</v>
      </c>
      <c r="Z41" s="10">
        <v>28.1</v>
      </c>
      <c r="AA41" s="10">
        <v>28.25</v>
      </c>
      <c r="AB41" s="95">
        <v>3951800</v>
      </c>
      <c r="AC41" s="10">
        <v>28.25</v>
      </c>
      <c r="AD41" s="2">
        <f t="shared" si="0"/>
        <v>0.84999999999999787</v>
      </c>
      <c r="AE41" s="138">
        <f t="shared" si="1"/>
        <v>-1.1200560028001405E-2</v>
      </c>
    </row>
    <row r="42" spans="2:31" ht="20.25" thickBot="1" x14ac:dyDescent="0.35">
      <c r="B42" s="193">
        <v>42629</v>
      </c>
      <c r="C42" s="10">
        <v>50</v>
      </c>
      <c r="D42" s="40">
        <v>25.74</v>
      </c>
      <c r="E42" s="40">
        <v>25.54</v>
      </c>
      <c r="F42" s="40">
        <f t="shared" ref="F42:F47" si="30">C42*(E42-D42)</f>
        <v>-9.9999999999999645</v>
      </c>
      <c r="G42" s="40">
        <f t="shared" ref="G42:G47" si="31">D42*C42</f>
        <v>1287</v>
      </c>
      <c r="H42" s="231">
        <f t="shared" ref="H42:H47" si="32">(E42-D42)/D42</f>
        <v>-7.7700077700077431E-3</v>
      </c>
      <c r="I42" s="40"/>
      <c r="O42" s="83">
        <v>1.0900000000000001</v>
      </c>
      <c r="P42" s="83">
        <f t="shared" ref="P42:P61" si="33">O42*$Q$4</f>
        <v>26.955700000000004</v>
      </c>
      <c r="Q42" s="2"/>
      <c r="T42" s="91" t="s">
        <v>113</v>
      </c>
      <c r="W42" s="133">
        <v>42620</v>
      </c>
      <c r="X42" s="10">
        <v>28.52</v>
      </c>
      <c r="Y42" s="10">
        <v>29.16</v>
      </c>
      <c r="Z42" s="10">
        <v>28.18</v>
      </c>
      <c r="AA42" s="10">
        <v>28.57</v>
      </c>
      <c r="AB42" s="95">
        <v>4789500</v>
      </c>
      <c r="AC42" s="10">
        <v>28.57</v>
      </c>
      <c r="AD42" s="2">
        <f t="shared" si="0"/>
        <v>0.98000000000000043</v>
      </c>
      <c r="AE42" s="138">
        <f t="shared" si="1"/>
        <v>-2.7923211169283979E-3</v>
      </c>
    </row>
    <row r="43" spans="2:31" ht="15.75" thickTop="1" x14ac:dyDescent="0.25">
      <c r="B43" s="193">
        <v>42636</v>
      </c>
      <c r="C43" s="10">
        <v>50</v>
      </c>
      <c r="D43" s="40">
        <v>25.74</v>
      </c>
      <c r="E43" s="40">
        <v>24.82</v>
      </c>
      <c r="F43" s="40">
        <f t="shared" si="30"/>
        <v>-45.999999999999908</v>
      </c>
      <c r="G43" s="40">
        <f t="shared" si="31"/>
        <v>1287</v>
      </c>
      <c r="H43" s="231">
        <f t="shared" si="32"/>
        <v>-3.5742035742035674E-2</v>
      </c>
      <c r="I43" s="40"/>
      <c r="O43" s="83">
        <v>1.08</v>
      </c>
      <c r="P43" s="83">
        <f t="shared" si="33"/>
        <v>26.708400000000001</v>
      </c>
      <c r="Q43" s="2"/>
      <c r="T43" s="128" t="s">
        <v>98</v>
      </c>
      <c r="U43" s="129">
        <v>24.32</v>
      </c>
      <c r="W43" s="133">
        <v>42619</v>
      </c>
      <c r="X43" s="10">
        <v>29.28</v>
      </c>
      <c r="Y43" s="10">
        <v>29.51</v>
      </c>
      <c r="Z43" s="10">
        <v>28.62</v>
      </c>
      <c r="AA43" s="10">
        <v>28.65</v>
      </c>
      <c r="AB43" s="95">
        <v>3807500</v>
      </c>
      <c r="AC43" s="10">
        <v>28.65</v>
      </c>
      <c r="AD43" s="2">
        <f t="shared" si="0"/>
        <v>0.89000000000000057</v>
      </c>
      <c r="AE43" s="138" t="e">
        <f t="shared" si="1"/>
        <v>#DIV/0!</v>
      </c>
    </row>
    <row r="44" spans="2:31" x14ac:dyDescent="0.25">
      <c r="B44" s="193">
        <v>42639</v>
      </c>
      <c r="C44" s="10">
        <v>100</v>
      </c>
      <c r="D44" s="40">
        <v>24.96</v>
      </c>
      <c r="E44" s="40">
        <v>24.14</v>
      </c>
      <c r="F44" s="40">
        <f t="shared" si="30"/>
        <v>-82.000000000000028</v>
      </c>
      <c r="G44" s="40">
        <f t="shared" si="31"/>
        <v>2496</v>
      </c>
      <c r="H44" s="231">
        <f t="shared" si="32"/>
        <v>-3.2852564102564111E-2</v>
      </c>
      <c r="I44" s="40"/>
      <c r="O44" s="83">
        <v>1.07</v>
      </c>
      <c r="P44" s="83">
        <f t="shared" si="33"/>
        <v>26.461100000000002</v>
      </c>
      <c r="Q44" s="2"/>
      <c r="T44" s="93" t="s">
        <v>99</v>
      </c>
      <c r="U44" s="130">
        <v>24.53</v>
      </c>
      <c r="W44" s="133">
        <v>42619</v>
      </c>
      <c r="X44" s="10" t="s">
        <v>325</v>
      </c>
      <c r="Y44" s="10"/>
      <c r="Z44" s="10"/>
      <c r="AA44" s="10"/>
      <c r="AB44" s="95"/>
      <c r="AC44" s="10"/>
      <c r="AD44" s="2">
        <f t="shared" si="0"/>
        <v>0</v>
      </c>
      <c r="AE44" s="138">
        <f t="shared" si="1"/>
        <v>-1</v>
      </c>
    </row>
    <row r="45" spans="2:31" x14ac:dyDescent="0.25">
      <c r="B45" s="193">
        <v>42639</v>
      </c>
      <c r="C45" s="7">
        <v>150</v>
      </c>
      <c r="D45" s="44">
        <v>24.8</v>
      </c>
      <c r="E45" s="40">
        <v>24.14</v>
      </c>
      <c r="F45" s="40">
        <f t="shared" si="30"/>
        <v>-99.000000000000028</v>
      </c>
      <c r="G45" s="40">
        <f t="shared" si="31"/>
        <v>3720</v>
      </c>
      <c r="H45" s="231">
        <f t="shared" si="32"/>
        <v>-2.6612903225806457E-2</v>
      </c>
      <c r="I45" s="40"/>
      <c r="O45" s="83">
        <v>1.06</v>
      </c>
      <c r="P45" s="83">
        <f t="shared" si="33"/>
        <v>26.213800000000003</v>
      </c>
      <c r="Q45" s="2"/>
      <c r="T45" s="93" t="s">
        <v>100</v>
      </c>
      <c r="U45" s="130" t="s">
        <v>641</v>
      </c>
      <c r="W45" s="133">
        <v>42615</v>
      </c>
      <c r="X45" s="10">
        <v>29.48</v>
      </c>
      <c r="Y45" s="10">
        <v>29.85</v>
      </c>
      <c r="Z45" s="10">
        <v>28.9</v>
      </c>
      <c r="AA45" s="10">
        <v>29.49</v>
      </c>
      <c r="AB45" s="95">
        <v>3842600</v>
      </c>
      <c r="AC45" s="10">
        <v>29.21</v>
      </c>
      <c r="AD45" s="2">
        <f t="shared" si="0"/>
        <v>0.95000000000000284</v>
      </c>
      <c r="AE45" s="138">
        <f t="shared" si="1"/>
        <v>1.072664359861597E-2</v>
      </c>
    </row>
    <row r="46" spans="2:31" x14ac:dyDescent="0.25">
      <c r="B46" s="193">
        <v>42640</v>
      </c>
      <c r="C46" s="10">
        <v>150</v>
      </c>
      <c r="D46" s="40">
        <v>24.8</v>
      </c>
      <c r="E46" s="40">
        <v>23.99</v>
      </c>
      <c r="F46" s="40">
        <f t="shared" si="30"/>
        <v>-121.50000000000034</v>
      </c>
      <c r="G46" s="40">
        <f t="shared" si="31"/>
        <v>3720</v>
      </c>
      <c r="H46" s="231">
        <f t="shared" si="32"/>
        <v>-3.2661290322580736E-2</v>
      </c>
      <c r="I46" s="40"/>
      <c r="O46" s="83">
        <v>1.05</v>
      </c>
      <c r="P46" s="83">
        <f t="shared" si="33"/>
        <v>25.9665</v>
      </c>
      <c r="Q46" s="2"/>
      <c r="T46" s="93" t="s">
        <v>101</v>
      </c>
      <c r="U46" s="130" t="s">
        <v>642</v>
      </c>
      <c r="W46" s="133">
        <v>42614</v>
      </c>
      <c r="X46" s="10">
        <v>30</v>
      </c>
      <c r="Y46" s="10">
        <v>30.03</v>
      </c>
      <c r="Z46" s="10">
        <v>29.04</v>
      </c>
      <c r="AA46" s="10">
        <v>29.17</v>
      </c>
      <c r="AB46" s="95">
        <v>6231100</v>
      </c>
      <c r="AC46" s="10">
        <v>28.9</v>
      </c>
      <c r="AD46" s="2">
        <f t="shared" si="0"/>
        <v>0.99000000000000199</v>
      </c>
      <c r="AE46" s="138">
        <f t="shared" si="1"/>
        <v>-2.9875797247398528E-2</v>
      </c>
    </row>
    <row r="47" spans="2:31" x14ac:dyDescent="0.25">
      <c r="B47" s="193">
        <v>42643</v>
      </c>
      <c r="C47" s="10">
        <v>150</v>
      </c>
      <c r="D47" s="40">
        <v>24.8</v>
      </c>
      <c r="E47" s="40">
        <v>24.46</v>
      </c>
      <c r="F47" s="40">
        <f t="shared" si="30"/>
        <v>-50.999999999999979</v>
      </c>
      <c r="G47" s="40">
        <f t="shared" si="31"/>
        <v>3720</v>
      </c>
      <c r="H47" s="231">
        <f t="shared" si="32"/>
        <v>-1.3709677419354832E-2</v>
      </c>
      <c r="I47" s="40"/>
      <c r="O47" s="83">
        <v>1.04</v>
      </c>
      <c r="P47" s="83">
        <f t="shared" si="33"/>
        <v>25.719200000000001</v>
      </c>
      <c r="Q47" s="2"/>
      <c r="T47" s="93" t="s">
        <v>102</v>
      </c>
      <c r="U47" s="130">
        <v>26.09</v>
      </c>
      <c r="W47" s="133">
        <v>42613</v>
      </c>
      <c r="X47" s="10">
        <v>30.3</v>
      </c>
      <c r="Y47" s="10">
        <v>30.39</v>
      </c>
      <c r="Z47" s="10">
        <v>29.55</v>
      </c>
      <c r="AA47" s="10">
        <v>30.07</v>
      </c>
      <c r="AB47" s="95">
        <v>8702700</v>
      </c>
      <c r="AC47" s="10">
        <v>29.79</v>
      </c>
      <c r="AD47" s="2">
        <f t="shared" si="0"/>
        <v>0.83999999999999986</v>
      </c>
      <c r="AE47" s="138">
        <f t="shared" si="1"/>
        <v>-1.2595293337752778E-2</v>
      </c>
    </row>
    <row r="48" spans="2:31" x14ac:dyDescent="0.25">
      <c r="B48" s="193">
        <v>42646</v>
      </c>
      <c r="C48" s="10">
        <v>150</v>
      </c>
      <c r="D48" s="40">
        <v>24.8</v>
      </c>
      <c r="E48" s="40">
        <v>24.89</v>
      </c>
      <c r="F48" s="40">
        <f t="shared" ref="F48" si="34">C48*(E48-D48)</f>
        <v>13.499999999999979</v>
      </c>
      <c r="G48" s="40">
        <f t="shared" ref="G48" si="35">D48*C48</f>
        <v>3720</v>
      </c>
      <c r="H48" s="231">
        <f t="shared" ref="H48" si="36">(E48-D48)/D48</f>
        <v>3.6290322580645102E-3</v>
      </c>
      <c r="I48" s="40"/>
      <c r="O48" s="83">
        <v>1.03</v>
      </c>
      <c r="P48" s="83">
        <f t="shared" si="33"/>
        <v>25.471900000000002</v>
      </c>
      <c r="Q48" s="2"/>
      <c r="T48" s="93" t="s">
        <v>103</v>
      </c>
      <c r="U48" s="130">
        <v>-0.76828700000000005</v>
      </c>
      <c r="W48" s="133">
        <v>42612</v>
      </c>
      <c r="X48" s="10">
        <v>27.95</v>
      </c>
      <c r="Y48" s="10">
        <v>30.96</v>
      </c>
      <c r="Z48" s="10">
        <v>27.69</v>
      </c>
      <c r="AA48" s="10">
        <v>30.45</v>
      </c>
      <c r="AB48" s="95">
        <v>21094800</v>
      </c>
      <c r="AC48" s="10">
        <v>30.17</v>
      </c>
      <c r="AD48" s="2">
        <f t="shared" si="0"/>
        <v>3.2699999999999996</v>
      </c>
      <c r="AE48" s="138">
        <f t="shared" si="1"/>
        <v>8.9563019140483924E-2</v>
      </c>
    </row>
    <row r="49" spans="2:31" x14ac:dyDescent="0.25">
      <c r="B49" s="193">
        <v>42648</v>
      </c>
      <c r="C49" s="10">
        <v>150</v>
      </c>
      <c r="D49" s="40">
        <v>24.8</v>
      </c>
      <c r="E49" s="40">
        <v>25.07</v>
      </c>
      <c r="F49" s="40">
        <f t="shared" ref="F49" si="37">C49*(E49-D49)</f>
        <v>40.499999999999936</v>
      </c>
      <c r="G49" s="40">
        <f t="shared" ref="G49" si="38">D49*C49</f>
        <v>3720</v>
      </c>
      <c r="H49" s="231">
        <f t="shared" ref="H49" si="39">(E49-D49)/D49</f>
        <v>1.0887096774193531E-2</v>
      </c>
      <c r="I49" s="40"/>
      <c r="O49" s="83">
        <v>1.02</v>
      </c>
      <c r="P49" s="83">
        <f t="shared" si="33"/>
        <v>25.224600000000002</v>
      </c>
      <c r="Q49" s="2"/>
      <c r="T49" s="93" t="s">
        <v>104</v>
      </c>
      <c r="U49" s="130" t="s">
        <v>129</v>
      </c>
      <c r="W49" s="133">
        <v>42611</v>
      </c>
      <c r="X49" s="10">
        <v>27.67</v>
      </c>
      <c r="Y49" s="10">
        <v>28.16</v>
      </c>
      <c r="Z49" s="10">
        <v>27.67</v>
      </c>
      <c r="AA49" s="10">
        <v>27.95</v>
      </c>
      <c r="AB49" s="95">
        <v>3132000</v>
      </c>
      <c r="AC49" s="10">
        <v>27.69</v>
      </c>
      <c r="AD49" s="2">
        <f t="shared" si="0"/>
        <v>0.48999999999999844</v>
      </c>
      <c r="AE49" s="138">
        <f t="shared" si="1"/>
        <v>1.2801755669348935E-2</v>
      </c>
    </row>
    <row r="50" spans="2:31" x14ac:dyDescent="0.25">
      <c r="B50" s="193">
        <v>42649</v>
      </c>
      <c r="C50" s="10">
        <v>150</v>
      </c>
      <c r="D50" s="40">
        <v>24.8</v>
      </c>
      <c r="E50" s="40">
        <v>24.85</v>
      </c>
      <c r="F50" s="40">
        <f t="shared" ref="F50" si="40">C50*(E50-D50)</f>
        <v>7.5000000000001066</v>
      </c>
      <c r="G50" s="40">
        <f t="shared" ref="G50" si="41">D50*C50</f>
        <v>3720</v>
      </c>
      <c r="H50" s="231">
        <f t="shared" ref="H50" si="42">(E50-D50)/D50</f>
        <v>2.0161290322580931E-3</v>
      </c>
      <c r="I50" s="40"/>
      <c r="O50" s="83">
        <v>1.01</v>
      </c>
      <c r="P50" s="83">
        <f t="shared" si="33"/>
        <v>24.9773</v>
      </c>
      <c r="Q50" s="2"/>
      <c r="T50" s="93"/>
      <c r="U50" s="130"/>
      <c r="W50" s="133">
        <v>42608</v>
      </c>
      <c r="X50" s="10">
        <v>28.67</v>
      </c>
      <c r="Y50" s="10">
        <v>28.9</v>
      </c>
      <c r="Z50" s="10">
        <v>27.47</v>
      </c>
      <c r="AA50" s="10">
        <v>27.6</v>
      </c>
      <c r="AB50" s="95">
        <v>5416500</v>
      </c>
      <c r="AC50" s="10">
        <v>27.34</v>
      </c>
      <c r="AD50" s="2">
        <f t="shared" si="0"/>
        <v>1.4299999999999997</v>
      </c>
      <c r="AE50" s="138">
        <f t="shared" si="1"/>
        <v>-3.1526744597945466E-2</v>
      </c>
    </row>
    <row r="51" spans="2:31" x14ac:dyDescent="0.25">
      <c r="B51" s="193">
        <v>42650</v>
      </c>
      <c r="C51" s="10">
        <v>150</v>
      </c>
      <c r="D51" s="40">
        <v>24.8</v>
      </c>
      <c r="E51" s="40">
        <v>24.58</v>
      </c>
      <c r="F51" s="40">
        <f t="shared" ref="F51" si="43">C51*(E51-D51)</f>
        <v>-33.000000000000362</v>
      </c>
      <c r="G51" s="40">
        <f t="shared" ref="G51" si="44">D51*C51</f>
        <v>3720</v>
      </c>
      <c r="H51" s="231">
        <f t="shared" ref="H51" si="45">(E51-D51)/D51</f>
        <v>-8.8709677419355811E-3</v>
      </c>
      <c r="I51" s="40"/>
      <c r="O51" s="83">
        <v>1</v>
      </c>
      <c r="P51" s="83">
        <f t="shared" si="33"/>
        <v>24.73</v>
      </c>
      <c r="Q51" s="2"/>
      <c r="T51" s="93" t="s">
        <v>105</v>
      </c>
      <c r="U51" s="130" t="s">
        <v>643</v>
      </c>
      <c r="W51" s="133">
        <v>42607</v>
      </c>
      <c r="X51" s="10">
        <v>28.5</v>
      </c>
      <c r="Y51" s="10">
        <v>28.8</v>
      </c>
      <c r="Z51" s="10">
        <v>28.33</v>
      </c>
      <c r="AA51" s="10">
        <v>28.5</v>
      </c>
      <c r="AB51" s="95">
        <v>2979000</v>
      </c>
      <c r="AC51" s="10">
        <v>28.23</v>
      </c>
      <c r="AD51" s="2">
        <f t="shared" si="0"/>
        <v>0.47000000000000242</v>
      </c>
      <c r="AE51" s="138">
        <f t="shared" si="1"/>
        <v>2.1299254526090383E-3</v>
      </c>
    </row>
    <row r="52" spans="2:31" x14ac:dyDescent="0.25">
      <c r="B52" s="193">
        <v>42661</v>
      </c>
      <c r="C52" s="10">
        <v>150</v>
      </c>
      <c r="D52" s="40">
        <v>24.8</v>
      </c>
      <c r="E52" s="40">
        <v>23.39</v>
      </c>
      <c r="F52" s="40">
        <f t="shared" ref="F52" si="46">C52*(E52-D52)</f>
        <v>-211.50000000000003</v>
      </c>
      <c r="G52" s="40">
        <f t="shared" ref="G52" si="47">D52*C52</f>
        <v>3720</v>
      </c>
      <c r="H52" s="231">
        <f t="shared" ref="H52" si="48">(E52-D52)/D52</f>
        <v>-5.6854838709677426E-2</v>
      </c>
      <c r="I52" s="40"/>
      <c r="O52" s="83">
        <v>0.99</v>
      </c>
      <c r="P52" s="83">
        <f t="shared" si="33"/>
        <v>24.482700000000001</v>
      </c>
      <c r="Q52" s="2"/>
      <c r="T52" s="93" t="s">
        <v>106</v>
      </c>
      <c r="U52" s="130" t="s">
        <v>644</v>
      </c>
      <c r="W52" s="133">
        <v>42606</v>
      </c>
      <c r="X52" s="10">
        <v>29.22</v>
      </c>
      <c r="Y52" s="10">
        <v>29.38</v>
      </c>
      <c r="Z52" s="10">
        <v>28.39</v>
      </c>
      <c r="AA52" s="10">
        <v>28.44</v>
      </c>
      <c r="AB52" s="95">
        <v>4235600</v>
      </c>
      <c r="AC52" s="10">
        <v>28.17</v>
      </c>
      <c r="AD52" s="2">
        <f t="shared" si="0"/>
        <v>0.98999999999999844</v>
      </c>
      <c r="AE52" s="138">
        <f t="shared" si="1"/>
        <v>-2.8620689655172393E-2</v>
      </c>
    </row>
    <row r="53" spans="2:31" x14ac:dyDescent="0.25">
      <c r="B53" s="193">
        <v>42662</v>
      </c>
      <c r="C53" s="10">
        <v>150</v>
      </c>
      <c r="D53" s="40">
        <v>24.8</v>
      </c>
      <c r="E53" s="40">
        <v>23.84</v>
      </c>
      <c r="F53" s="40">
        <f t="shared" ref="F53" si="49">C53*(E53-D53)</f>
        <v>-144.00000000000011</v>
      </c>
      <c r="G53" s="40">
        <f t="shared" ref="G53" si="50">D53*C53</f>
        <v>3720</v>
      </c>
      <c r="H53" s="231">
        <f t="shared" ref="H53" si="51">(E53-D53)/D53</f>
        <v>-3.8709677419354875E-2</v>
      </c>
      <c r="I53" s="40"/>
      <c r="O53" s="83">
        <v>0.98</v>
      </c>
      <c r="P53" s="83">
        <f t="shared" si="33"/>
        <v>24.235399999999998</v>
      </c>
      <c r="Q53" s="2"/>
      <c r="T53" s="93" t="s">
        <v>107</v>
      </c>
      <c r="U53" s="131">
        <v>7180471</v>
      </c>
      <c r="W53" s="133">
        <v>42605</v>
      </c>
      <c r="X53" s="10">
        <v>28.72</v>
      </c>
      <c r="Y53" s="10">
        <v>29.47</v>
      </c>
      <c r="Z53" s="10">
        <v>28.64</v>
      </c>
      <c r="AA53" s="10">
        <v>29.27</v>
      </c>
      <c r="AB53" s="95">
        <v>5265900</v>
      </c>
      <c r="AC53" s="10">
        <v>29</v>
      </c>
      <c r="AD53" s="2">
        <f t="shared" si="0"/>
        <v>0.82999999999999829</v>
      </c>
      <c r="AE53" s="138">
        <f t="shared" si="1"/>
        <v>3.0927835051546504E-2</v>
      </c>
    </row>
    <row r="54" spans="2:31" x14ac:dyDescent="0.25">
      <c r="B54" s="193">
        <v>42664</v>
      </c>
      <c r="C54" s="10">
        <v>150</v>
      </c>
      <c r="D54" s="40">
        <v>24.8</v>
      </c>
      <c r="E54" s="40">
        <v>24.31</v>
      </c>
      <c r="F54" s="40">
        <f t="shared" ref="F54:F55" si="52">C54*(E54-D54)</f>
        <v>-73.500000000000298</v>
      </c>
      <c r="G54" s="40">
        <f t="shared" ref="G54:G55" si="53">D54*C54</f>
        <v>3720</v>
      </c>
      <c r="H54" s="231">
        <f t="shared" ref="H54:H55" si="54">(E54-D54)/D54</f>
        <v>-1.975806451612911E-2</v>
      </c>
      <c r="I54" s="40"/>
      <c r="O54" s="83">
        <v>0.97</v>
      </c>
      <c r="P54" s="83">
        <f t="shared" si="33"/>
        <v>23.988099999999999</v>
      </c>
      <c r="T54" s="93" t="s">
        <v>110</v>
      </c>
      <c r="U54" s="131">
        <v>5144220</v>
      </c>
      <c r="W54" s="133">
        <v>42604</v>
      </c>
      <c r="X54" s="10">
        <v>27.87</v>
      </c>
      <c r="Y54" s="10">
        <v>28.43</v>
      </c>
      <c r="Z54" s="10">
        <v>27.72</v>
      </c>
      <c r="AA54" s="10">
        <v>28.39</v>
      </c>
      <c r="AB54" s="95">
        <v>3536500</v>
      </c>
      <c r="AC54" s="10">
        <v>28.13</v>
      </c>
      <c r="AD54" s="2">
        <f t="shared" si="0"/>
        <v>0.71000000000000085</v>
      </c>
      <c r="AE54" s="138">
        <f t="shared" si="1"/>
        <v>1.1506652283351348E-2</v>
      </c>
    </row>
    <row r="55" spans="2:31" x14ac:dyDescent="0.25">
      <c r="B55" s="193">
        <v>42670</v>
      </c>
      <c r="C55" s="10">
        <v>150</v>
      </c>
      <c r="D55" s="40">
        <v>24.626899999999999</v>
      </c>
      <c r="E55" s="40">
        <v>23.93</v>
      </c>
      <c r="F55" s="40">
        <f t="shared" si="52"/>
        <v>-104.53499999999991</v>
      </c>
      <c r="G55" s="40">
        <f t="shared" si="53"/>
        <v>3694.0349999999999</v>
      </c>
      <c r="H55" s="231">
        <f t="shared" si="54"/>
        <v>-2.8298324190214743E-2</v>
      </c>
      <c r="I55" s="40"/>
      <c r="O55" s="83">
        <v>0.96</v>
      </c>
      <c r="P55" s="83">
        <f t="shared" si="33"/>
        <v>23.7408</v>
      </c>
      <c r="T55" s="93" t="s">
        <v>108</v>
      </c>
      <c r="U55" s="130" t="s">
        <v>645</v>
      </c>
      <c r="W55" s="133">
        <v>42601</v>
      </c>
      <c r="X55" s="10">
        <v>27.65</v>
      </c>
      <c r="Y55" s="10">
        <v>28.15</v>
      </c>
      <c r="Z55" s="10">
        <v>27.44</v>
      </c>
      <c r="AA55" s="10">
        <v>28.07</v>
      </c>
      <c r="AB55" s="95">
        <v>3010000</v>
      </c>
      <c r="AC55" s="10">
        <v>27.81</v>
      </c>
      <c r="AD55" s="2">
        <f t="shared" si="0"/>
        <v>0.7099999999999973</v>
      </c>
      <c r="AE55" s="138">
        <f t="shared" si="1"/>
        <v>3.9711191335740637E-3</v>
      </c>
    </row>
    <row r="56" spans="2:31" x14ac:dyDescent="0.25">
      <c r="B56" s="193">
        <v>42674</v>
      </c>
      <c r="C56" s="10">
        <v>150</v>
      </c>
      <c r="D56" s="40">
        <v>24.626899999999999</v>
      </c>
      <c r="E56" s="40">
        <v>23.53</v>
      </c>
      <c r="F56" s="40">
        <f t="shared" ref="F56:F57" si="55">C56*(E56-D56)</f>
        <v>-164.53499999999968</v>
      </c>
      <c r="G56" s="40">
        <f t="shared" ref="G56:G57" si="56">D56*C56</f>
        <v>3694.0349999999999</v>
      </c>
      <c r="H56" s="231">
        <f t="shared" ref="H56:H57" si="57">(E56-D56)/D56</f>
        <v>-4.4540725791715481E-2</v>
      </c>
      <c r="I56" s="40"/>
      <c r="O56" s="83">
        <v>0.95</v>
      </c>
      <c r="P56" s="83">
        <f t="shared" si="33"/>
        <v>23.493500000000001</v>
      </c>
      <c r="T56" s="93" t="s">
        <v>111</v>
      </c>
      <c r="U56" s="130">
        <v>15.58</v>
      </c>
      <c r="W56" s="133">
        <v>42600</v>
      </c>
      <c r="X56" s="10">
        <v>27.86</v>
      </c>
      <c r="Y56" s="10">
        <v>28.03</v>
      </c>
      <c r="Z56" s="10">
        <v>27.62</v>
      </c>
      <c r="AA56" s="10">
        <v>27.96</v>
      </c>
      <c r="AB56" s="95">
        <v>4276700</v>
      </c>
      <c r="AC56" s="10">
        <v>27.7</v>
      </c>
      <c r="AD56" s="2">
        <f t="shared" si="0"/>
        <v>0.41000000000000014</v>
      </c>
      <c r="AE56" s="138">
        <f t="shared" si="1"/>
        <v>5.8097312999274564E-3</v>
      </c>
    </row>
    <row r="57" spans="2:31" x14ac:dyDescent="0.25">
      <c r="B57" s="193">
        <v>42675</v>
      </c>
      <c r="C57" s="7">
        <v>150</v>
      </c>
      <c r="D57" s="44">
        <v>24.264700000000001</v>
      </c>
      <c r="E57" s="40">
        <v>24.32</v>
      </c>
      <c r="F57" s="40">
        <f t="shared" si="55"/>
        <v>8.2949999999998525</v>
      </c>
      <c r="G57" s="40">
        <f t="shared" si="56"/>
        <v>3639.7050000000004</v>
      </c>
      <c r="H57" s="231">
        <f t="shared" si="57"/>
        <v>2.2790308555225912E-3</v>
      </c>
      <c r="I57" s="40"/>
      <c r="O57" s="83">
        <v>0.94</v>
      </c>
      <c r="P57" s="83">
        <f t="shared" si="33"/>
        <v>23.246199999999998</v>
      </c>
      <c r="T57" s="93" t="s">
        <v>112</v>
      </c>
      <c r="U57" s="130">
        <v>1.59</v>
      </c>
      <c r="W57" s="133">
        <v>42599</v>
      </c>
      <c r="X57" s="10">
        <v>27.8</v>
      </c>
      <c r="Y57" s="10">
        <v>27.97</v>
      </c>
      <c r="Z57" s="10">
        <v>27.37</v>
      </c>
      <c r="AA57" s="10">
        <v>27.8</v>
      </c>
      <c r="AB57" s="95">
        <v>4616900</v>
      </c>
      <c r="AC57" s="10">
        <v>27.54</v>
      </c>
      <c r="AD57" s="2">
        <f t="shared" si="0"/>
        <v>0.59999999999999787</v>
      </c>
      <c r="AE57" s="138">
        <f t="shared" si="1"/>
        <v>-9.7087378640776656E-3</v>
      </c>
    </row>
    <row r="58" spans="2:31" x14ac:dyDescent="0.25">
      <c r="B58" s="193">
        <v>42676</v>
      </c>
      <c r="C58" s="10">
        <v>150</v>
      </c>
      <c r="D58" s="40">
        <v>24.264700000000001</v>
      </c>
      <c r="E58" s="40">
        <v>24.73</v>
      </c>
      <c r="F58" s="40">
        <f t="shared" ref="F58" si="58">C58*(E58-D58)</f>
        <v>69.794999999999874</v>
      </c>
      <c r="G58" s="40">
        <f t="shared" ref="G58" si="59">D58*C58</f>
        <v>3639.7050000000004</v>
      </c>
      <c r="H58" s="231">
        <f t="shared" ref="H58" si="60">(E58-D58)/D58</f>
        <v>1.9176004648728363E-2</v>
      </c>
      <c r="I58" s="40"/>
      <c r="O58" s="83">
        <v>0.93</v>
      </c>
      <c r="P58" s="83">
        <f t="shared" si="33"/>
        <v>22.998900000000003</v>
      </c>
      <c r="T58" s="93" t="s">
        <v>109</v>
      </c>
      <c r="U58" s="130" t="s">
        <v>249</v>
      </c>
      <c r="W58" s="133">
        <v>42598</v>
      </c>
      <c r="X58" s="10">
        <v>28.5</v>
      </c>
      <c r="Y58" s="10">
        <v>28.7</v>
      </c>
      <c r="Z58" s="10">
        <v>27.85</v>
      </c>
      <c r="AA58" s="10">
        <v>28.07</v>
      </c>
      <c r="AB58" s="95">
        <v>4670000</v>
      </c>
      <c r="AC58" s="10">
        <v>27.81</v>
      </c>
      <c r="AD58" s="2">
        <f t="shared" si="0"/>
        <v>0.84999999999999787</v>
      </c>
      <c r="AE58" s="138">
        <f t="shared" si="1"/>
        <v>-1.2428977272727293E-2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33"/>
        <v>22.7516</v>
      </c>
      <c r="W59" s="133">
        <v>42597</v>
      </c>
      <c r="X59" s="10">
        <v>27.26</v>
      </c>
      <c r="Y59" s="10">
        <v>28.5</v>
      </c>
      <c r="Z59" s="10">
        <v>27.19</v>
      </c>
      <c r="AA59" s="10">
        <v>28.43</v>
      </c>
      <c r="AB59" s="95">
        <v>4628700</v>
      </c>
      <c r="AC59" s="10">
        <v>28.16</v>
      </c>
      <c r="AD59" s="2">
        <f t="shared" si="0"/>
        <v>1.3099999999999987</v>
      </c>
      <c r="AE59" s="138">
        <f t="shared" si="1"/>
        <v>4.5673969550686921E-2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33"/>
        <v>22.504300000000001</v>
      </c>
      <c r="W60" s="133">
        <v>42594</v>
      </c>
      <c r="X60" s="10">
        <v>28.11</v>
      </c>
      <c r="Y60" s="10">
        <v>28.5</v>
      </c>
      <c r="Z60" s="10">
        <v>27.13</v>
      </c>
      <c r="AA60" s="10">
        <v>27.18</v>
      </c>
      <c r="AB60" s="95">
        <v>5417400</v>
      </c>
      <c r="AC60" s="10">
        <v>26.93</v>
      </c>
      <c r="AD60" s="2">
        <f t="shared" si="0"/>
        <v>1.370000000000001</v>
      </c>
      <c r="AE60" s="138">
        <f t="shared" si="1"/>
        <v>-3.3034111310592529E-2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33"/>
        <v>22.257000000000001</v>
      </c>
      <c r="W61" s="133">
        <v>42593</v>
      </c>
      <c r="X61" s="10">
        <v>27.94</v>
      </c>
      <c r="Y61" s="10">
        <v>28.18</v>
      </c>
      <c r="Z61" s="10">
        <v>27.3</v>
      </c>
      <c r="AA61" s="10">
        <v>28.11</v>
      </c>
      <c r="AB61" s="95">
        <v>4386000</v>
      </c>
      <c r="AC61" s="10">
        <v>27.85</v>
      </c>
      <c r="AD61" s="2">
        <f t="shared" si="0"/>
        <v>0.87999999999999901</v>
      </c>
      <c r="AE61" s="138">
        <f t="shared" si="1"/>
        <v>8.3272990586531481E-3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42592</v>
      </c>
      <c r="X62" s="10">
        <v>28.31</v>
      </c>
      <c r="Y62" s="10">
        <v>28.7</v>
      </c>
      <c r="Z62" s="10">
        <v>27.79</v>
      </c>
      <c r="AA62" s="10">
        <v>27.88</v>
      </c>
      <c r="AB62" s="95">
        <v>5130600</v>
      </c>
      <c r="AC62" s="10">
        <v>27.62</v>
      </c>
      <c r="AD62" s="2">
        <f t="shared" si="0"/>
        <v>0.91000000000000014</v>
      </c>
      <c r="AE62" s="138">
        <f t="shared" si="1"/>
        <v>-1.1806797853309403E-2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42591</v>
      </c>
      <c r="X63" s="10">
        <v>28.39</v>
      </c>
      <c r="Y63" s="10">
        <v>28.66</v>
      </c>
      <c r="Z63" s="10">
        <v>28.12</v>
      </c>
      <c r="AA63" s="10">
        <v>28.21</v>
      </c>
      <c r="AB63" s="95">
        <v>4342300</v>
      </c>
      <c r="AC63" s="10">
        <v>27.95</v>
      </c>
      <c r="AD63" s="2">
        <f t="shared" si="0"/>
        <v>0.53999999999999915</v>
      </c>
      <c r="AE63" s="138">
        <f t="shared" si="1"/>
        <v>-3.920171062009925E-3</v>
      </c>
    </row>
    <row r="64" spans="2:31" x14ac:dyDescent="0.25">
      <c r="W64" s="133">
        <v>42590</v>
      </c>
      <c r="X64" s="10">
        <v>27.47</v>
      </c>
      <c r="Y64" s="10">
        <v>28.4</v>
      </c>
      <c r="Z64" s="10">
        <v>27.47</v>
      </c>
      <c r="AA64" s="10">
        <v>28.32</v>
      </c>
      <c r="AB64" s="95">
        <v>4755700</v>
      </c>
      <c r="AC64" s="10">
        <v>28.06</v>
      </c>
      <c r="AD64" s="2">
        <f t="shared" si="0"/>
        <v>0.92999999999999972</v>
      </c>
      <c r="AE64" s="138">
        <f t="shared" si="1"/>
        <v>3.8490007401924542E-2</v>
      </c>
    </row>
    <row r="65" spans="1:31" x14ac:dyDescent="0.25">
      <c r="W65" s="133">
        <v>42587</v>
      </c>
      <c r="X65" s="10">
        <v>26.65</v>
      </c>
      <c r="Y65" s="10">
        <v>27.69</v>
      </c>
      <c r="Z65" s="10">
        <v>26.51</v>
      </c>
      <c r="AA65" s="10">
        <v>27.27</v>
      </c>
      <c r="AB65" s="95">
        <v>6205800</v>
      </c>
      <c r="AC65" s="10">
        <v>27.02</v>
      </c>
      <c r="AD65" s="2">
        <f t="shared" si="0"/>
        <v>1.1799999999999997</v>
      </c>
      <c r="AE65" s="138">
        <f t="shared" si="1"/>
        <v>3.1691485299732758E-2</v>
      </c>
    </row>
    <row r="66" spans="1:31" x14ac:dyDescent="0.25">
      <c r="W66" s="133">
        <v>42586</v>
      </c>
      <c r="X66" s="10">
        <v>27.11</v>
      </c>
      <c r="Y66" s="10">
        <v>27.11</v>
      </c>
      <c r="Z66" s="10">
        <v>25.98</v>
      </c>
      <c r="AA66" s="10">
        <v>26.44</v>
      </c>
      <c r="AB66" s="95">
        <v>6586900</v>
      </c>
      <c r="AC66" s="10">
        <v>26.19</v>
      </c>
      <c r="AD66" s="2">
        <f t="shared" si="0"/>
        <v>1.129999999999999</v>
      </c>
      <c r="AE66" s="138">
        <f t="shared" si="1"/>
        <v>-3.1792975970425075E-2</v>
      </c>
    </row>
    <row r="67" spans="1:31" x14ac:dyDescent="0.25">
      <c r="L67" t="s">
        <v>65</v>
      </c>
      <c r="M67" s="2">
        <f>K85+M85-F85</f>
        <v>287.94000000000005</v>
      </c>
      <c r="W67" s="133">
        <v>42585</v>
      </c>
      <c r="X67" s="10">
        <v>27.11</v>
      </c>
      <c r="Y67" s="10">
        <v>27.75</v>
      </c>
      <c r="Z67" s="10">
        <v>26.85</v>
      </c>
      <c r="AA67" s="10">
        <v>27.3</v>
      </c>
      <c r="AB67" s="95">
        <v>6253300</v>
      </c>
      <c r="AC67" s="10">
        <v>27.05</v>
      </c>
      <c r="AD67" s="2">
        <f>Y67-Z67</f>
        <v>0.89999999999999858</v>
      </c>
      <c r="AE67" s="138" t="e">
        <f>AC67/#REF!-1</f>
        <v>#REF!</v>
      </c>
    </row>
    <row r="68" spans="1:31" x14ac:dyDescent="0.25">
      <c r="A68" s="496" t="s">
        <v>1</v>
      </c>
      <c r="B68" s="496" t="s">
        <v>2</v>
      </c>
      <c r="C68" s="496" t="s">
        <v>4</v>
      </c>
      <c r="D68" s="497" t="s">
        <v>5</v>
      </c>
      <c r="E68" s="497" t="s">
        <v>94</v>
      </c>
      <c r="F68" s="497" t="s">
        <v>60</v>
      </c>
      <c r="G68" s="496" t="s">
        <v>3</v>
      </c>
      <c r="H68" s="496" t="s">
        <v>6</v>
      </c>
      <c r="I68" s="497" t="s">
        <v>7</v>
      </c>
      <c r="J68" s="497" t="s">
        <v>95</v>
      </c>
      <c r="K68" s="497" t="s">
        <v>61</v>
      </c>
      <c r="L68" s="496" t="s">
        <v>37</v>
      </c>
      <c r="M68" s="496" t="s">
        <v>38</v>
      </c>
      <c r="W68" s="133">
        <v>42584</v>
      </c>
      <c r="X68" s="10">
        <v>26.42</v>
      </c>
      <c r="Y68" s="10">
        <v>28.06</v>
      </c>
      <c r="Z68" s="10">
        <v>26.42</v>
      </c>
      <c r="AA68" s="10">
        <v>27.26</v>
      </c>
      <c r="AB68" s="95">
        <v>8097800</v>
      </c>
      <c r="AC68" s="10">
        <v>27.01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498" t="s">
        <v>248</v>
      </c>
      <c r="B69" s="499">
        <v>42548</v>
      </c>
      <c r="C69" s="500">
        <v>100</v>
      </c>
      <c r="D69" s="501">
        <v>25</v>
      </c>
      <c r="E69" s="501">
        <v>0</v>
      </c>
      <c r="F69" s="501">
        <f>D69*C69+E69</f>
        <v>2500</v>
      </c>
      <c r="G69" s="499">
        <v>42584</v>
      </c>
      <c r="H69" s="502">
        <v>100</v>
      </c>
      <c r="I69" s="501">
        <v>27.88</v>
      </c>
      <c r="J69" s="501">
        <v>0.06</v>
      </c>
      <c r="K69" s="501">
        <f>H69*I69-J69</f>
        <v>2787.94</v>
      </c>
      <c r="L69" s="499" t="s">
        <v>267</v>
      </c>
      <c r="M69" s="50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03" t="s">
        <v>71</v>
      </c>
      <c r="B70" s="499"/>
      <c r="C70" s="500"/>
      <c r="D70" s="501"/>
      <c r="E70" s="501"/>
      <c r="F70" s="501"/>
      <c r="G70" s="500"/>
      <c r="H70" s="502"/>
      <c r="I70" s="501"/>
      <c r="J70" s="501"/>
      <c r="K70" s="501"/>
      <c r="L70" s="500"/>
      <c r="M70" s="500"/>
    </row>
    <row r="71" spans="1:31" x14ac:dyDescent="0.25">
      <c r="A71" s="500"/>
      <c r="B71" s="499"/>
      <c r="C71" s="500"/>
      <c r="D71" s="501"/>
      <c r="E71" s="501"/>
      <c r="F71" s="501"/>
      <c r="G71" s="500"/>
      <c r="H71" s="502"/>
      <c r="I71" s="501"/>
      <c r="J71" s="501"/>
      <c r="K71" s="501"/>
      <c r="L71" s="500"/>
      <c r="M71" s="500"/>
    </row>
    <row r="72" spans="1:31" x14ac:dyDescent="0.25">
      <c r="A72" s="500"/>
      <c r="B72" s="499"/>
      <c r="C72" s="500"/>
      <c r="D72" s="501"/>
      <c r="E72" s="501"/>
      <c r="F72" s="501"/>
      <c r="G72" s="500"/>
      <c r="H72" s="502"/>
      <c r="I72" s="501"/>
      <c r="J72" s="501"/>
      <c r="K72" s="501"/>
      <c r="L72" s="500"/>
      <c r="M72" s="500"/>
    </row>
    <row r="73" spans="1:31" x14ac:dyDescent="0.25">
      <c r="A73" s="500"/>
      <c r="B73" s="499"/>
      <c r="C73" s="500"/>
      <c r="D73" s="501"/>
      <c r="E73" s="501"/>
      <c r="F73" s="501"/>
      <c r="G73" s="500"/>
      <c r="H73" s="502"/>
      <c r="I73" s="501"/>
      <c r="J73" s="501"/>
      <c r="K73" s="501"/>
      <c r="L73" s="500"/>
      <c r="M73" s="500"/>
    </row>
    <row r="74" spans="1:31" x14ac:dyDescent="0.25">
      <c r="A74" s="500"/>
      <c r="B74" s="500"/>
      <c r="C74" s="500"/>
      <c r="D74" s="501"/>
      <c r="E74" s="501"/>
      <c r="F74" s="501"/>
      <c r="G74" s="500"/>
      <c r="H74" s="502"/>
      <c r="I74" s="501"/>
      <c r="J74" s="501"/>
      <c r="K74" s="501"/>
      <c r="L74" s="500"/>
      <c r="M74" s="500"/>
    </row>
    <row r="75" spans="1:31" x14ac:dyDescent="0.25">
      <c r="A75" s="500"/>
      <c r="B75" s="500"/>
      <c r="C75" s="500"/>
      <c r="D75" s="501"/>
      <c r="E75" s="501"/>
      <c r="F75" s="501"/>
      <c r="G75" s="500"/>
      <c r="H75" s="502"/>
      <c r="I75" s="501"/>
      <c r="J75" s="501"/>
      <c r="K75" s="501"/>
      <c r="L75" s="500"/>
      <c r="M75" s="500"/>
    </row>
    <row r="76" spans="1:31" x14ac:dyDescent="0.25">
      <c r="A76" s="500"/>
      <c r="B76" s="500"/>
      <c r="C76" s="500"/>
      <c r="D76" s="501"/>
      <c r="E76" s="501"/>
      <c r="F76" s="501"/>
      <c r="G76" s="500"/>
      <c r="H76" s="502"/>
      <c r="I76" s="501"/>
      <c r="J76" s="501"/>
      <c r="K76" s="501"/>
      <c r="L76" s="500"/>
      <c r="M76" s="500"/>
    </row>
    <row r="77" spans="1:31" x14ac:dyDescent="0.25">
      <c r="A77" s="500"/>
      <c r="B77" s="500"/>
      <c r="C77" s="500"/>
      <c r="D77" s="501"/>
      <c r="E77" s="501"/>
      <c r="F77" s="501"/>
      <c r="G77" s="500"/>
      <c r="H77" s="502"/>
      <c r="I77" s="501"/>
      <c r="J77" s="501"/>
      <c r="K77" s="501"/>
      <c r="L77" s="500"/>
      <c r="M77" s="500"/>
    </row>
    <row r="78" spans="1:31" x14ac:dyDescent="0.25">
      <c r="A78" s="500"/>
      <c r="B78" s="500"/>
      <c r="C78" s="500"/>
      <c r="D78" s="501"/>
      <c r="E78" s="501"/>
      <c r="F78" s="501"/>
      <c r="G78" s="500"/>
      <c r="H78" s="502"/>
      <c r="I78" s="501"/>
      <c r="J78" s="501"/>
      <c r="K78" s="501"/>
      <c r="L78" s="500"/>
      <c r="M78" s="500"/>
    </row>
    <row r="79" spans="1:31" x14ac:dyDescent="0.25">
      <c r="A79" s="500"/>
      <c r="B79" s="500"/>
      <c r="C79" s="500"/>
      <c r="D79" s="501"/>
      <c r="E79" s="501"/>
      <c r="F79" s="501"/>
      <c r="G79" s="500"/>
      <c r="H79" s="502"/>
      <c r="I79" s="501"/>
      <c r="J79" s="501"/>
      <c r="K79" s="501"/>
      <c r="L79" s="500"/>
      <c r="M79" s="500"/>
    </row>
    <row r="80" spans="1:31" x14ac:dyDescent="0.25">
      <c r="A80" s="500"/>
      <c r="B80" s="500"/>
      <c r="C80" s="500"/>
      <c r="D80" s="501"/>
      <c r="E80" s="501"/>
      <c r="F80" s="501"/>
      <c r="G80" s="500"/>
      <c r="H80" s="502"/>
      <c r="I80" s="501"/>
      <c r="J80" s="501"/>
      <c r="K80" s="501"/>
      <c r="L80" s="500"/>
      <c r="M80" s="500"/>
    </row>
    <row r="81" spans="1:13" x14ac:dyDescent="0.25">
      <c r="A81" s="500"/>
      <c r="B81" s="500"/>
      <c r="C81" s="500"/>
      <c r="D81" s="501"/>
      <c r="E81" s="501"/>
      <c r="F81" s="501"/>
      <c r="G81" s="500"/>
      <c r="H81" s="502"/>
      <c r="I81" s="501"/>
      <c r="J81" s="501"/>
      <c r="K81" s="501"/>
      <c r="L81" s="500"/>
      <c r="M81" s="500"/>
    </row>
    <row r="82" spans="1:13" x14ac:dyDescent="0.25">
      <c r="A82" s="500"/>
      <c r="B82" s="500"/>
      <c r="C82" s="500"/>
      <c r="D82" s="501"/>
      <c r="E82" s="501"/>
      <c r="F82" s="501"/>
      <c r="G82" s="500"/>
      <c r="H82" s="502"/>
      <c r="I82" s="501"/>
      <c r="J82" s="501"/>
      <c r="K82" s="501"/>
      <c r="L82" s="500"/>
      <c r="M82" s="500"/>
    </row>
    <row r="83" spans="1:13" x14ac:dyDescent="0.25">
      <c r="A83" s="500"/>
      <c r="B83" s="500"/>
      <c r="C83" s="500"/>
      <c r="D83" s="501"/>
      <c r="E83" s="501"/>
      <c r="F83" s="501"/>
      <c r="G83" s="500"/>
      <c r="H83" s="502"/>
      <c r="I83" s="501"/>
      <c r="J83" s="501"/>
      <c r="K83" s="501"/>
      <c r="L83" s="500"/>
      <c r="M83" s="500"/>
    </row>
    <row r="84" spans="1:13" x14ac:dyDescent="0.25">
      <c r="A84" s="500"/>
      <c r="B84" s="500"/>
      <c r="C84" s="500"/>
      <c r="D84" s="501"/>
      <c r="E84" s="501"/>
      <c r="F84" s="501"/>
      <c r="G84" s="500"/>
      <c r="H84" s="500"/>
      <c r="I84" s="501"/>
      <c r="J84" s="501"/>
      <c r="K84" s="501"/>
      <c r="L84" s="500"/>
      <c r="M84" s="500"/>
    </row>
    <row r="85" spans="1:13" x14ac:dyDescent="0.25">
      <c r="A85" s="64" t="s">
        <v>81</v>
      </c>
      <c r="B85" s="65"/>
      <c r="C85" s="65">
        <f>SUM(C69:C73)</f>
        <v>100</v>
      </c>
      <c r="D85" s="66"/>
      <c r="E85" s="66"/>
      <c r="F85" s="66">
        <f>SUM(F69:F73)</f>
        <v>2500</v>
      </c>
      <c r="G85" s="65"/>
      <c r="H85" s="65">
        <f>SUM(H69:H72)</f>
        <v>100</v>
      </c>
      <c r="I85" s="66"/>
      <c r="J85" s="66"/>
      <c r="K85" s="66">
        <f>SUM(K69:K72)</f>
        <v>2787.94</v>
      </c>
      <c r="L85" s="65"/>
      <c r="M85" s="66">
        <f>SUM(M69:M77)</f>
        <v>0</v>
      </c>
    </row>
    <row r="86" spans="1:13" ht="15.75" thickBot="1" x14ac:dyDescent="0.3">
      <c r="A86" s="504" t="s">
        <v>201</v>
      </c>
      <c r="B86" s="505"/>
      <c r="C86" s="506">
        <f>SumByColor($A$19,C69:C84)</f>
        <v>0</v>
      </c>
      <c r="D86" s="506"/>
      <c r="E86" s="506"/>
      <c r="F86" s="507">
        <f>SumByColor($A$19,F69:F84)</f>
        <v>0</v>
      </c>
      <c r="G86" s="506"/>
      <c r="H86" s="506">
        <f>SumByColor($A$19,H69:H84)</f>
        <v>0</v>
      </c>
      <c r="I86" s="506"/>
      <c r="J86" s="506"/>
      <c r="K86" s="507">
        <f>SumByColor($A$19,K69:K84)</f>
        <v>0</v>
      </c>
      <c r="L86" s="506"/>
      <c r="M86" s="507">
        <f t="shared" ref="M86" si="61">SumByColor($A$19,M69:M84)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8:F39 H38:H39 H45:H63 F45:F63">
    <cfRule type="expression" dxfId="525" priority="25">
      <formula>F38&gt;0</formula>
    </cfRule>
    <cfRule type="expression" dxfId="524" priority="26">
      <formula>F38&lt;0</formula>
    </cfRule>
  </conditionalFormatting>
  <conditionalFormatting sqref="Q7">
    <cfRule type="expression" dxfId="523" priority="13">
      <formula>Q7&gt;0</formula>
    </cfRule>
    <cfRule type="expression" dxfId="522" priority="14">
      <formula>Q7&lt;0</formula>
    </cfRule>
  </conditionalFormatting>
  <conditionalFormatting sqref="Q8">
    <cfRule type="expression" dxfId="521" priority="11">
      <formula>Q8&gt;0</formula>
    </cfRule>
    <cfRule type="expression" dxfId="520" priority="12">
      <formula>Q8&lt;0</formula>
    </cfRule>
  </conditionalFormatting>
  <conditionalFormatting sqref="F25:F37">
    <cfRule type="expression" dxfId="519" priority="9">
      <formula>F25&gt;0</formula>
    </cfRule>
    <cfRule type="expression" dxfId="518" priority="10">
      <formula>F25&lt;0</formula>
    </cfRule>
  </conditionalFormatting>
  <conditionalFormatting sqref="H25:H37">
    <cfRule type="expression" dxfId="517" priority="7">
      <formula>H25&gt;0</formula>
    </cfRule>
    <cfRule type="expression" dxfId="516" priority="8">
      <formula>H25&lt;0</formula>
    </cfRule>
  </conditionalFormatting>
  <conditionalFormatting sqref="H41:H44">
    <cfRule type="expression" dxfId="515" priority="3">
      <formula>H41&gt;0</formula>
    </cfRule>
    <cfRule type="expression" dxfId="514" priority="4">
      <formula>H41&lt;0</formula>
    </cfRule>
  </conditionalFormatting>
  <conditionalFormatting sqref="F41:F44">
    <cfRule type="expression" dxfId="513" priority="5">
      <formula>F41&gt;0</formula>
    </cfRule>
    <cfRule type="expression" dxfId="512" priority="6">
      <formula>F41&lt;0</formula>
    </cfRule>
  </conditionalFormatting>
  <conditionalFormatting sqref="M67">
    <cfRule type="expression" dxfId="511" priority="1">
      <formula>M67&gt;0</formula>
    </cfRule>
    <cfRule type="expression" dxfId="510" priority="2">
      <formula>M67&lt;0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42676</v>
      </c>
      <c r="X2" s="10">
        <v>46.83</v>
      </c>
      <c r="Y2" s="10">
        <v>46.87</v>
      </c>
      <c r="Z2" s="10">
        <v>46.46</v>
      </c>
      <c r="AA2" s="10">
        <v>46.51</v>
      </c>
      <c r="AB2" s="95">
        <v>2974200</v>
      </c>
      <c r="AC2" s="10">
        <v>46.51</v>
      </c>
      <c r="AD2" s="2">
        <f>Y2-Z2</f>
        <v>0.40999999999999659</v>
      </c>
      <c r="AE2" s="138">
        <f>AC2/AC3-1</f>
        <v>-6.6211020931226106E-3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46.51</v>
      </c>
      <c r="T3" s="1"/>
      <c r="W3" s="133">
        <v>42675</v>
      </c>
      <c r="X3" s="10">
        <v>47.18</v>
      </c>
      <c r="Y3" s="10">
        <v>47.21</v>
      </c>
      <c r="Z3" s="10">
        <v>46.69</v>
      </c>
      <c r="AA3" s="10">
        <v>46.82</v>
      </c>
      <c r="AB3" s="95">
        <v>3271700</v>
      </c>
      <c r="AC3" s="10">
        <v>46.82</v>
      </c>
      <c r="AD3" s="2">
        <f t="shared" ref="AD3:AD66" si="0">Y3-Z3</f>
        <v>0.52000000000000313</v>
      </c>
      <c r="AE3" s="138">
        <f t="shared" ref="AE3:AE66" si="1">AC3/AC4-1</f>
        <v>-4.0416932567538533E-3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46.51</v>
      </c>
      <c r="R4" s="527">
        <v>-6.6E-3</v>
      </c>
      <c r="T4" s="163"/>
      <c r="U4" s="1"/>
      <c r="W4" s="133">
        <v>42674</v>
      </c>
      <c r="X4" s="10">
        <v>46.97</v>
      </c>
      <c r="Y4" s="10">
        <v>47.11</v>
      </c>
      <c r="Z4" s="10">
        <v>46.84</v>
      </c>
      <c r="AA4" s="10">
        <v>47.01</v>
      </c>
      <c r="AB4" s="95">
        <v>2016000</v>
      </c>
      <c r="AC4" s="10">
        <v>47.01</v>
      </c>
      <c r="AD4" s="2">
        <f t="shared" si="0"/>
        <v>0.26999999999999602</v>
      </c>
      <c r="AE4" s="138">
        <f t="shared" si="1"/>
        <v>-1.0624734381641243E-3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42671</v>
      </c>
      <c r="X5" s="10">
        <v>47.01</v>
      </c>
      <c r="Y5" s="10">
        <v>47.22</v>
      </c>
      <c r="Z5" s="10">
        <v>46.98</v>
      </c>
      <c r="AA5" s="10">
        <v>47.06</v>
      </c>
      <c r="AB5" s="95">
        <v>3251700</v>
      </c>
      <c r="AC5" s="10">
        <v>47.06</v>
      </c>
      <c r="AD5" s="2">
        <f t="shared" si="0"/>
        <v>0.24000000000000199</v>
      </c>
      <c r="AE5" s="138">
        <f t="shared" si="1"/>
        <v>-8.4925690021231404E-4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42670</v>
      </c>
      <c r="X6" s="10">
        <v>47.26</v>
      </c>
      <c r="Y6" s="10">
        <v>47.28</v>
      </c>
      <c r="Z6" s="10">
        <v>47.04</v>
      </c>
      <c r="AA6" s="10">
        <v>47.1</v>
      </c>
      <c r="AB6" s="95">
        <v>1628400</v>
      </c>
      <c r="AC6" s="10">
        <v>47.1</v>
      </c>
      <c r="AD6" s="2">
        <f t="shared" si="0"/>
        <v>0.24000000000000199</v>
      </c>
      <c r="AE6" s="138">
        <f t="shared" si="1"/>
        <v>1.0626992561106885E-3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257.64999999999964</v>
      </c>
      <c r="R7">
        <v>0</v>
      </c>
      <c r="W7" s="133">
        <v>42669</v>
      </c>
      <c r="X7" s="10">
        <v>47.07</v>
      </c>
      <c r="Y7" s="10">
        <v>47.25</v>
      </c>
      <c r="Z7" s="10">
        <v>46.98</v>
      </c>
      <c r="AA7" s="10">
        <v>47.05</v>
      </c>
      <c r="AB7" s="95">
        <v>1670100</v>
      </c>
      <c r="AC7" s="10">
        <v>47.05</v>
      </c>
      <c r="AD7" s="2">
        <f t="shared" si="0"/>
        <v>0.27000000000000313</v>
      </c>
      <c r="AE7" s="138">
        <f t="shared" si="1"/>
        <v>-4.8646362098139218E-3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42668</v>
      </c>
      <c r="X8" s="10">
        <v>47.27</v>
      </c>
      <c r="Y8" s="10">
        <v>47.38</v>
      </c>
      <c r="Z8" s="10">
        <v>47.11</v>
      </c>
      <c r="AA8" s="10">
        <v>47.28</v>
      </c>
      <c r="AB8" s="95">
        <v>2632900</v>
      </c>
      <c r="AC8" s="10">
        <v>47.28</v>
      </c>
      <c r="AD8" s="2">
        <f t="shared" si="0"/>
        <v>0.27000000000000313</v>
      </c>
      <c r="AE8" s="138">
        <f t="shared" si="1"/>
        <v>-3.7926675094817064E-3</v>
      </c>
    </row>
    <row r="9" spans="1:31" x14ac:dyDescent="0.25">
      <c r="H9" s="72"/>
      <c r="O9" s="11" t="s">
        <v>219</v>
      </c>
      <c r="Q9" s="138">
        <f>IF(Q2=0, 0, Q8/Q6)</f>
        <v>0</v>
      </c>
      <c r="W9" s="133">
        <v>42667</v>
      </c>
      <c r="X9" s="10">
        <v>47.59</v>
      </c>
      <c r="Y9" s="10">
        <v>47.66</v>
      </c>
      <c r="Z9" s="10">
        <v>47.36</v>
      </c>
      <c r="AA9" s="10">
        <v>47.46</v>
      </c>
      <c r="AB9" s="95">
        <v>5896800</v>
      </c>
      <c r="AC9" s="10">
        <v>47.46</v>
      </c>
      <c r="AD9" s="2">
        <f t="shared" si="0"/>
        <v>0.29999999999999716</v>
      </c>
      <c r="AE9" s="138">
        <f t="shared" si="1"/>
        <v>-1.2626262626262985E-3</v>
      </c>
    </row>
    <row r="10" spans="1:31" x14ac:dyDescent="0.25">
      <c r="H10" s="72"/>
      <c r="O10" s="11" t="s">
        <v>218</v>
      </c>
      <c r="P10" s="34"/>
      <c r="Q10" s="2">
        <f>M53</f>
        <v>257.64999999999964</v>
      </c>
      <c r="W10" s="133">
        <v>42664</v>
      </c>
      <c r="X10" s="10">
        <v>47.28</v>
      </c>
      <c r="Y10" s="10">
        <v>47.55</v>
      </c>
      <c r="Z10" s="10">
        <v>47.26</v>
      </c>
      <c r="AA10" s="10">
        <v>47.52</v>
      </c>
      <c r="AB10" s="95">
        <v>1675800</v>
      </c>
      <c r="AC10" s="10">
        <v>47.52</v>
      </c>
      <c r="AD10" s="2">
        <f t="shared" si="0"/>
        <v>0.28999999999999915</v>
      </c>
      <c r="AE10" s="138">
        <f t="shared" si="1"/>
        <v>-2.9374737725554878E-3</v>
      </c>
    </row>
    <row r="11" spans="1:31" x14ac:dyDescent="0.25">
      <c r="H11" s="72"/>
      <c r="O11" s="11" t="s">
        <v>181</v>
      </c>
      <c r="P11" s="34"/>
      <c r="Q11" s="138">
        <v>0</v>
      </c>
      <c r="W11" s="133">
        <v>42663</v>
      </c>
      <c r="X11" s="10">
        <v>47.5</v>
      </c>
      <c r="Y11" s="10">
        <v>47.78</v>
      </c>
      <c r="Z11" s="10">
        <v>47.46</v>
      </c>
      <c r="AA11" s="10">
        <v>47.66</v>
      </c>
      <c r="AB11" s="95">
        <v>3244300</v>
      </c>
      <c r="AC11" s="10">
        <v>47.66</v>
      </c>
      <c r="AD11" s="2">
        <f t="shared" si="0"/>
        <v>0.32000000000000028</v>
      </c>
      <c r="AE11" s="138">
        <f t="shared" si="1"/>
        <v>0</v>
      </c>
    </row>
    <row r="12" spans="1:31" x14ac:dyDescent="0.25">
      <c r="H12" s="72"/>
      <c r="W12" s="133">
        <v>42662</v>
      </c>
      <c r="X12" s="10">
        <v>47.56</v>
      </c>
      <c r="Y12" s="10">
        <v>47.76</v>
      </c>
      <c r="Z12" s="10">
        <v>47.56</v>
      </c>
      <c r="AA12" s="10">
        <v>47.66</v>
      </c>
      <c r="AB12" s="95">
        <v>2032600</v>
      </c>
      <c r="AC12" s="10">
        <v>47.66</v>
      </c>
      <c r="AD12" s="2">
        <f t="shared" si="0"/>
        <v>0.19999999999999574</v>
      </c>
      <c r="AE12" s="138">
        <f t="shared" si="1"/>
        <v>1.2605042016806678E-3</v>
      </c>
    </row>
    <row r="13" spans="1:31" x14ac:dyDescent="0.25">
      <c r="H13" s="72"/>
      <c r="W13" s="133">
        <v>42661</v>
      </c>
      <c r="X13" s="10">
        <v>47.63</v>
      </c>
      <c r="Y13" s="10">
        <v>47.72</v>
      </c>
      <c r="Z13" s="10">
        <v>47.47</v>
      </c>
      <c r="AA13" s="10">
        <v>47.6</v>
      </c>
      <c r="AB13" s="95">
        <v>1740300</v>
      </c>
      <c r="AC13" s="10">
        <v>47.6</v>
      </c>
      <c r="AD13" s="2">
        <f t="shared" si="0"/>
        <v>0.25</v>
      </c>
      <c r="AE13" s="138">
        <f t="shared" si="1"/>
        <v>1.276595744680864E-2</v>
      </c>
    </row>
    <row r="14" spans="1:31" x14ac:dyDescent="0.25">
      <c r="H14" s="72"/>
      <c r="W14" s="133">
        <v>42660</v>
      </c>
      <c r="X14" s="10">
        <v>47.06</v>
      </c>
      <c r="Y14" s="10">
        <v>47.16</v>
      </c>
      <c r="Z14" s="10">
        <v>46.9</v>
      </c>
      <c r="AA14" s="10">
        <v>47</v>
      </c>
      <c r="AB14" s="95">
        <v>1782600</v>
      </c>
      <c r="AC14" s="10">
        <v>47</v>
      </c>
      <c r="AD14" s="2">
        <f t="shared" si="0"/>
        <v>0.25999999999999801</v>
      </c>
      <c r="AE14" s="138">
        <f t="shared" si="1"/>
        <v>-3.8151759220008685E-3</v>
      </c>
    </row>
    <row r="15" spans="1:31" x14ac:dyDescent="0.25">
      <c r="H15" s="72"/>
      <c r="W15" s="133">
        <v>42657</v>
      </c>
      <c r="X15" s="10">
        <v>47.41</v>
      </c>
      <c r="Y15" s="10">
        <v>47.57</v>
      </c>
      <c r="Z15" s="10">
        <v>47.18</v>
      </c>
      <c r="AA15" s="10">
        <v>47.18</v>
      </c>
      <c r="AB15" s="95">
        <v>2274800</v>
      </c>
      <c r="AC15" s="10">
        <v>47.18</v>
      </c>
      <c r="AD15" s="2">
        <f t="shared" si="0"/>
        <v>0.39000000000000057</v>
      </c>
      <c r="AE15" s="138">
        <f t="shared" si="1"/>
        <v>1.2733446519526126E-3</v>
      </c>
    </row>
    <row r="16" spans="1:31" x14ac:dyDescent="0.25">
      <c r="H16" s="72"/>
      <c r="W16" s="133">
        <v>42656</v>
      </c>
      <c r="X16" s="10">
        <v>46.72</v>
      </c>
      <c r="Y16" s="10">
        <v>47.25</v>
      </c>
      <c r="Z16" s="10">
        <v>46.57</v>
      </c>
      <c r="AA16" s="10">
        <v>47.12</v>
      </c>
      <c r="AB16" s="95">
        <v>2985300</v>
      </c>
      <c r="AC16" s="10">
        <v>47.12</v>
      </c>
      <c r="AD16" s="2">
        <f t="shared" si="0"/>
        <v>0.67999999999999972</v>
      </c>
      <c r="AE16" s="138">
        <f t="shared" si="1"/>
        <v>-3.5948403467963574E-3</v>
      </c>
    </row>
    <row r="17" spans="1:31" x14ac:dyDescent="0.25">
      <c r="W17" s="133">
        <v>42655</v>
      </c>
      <c r="X17" s="10">
        <v>47.39</v>
      </c>
      <c r="Y17" s="10">
        <v>47.47</v>
      </c>
      <c r="Z17" s="10">
        <v>47.15</v>
      </c>
      <c r="AA17" s="10">
        <v>47.29</v>
      </c>
      <c r="AB17" s="95">
        <v>2102500</v>
      </c>
      <c r="AC17" s="10">
        <v>47.29</v>
      </c>
      <c r="AD17" s="2">
        <f t="shared" si="0"/>
        <v>0.32000000000000028</v>
      </c>
      <c r="AE17" s="138">
        <f t="shared" si="1"/>
        <v>-3.1618887015176789E-3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42654</v>
      </c>
      <c r="X18" s="10">
        <v>48.04</v>
      </c>
      <c r="Y18" s="10">
        <v>48.06</v>
      </c>
      <c r="Z18" s="10">
        <v>47.32</v>
      </c>
      <c r="AA18" s="10">
        <v>47.44</v>
      </c>
      <c r="AB18" s="95">
        <v>3107800</v>
      </c>
      <c r="AC18" s="10">
        <v>47.44</v>
      </c>
      <c r="AD18" s="2">
        <f t="shared" si="0"/>
        <v>0.74000000000000199</v>
      </c>
      <c r="AE18" s="138">
        <f t="shared" si="1"/>
        <v>-1.515466057712278E-2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42653</v>
      </c>
      <c r="X19" s="10">
        <v>48.09</v>
      </c>
      <c r="Y19" s="10">
        <v>48.31</v>
      </c>
      <c r="Z19" s="10">
        <v>48.09</v>
      </c>
      <c r="AA19" s="10">
        <v>48.17</v>
      </c>
      <c r="AB19" s="95">
        <v>1169000</v>
      </c>
      <c r="AC19" s="10">
        <v>48.17</v>
      </c>
      <c r="AD19" s="2">
        <f t="shared" si="0"/>
        <v>0.21999999999999886</v>
      </c>
      <c r="AE19" s="138">
        <f t="shared" si="1"/>
        <v>2.0802995631370447E-3</v>
      </c>
    </row>
    <row r="20" spans="1:31" x14ac:dyDescent="0.25">
      <c r="W20" s="133">
        <v>42650</v>
      </c>
      <c r="X20" s="10">
        <v>48.2</v>
      </c>
      <c r="Y20" s="10">
        <v>48.23</v>
      </c>
      <c r="Z20" s="10">
        <v>47.72</v>
      </c>
      <c r="AA20" s="10">
        <v>48.07</v>
      </c>
      <c r="AB20" s="95">
        <v>2743000</v>
      </c>
      <c r="AC20" s="10">
        <v>48.07</v>
      </c>
      <c r="AD20" s="2">
        <f t="shared" si="0"/>
        <v>0.50999999999999801</v>
      </c>
      <c r="AE20" s="138">
        <f t="shared" si="1"/>
        <v>-8.6615797071561973E-3</v>
      </c>
    </row>
    <row r="21" spans="1:31" x14ac:dyDescent="0.25">
      <c r="W21" s="133">
        <v>42649</v>
      </c>
      <c r="X21" s="10">
        <v>48.61</v>
      </c>
      <c r="Y21" s="10">
        <v>48.62</v>
      </c>
      <c r="Z21" s="10">
        <v>48.41</v>
      </c>
      <c r="AA21" s="10">
        <v>48.49</v>
      </c>
      <c r="AB21" s="95">
        <v>2204500</v>
      </c>
      <c r="AC21" s="10">
        <v>48.49</v>
      </c>
      <c r="AD21" s="2">
        <f t="shared" si="0"/>
        <v>0.21000000000000085</v>
      </c>
      <c r="AE21" s="138">
        <f t="shared" si="1"/>
        <v>-7.5726565697912251E-3</v>
      </c>
    </row>
    <row r="22" spans="1:31" x14ac:dyDescent="0.25">
      <c r="W22" s="133">
        <v>42648</v>
      </c>
      <c r="X22" s="10">
        <v>48.87</v>
      </c>
      <c r="Y22" s="10">
        <v>48.94</v>
      </c>
      <c r="Z22" s="10">
        <v>48.73</v>
      </c>
      <c r="AA22" s="10">
        <v>48.86</v>
      </c>
      <c r="AB22" s="95">
        <v>3380500</v>
      </c>
      <c r="AC22" s="10">
        <v>48.86</v>
      </c>
      <c r="AD22" s="2">
        <f t="shared" si="0"/>
        <v>0.21000000000000085</v>
      </c>
      <c r="AE22" s="138">
        <f t="shared" si="1"/>
        <v>3.697617091207972E-3</v>
      </c>
    </row>
    <row r="23" spans="1:31" x14ac:dyDescent="0.25">
      <c r="W23" s="133">
        <v>42647</v>
      </c>
      <c r="X23" s="10">
        <v>48.89</v>
      </c>
      <c r="Y23" s="10">
        <v>49.02</v>
      </c>
      <c r="Z23" s="10">
        <v>48.51</v>
      </c>
      <c r="AA23" s="10">
        <v>48.68</v>
      </c>
      <c r="AB23" s="95">
        <v>4001100</v>
      </c>
      <c r="AC23" s="10">
        <v>48.68</v>
      </c>
      <c r="AD23" s="2">
        <f t="shared" si="0"/>
        <v>0.51000000000000512</v>
      </c>
      <c r="AE23" s="138">
        <f t="shared" si="1"/>
        <v>1.0281719103433229E-3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42646</v>
      </c>
      <c r="X24" s="10">
        <v>48.71</v>
      </c>
      <c r="Y24" s="10">
        <v>48.74</v>
      </c>
      <c r="Z24" s="10">
        <v>48.53</v>
      </c>
      <c r="AA24" s="10">
        <v>48.63</v>
      </c>
      <c r="AB24" s="95">
        <v>3548200</v>
      </c>
      <c r="AC24" s="10">
        <v>48.63</v>
      </c>
      <c r="AD24" s="2">
        <f t="shared" si="0"/>
        <v>0.21000000000000085</v>
      </c>
      <c r="AE24" s="138">
        <f t="shared" si="1"/>
        <v>-2.0521239482863551E-3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42643</v>
      </c>
      <c r="X25" s="10">
        <v>48.42</v>
      </c>
      <c r="Y25" s="10">
        <v>48.87</v>
      </c>
      <c r="Z25" s="10">
        <v>48.34</v>
      </c>
      <c r="AA25" s="10">
        <v>48.73</v>
      </c>
      <c r="AB25" s="95">
        <v>8385800</v>
      </c>
      <c r="AC25" s="10">
        <v>48.73</v>
      </c>
      <c r="AD25" s="2">
        <f t="shared" si="0"/>
        <v>0.52999999999999403</v>
      </c>
      <c r="AE25" s="138">
        <f t="shared" si="1"/>
        <v>1.1625493045463786E-2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42642</v>
      </c>
      <c r="X26" s="10">
        <v>48.77</v>
      </c>
      <c r="Y26" s="10">
        <v>48.92</v>
      </c>
      <c r="Z26" s="10">
        <v>48.03</v>
      </c>
      <c r="AA26" s="10">
        <v>48.17</v>
      </c>
      <c r="AB26" s="95">
        <v>3655500</v>
      </c>
      <c r="AC26" s="10">
        <v>48.17</v>
      </c>
      <c r="AD26" s="2">
        <f t="shared" si="0"/>
        <v>0.89000000000000057</v>
      </c>
      <c r="AE26" s="138">
        <f t="shared" si="1"/>
        <v>-1.5331152902698264E-2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42641</v>
      </c>
      <c r="X27" s="10">
        <v>48.63</v>
      </c>
      <c r="Y27" s="10">
        <v>48.93</v>
      </c>
      <c r="Z27" s="10">
        <v>48.34</v>
      </c>
      <c r="AA27" s="10">
        <v>48.92</v>
      </c>
      <c r="AB27" s="95">
        <v>3152300</v>
      </c>
      <c r="AC27" s="10">
        <v>48.92</v>
      </c>
      <c r="AD27" s="2">
        <f t="shared" si="0"/>
        <v>0.58999999999999631</v>
      </c>
      <c r="AE27" s="138">
        <f t="shared" si="1"/>
        <v>1.1370684308455781E-2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42640</v>
      </c>
      <c r="X28" s="10">
        <v>47.91</v>
      </c>
      <c r="Y28" s="10">
        <v>48.44</v>
      </c>
      <c r="Z28" s="10">
        <v>47.81</v>
      </c>
      <c r="AA28" s="10">
        <v>48.37</v>
      </c>
      <c r="AB28" s="95">
        <v>2266800</v>
      </c>
      <c r="AC28" s="10">
        <v>48.37</v>
      </c>
      <c r="AD28" s="2">
        <f t="shared" si="0"/>
        <v>0.62999999999999545</v>
      </c>
      <c r="AE28" s="138">
        <f t="shared" si="1"/>
        <v>2.0678246484684415E-4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42639</v>
      </c>
      <c r="X29" s="10">
        <v>48.42</v>
      </c>
      <c r="Y29" s="10">
        <v>48.52</v>
      </c>
      <c r="Z29" s="10">
        <v>48.31</v>
      </c>
      <c r="AA29" s="10">
        <v>48.36</v>
      </c>
      <c r="AB29" s="95">
        <v>2178000</v>
      </c>
      <c r="AC29" s="10">
        <v>48.36</v>
      </c>
      <c r="AD29" s="2">
        <f t="shared" si="0"/>
        <v>0.21000000000000085</v>
      </c>
      <c r="AE29" s="138">
        <f t="shared" si="1"/>
        <v>-1.0233319688907061E-2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42636</v>
      </c>
      <c r="X30" s="10">
        <v>48.82</v>
      </c>
      <c r="Y30" s="10">
        <v>49.04</v>
      </c>
      <c r="Z30" s="10">
        <v>48.82</v>
      </c>
      <c r="AA30" s="10">
        <v>48.86</v>
      </c>
      <c r="AB30" s="95">
        <v>1882400</v>
      </c>
      <c r="AC30" s="10">
        <v>48.86</v>
      </c>
      <c r="AD30" s="2">
        <f t="shared" si="0"/>
        <v>0.21999999999999886</v>
      </c>
      <c r="AE30" s="138">
        <f t="shared" si="1"/>
        <v>-7.7173030056865155E-3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42635</v>
      </c>
      <c r="X31" s="10">
        <v>49.47</v>
      </c>
      <c r="Y31" s="10">
        <v>49.59</v>
      </c>
      <c r="Z31" s="10">
        <v>49.19</v>
      </c>
      <c r="AA31" s="10">
        <v>49.24</v>
      </c>
      <c r="AB31" s="95">
        <v>4031200</v>
      </c>
      <c r="AC31" s="10">
        <v>49.24</v>
      </c>
      <c r="AD31" s="2">
        <f t="shared" si="0"/>
        <v>0.40000000000000568</v>
      </c>
      <c r="AE31" s="138">
        <f t="shared" si="1"/>
        <v>1.1088295687885052E-2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42634</v>
      </c>
      <c r="X32" s="10">
        <v>48.32</v>
      </c>
      <c r="Y32" s="10">
        <v>48.76</v>
      </c>
      <c r="Z32" s="10">
        <v>48.13</v>
      </c>
      <c r="AA32" s="10">
        <v>48.7</v>
      </c>
      <c r="AB32" s="95">
        <v>3826100</v>
      </c>
      <c r="AC32" s="10">
        <v>48.7</v>
      </c>
      <c r="AD32" s="2">
        <f t="shared" si="0"/>
        <v>0.62999999999999545</v>
      </c>
      <c r="AE32" s="138">
        <f t="shared" si="1"/>
        <v>1.2474012474012586E-2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42633</v>
      </c>
      <c r="X33" s="10">
        <v>48.3</v>
      </c>
      <c r="Y33" s="10">
        <v>48.35</v>
      </c>
      <c r="Z33" s="10">
        <v>48.05</v>
      </c>
      <c r="AA33" s="10">
        <v>48.1</v>
      </c>
      <c r="AB33" s="95">
        <v>1743400</v>
      </c>
      <c r="AC33" s="10">
        <v>48.1</v>
      </c>
      <c r="AD33" s="2">
        <f t="shared" si="0"/>
        <v>0.30000000000000426</v>
      </c>
      <c r="AE33" s="138">
        <f t="shared" si="1"/>
        <v>2.083333333333437E-3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42632</v>
      </c>
      <c r="X34" s="10">
        <v>48.16</v>
      </c>
      <c r="Y34" s="10">
        <v>48.23</v>
      </c>
      <c r="Z34" s="10">
        <v>47.88</v>
      </c>
      <c r="AA34" s="10">
        <v>48</v>
      </c>
      <c r="AB34" s="95">
        <v>2489200</v>
      </c>
      <c r="AC34" s="10">
        <v>48</v>
      </c>
      <c r="AD34" s="2">
        <f t="shared" si="0"/>
        <v>0.34999999999999432</v>
      </c>
      <c r="AE34" s="138">
        <f t="shared" si="1"/>
        <v>8.1915563957151161E-3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42629</v>
      </c>
      <c r="X35" s="10">
        <v>47.79</v>
      </c>
      <c r="Y35" s="10">
        <v>47.79</v>
      </c>
      <c r="Z35" s="10">
        <v>47.52</v>
      </c>
      <c r="AA35" s="10">
        <v>47.61</v>
      </c>
      <c r="AB35" s="95">
        <v>2792900</v>
      </c>
      <c r="AC35" s="10">
        <v>47.61</v>
      </c>
      <c r="AD35" s="2">
        <f t="shared" si="0"/>
        <v>0.26999999999999602</v>
      </c>
      <c r="AE35" s="138">
        <f t="shared" si="1"/>
        <v>-1.7540239372678568E-2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42628</v>
      </c>
      <c r="X36" s="10">
        <v>48.03</v>
      </c>
      <c r="Y36" s="10">
        <v>48.52</v>
      </c>
      <c r="Z36" s="10">
        <v>47.92</v>
      </c>
      <c r="AA36" s="10">
        <v>48.46</v>
      </c>
      <c r="AB36" s="95">
        <v>2594000</v>
      </c>
      <c r="AC36" s="10">
        <v>48.46</v>
      </c>
      <c r="AD36" s="2">
        <f t="shared" si="0"/>
        <v>0.60000000000000142</v>
      </c>
      <c r="AE36" s="138">
        <f t="shared" si="1"/>
        <v>8.3229296712441503E-3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42627</v>
      </c>
      <c r="X37" s="10">
        <v>48.01</v>
      </c>
      <c r="Y37" s="10">
        <v>48.31</v>
      </c>
      <c r="Z37" s="10">
        <v>47.96</v>
      </c>
      <c r="AA37" s="10">
        <v>48.06</v>
      </c>
      <c r="AB37" s="95">
        <v>2993000</v>
      </c>
      <c r="AC37" s="10">
        <v>48.06</v>
      </c>
      <c r="AD37" s="2">
        <f t="shared" si="0"/>
        <v>0.35000000000000142</v>
      </c>
      <c r="AE37" s="138">
        <f t="shared" si="1"/>
        <v>2.0811654526542434E-4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42626</v>
      </c>
      <c r="X38" s="10">
        <v>48.48</v>
      </c>
      <c r="Y38" s="10">
        <v>48.51</v>
      </c>
      <c r="Z38" s="10">
        <v>47.88</v>
      </c>
      <c r="AA38" s="10">
        <v>48.05</v>
      </c>
      <c r="AB38" s="95">
        <v>5644300</v>
      </c>
      <c r="AC38" s="10">
        <v>48.05</v>
      </c>
      <c r="AD38" s="2">
        <f t="shared" si="0"/>
        <v>0.62999999999999545</v>
      </c>
      <c r="AE38" s="138" t="e">
        <f t="shared" si="1"/>
        <v>#DIV/0!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42626</v>
      </c>
      <c r="X39" s="10" t="s">
        <v>342</v>
      </c>
      <c r="Y39" s="10"/>
      <c r="Z39" s="10"/>
      <c r="AA39" s="10"/>
      <c r="AB39" s="95"/>
      <c r="AC39" s="10"/>
      <c r="AD39" s="2">
        <f t="shared" si="0"/>
        <v>0</v>
      </c>
      <c r="AE39" s="138">
        <f t="shared" si="1"/>
        <v>-1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8" t="s">
        <v>78</v>
      </c>
      <c r="P40" s="588"/>
      <c r="W40" s="133">
        <v>42625</v>
      </c>
      <c r="X40" s="10">
        <v>48.39</v>
      </c>
      <c r="Y40" s="10">
        <v>49.31</v>
      </c>
      <c r="Z40" s="10">
        <v>48.39</v>
      </c>
      <c r="AA40" s="10">
        <v>49.3</v>
      </c>
      <c r="AB40" s="95">
        <v>4705900</v>
      </c>
      <c r="AC40" s="10">
        <v>49.03</v>
      </c>
      <c r="AD40" s="2">
        <f t="shared" si="0"/>
        <v>0.92000000000000171</v>
      </c>
      <c r="AE40" s="138">
        <f t="shared" si="1"/>
        <v>8.847736625514413E-3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51.161000000000001</v>
      </c>
      <c r="Q41" s="2"/>
      <c r="W41" s="133">
        <v>42622</v>
      </c>
      <c r="X41" s="10">
        <v>49.5</v>
      </c>
      <c r="Y41" s="10">
        <v>49.51</v>
      </c>
      <c r="Z41" s="10">
        <v>48.85</v>
      </c>
      <c r="AA41" s="10">
        <v>48.86</v>
      </c>
      <c r="AB41" s="95">
        <v>4515800</v>
      </c>
      <c r="AC41" s="10">
        <v>48.6</v>
      </c>
      <c r="AD41" s="2">
        <f t="shared" si="0"/>
        <v>0.65999999999999659</v>
      </c>
      <c r="AE41" s="138">
        <f t="shared" si="1"/>
        <v>-2.134514699959722E-2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50.695900000000002</v>
      </c>
      <c r="Q42" s="2"/>
      <c r="T42" s="91" t="s">
        <v>113</v>
      </c>
      <c r="W42" s="133">
        <v>42621</v>
      </c>
      <c r="X42" s="10">
        <v>50</v>
      </c>
      <c r="Y42" s="10">
        <v>50.12</v>
      </c>
      <c r="Z42" s="10">
        <v>49.82</v>
      </c>
      <c r="AA42" s="10">
        <v>49.93</v>
      </c>
      <c r="AB42" s="95">
        <v>2629000</v>
      </c>
      <c r="AC42" s="10">
        <v>49.66</v>
      </c>
      <c r="AD42" s="2">
        <f t="shared" si="0"/>
        <v>0.29999999999999716</v>
      </c>
      <c r="AE42" s="138">
        <f t="shared" si="1"/>
        <v>2.0140986908345759E-4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50.230800000000002</v>
      </c>
      <c r="Q43" s="2"/>
      <c r="T43" s="128" t="s">
        <v>98</v>
      </c>
      <c r="U43" s="98">
        <v>46.82</v>
      </c>
      <c r="W43" s="133">
        <v>42620</v>
      </c>
      <c r="X43" s="10">
        <v>50</v>
      </c>
      <c r="Y43" s="10">
        <v>50.12</v>
      </c>
      <c r="Z43" s="10">
        <v>49.84</v>
      </c>
      <c r="AA43" s="10">
        <v>49.92</v>
      </c>
      <c r="AB43" s="95">
        <v>4457900</v>
      </c>
      <c r="AC43" s="10">
        <v>49.65</v>
      </c>
      <c r="AD43" s="2">
        <f t="shared" si="0"/>
        <v>0.27999999999999403</v>
      </c>
      <c r="AE43" s="138">
        <f t="shared" si="1"/>
        <v>-6.0386473429951959E-4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49.765700000000002</v>
      </c>
      <c r="Q44" s="2"/>
      <c r="T44" s="93" t="s">
        <v>99</v>
      </c>
      <c r="U44" s="88">
        <v>46.83</v>
      </c>
      <c r="W44" s="133">
        <v>42619</v>
      </c>
      <c r="X44" s="10">
        <v>49.77</v>
      </c>
      <c r="Y44" s="10">
        <v>49.99</v>
      </c>
      <c r="Z44" s="10">
        <v>49.7</v>
      </c>
      <c r="AA44" s="10">
        <v>49.95</v>
      </c>
      <c r="AB44" s="95">
        <v>5688500</v>
      </c>
      <c r="AC44" s="10">
        <v>49.68</v>
      </c>
      <c r="AD44" s="2">
        <f t="shared" si="0"/>
        <v>0.28999999999999915</v>
      </c>
      <c r="AE44" s="138">
        <f t="shared" si="1"/>
        <v>5.6680161943321039E-3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49.300600000000003</v>
      </c>
      <c r="Q45" s="2"/>
      <c r="T45" s="93" t="s">
        <v>100</v>
      </c>
      <c r="U45" s="88" t="s">
        <v>646</v>
      </c>
      <c r="W45" s="133">
        <v>42615</v>
      </c>
      <c r="X45" s="10">
        <v>49.5</v>
      </c>
      <c r="Y45" s="10">
        <v>49.73</v>
      </c>
      <c r="Z45" s="10">
        <v>49.34</v>
      </c>
      <c r="AA45" s="10">
        <v>49.67</v>
      </c>
      <c r="AB45" s="95">
        <v>7499900</v>
      </c>
      <c r="AC45" s="10">
        <v>49.4</v>
      </c>
      <c r="AD45" s="2">
        <f t="shared" si="0"/>
        <v>0.38999999999999346</v>
      </c>
      <c r="AE45" s="138">
        <f t="shared" si="1"/>
        <v>1.3541239228559654E-2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48.835500000000003</v>
      </c>
      <c r="Q46" s="2"/>
      <c r="T46" s="93" t="s">
        <v>101</v>
      </c>
      <c r="U46" s="88" t="s">
        <v>647</v>
      </c>
      <c r="W46" s="133">
        <v>42614</v>
      </c>
      <c r="X46" s="10">
        <v>48.87</v>
      </c>
      <c r="Y46" s="10">
        <v>49.01</v>
      </c>
      <c r="Z46" s="10">
        <v>48.69</v>
      </c>
      <c r="AA46" s="10">
        <v>49</v>
      </c>
      <c r="AB46" s="95">
        <v>4319100</v>
      </c>
      <c r="AC46" s="10">
        <v>48.74</v>
      </c>
      <c r="AD46" s="2">
        <f t="shared" si="0"/>
        <v>0.32000000000000028</v>
      </c>
      <c r="AE46" s="138">
        <f t="shared" si="1"/>
        <v>8.0661840744571389E-3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48.370399999999997</v>
      </c>
      <c r="Q47" s="2"/>
      <c r="T47" s="93" t="s">
        <v>232</v>
      </c>
      <c r="U47" s="88">
        <v>46.9</v>
      </c>
      <c r="W47" s="133">
        <v>42613</v>
      </c>
      <c r="X47" s="10">
        <v>48.7</v>
      </c>
      <c r="Y47" s="10">
        <v>48.83</v>
      </c>
      <c r="Z47" s="10">
        <v>48.46</v>
      </c>
      <c r="AA47" s="10">
        <v>48.61</v>
      </c>
      <c r="AB47" s="95">
        <v>3132600</v>
      </c>
      <c r="AC47" s="10">
        <v>48.35</v>
      </c>
      <c r="AD47" s="2">
        <f t="shared" si="0"/>
        <v>0.36999999999999744</v>
      </c>
      <c r="AE47" s="138">
        <f t="shared" si="1"/>
        <v>-2.0639834881320818E-3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47.905299999999997</v>
      </c>
      <c r="Q48" s="2"/>
      <c r="T48" s="93" t="s">
        <v>233</v>
      </c>
      <c r="U48" s="88" t="s">
        <v>374</v>
      </c>
      <c r="W48" s="133">
        <v>42612</v>
      </c>
      <c r="X48" s="10">
        <v>48.9</v>
      </c>
      <c r="Y48" s="10">
        <v>48.94</v>
      </c>
      <c r="Z48" s="10">
        <v>48.63</v>
      </c>
      <c r="AA48" s="10">
        <v>48.71</v>
      </c>
      <c r="AB48" s="95">
        <v>4538100</v>
      </c>
      <c r="AC48" s="10">
        <v>48.45</v>
      </c>
      <c r="AD48" s="2">
        <f t="shared" si="0"/>
        <v>0.30999999999999517</v>
      </c>
      <c r="AE48" s="138">
        <f t="shared" si="1"/>
        <v>-2.4706609017911552E-3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47.440199999999997</v>
      </c>
      <c r="Q49" s="2"/>
      <c r="T49" s="93" t="s">
        <v>234</v>
      </c>
      <c r="U49" s="463">
        <v>8.0000000000000002E-3</v>
      </c>
      <c r="W49" s="133">
        <v>42611</v>
      </c>
      <c r="X49" s="10">
        <v>48.46</v>
      </c>
      <c r="Y49" s="10">
        <v>48.83</v>
      </c>
      <c r="Z49" s="10">
        <v>48.46</v>
      </c>
      <c r="AA49" s="10">
        <v>48.83</v>
      </c>
      <c r="AB49" s="95">
        <v>1852900</v>
      </c>
      <c r="AC49" s="10">
        <v>48.57</v>
      </c>
      <c r="AD49" s="2">
        <f t="shared" si="0"/>
        <v>0.36999999999999744</v>
      </c>
      <c r="AE49" s="138">
        <f t="shared" si="1"/>
        <v>4.7579644187007997E-3</v>
      </c>
    </row>
    <row r="50" spans="1:31" x14ac:dyDescent="0.25">
      <c r="O50" s="83">
        <v>1.01</v>
      </c>
      <c r="P50" s="83">
        <f t="shared" si="42"/>
        <v>46.975099999999998</v>
      </c>
      <c r="Q50" s="2"/>
      <c r="T50" s="93"/>
      <c r="U50" s="88"/>
      <c r="W50" s="133">
        <v>42608</v>
      </c>
      <c r="X50" s="10">
        <v>49.09</v>
      </c>
      <c r="Y50" s="10">
        <v>49.55</v>
      </c>
      <c r="Z50" s="10">
        <v>48.42</v>
      </c>
      <c r="AA50" s="10">
        <v>48.6</v>
      </c>
      <c r="AB50" s="95">
        <v>5348500</v>
      </c>
      <c r="AC50" s="10">
        <v>48.34</v>
      </c>
      <c r="AD50" s="2">
        <f t="shared" si="0"/>
        <v>1.1299999999999955</v>
      </c>
      <c r="AE50" s="138">
        <f t="shared" si="1"/>
        <v>-5.5544126722896214E-3</v>
      </c>
    </row>
    <row r="51" spans="1:31" x14ac:dyDescent="0.25">
      <c r="O51" s="83">
        <v>1</v>
      </c>
      <c r="P51" s="83">
        <f t="shared" si="42"/>
        <v>46.51</v>
      </c>
      <c r="Q51" s="2"/>
      <c r="T51" s="93" t="s">
        <v>105</v>
      </c>
      <c r="U51" s="88" t="s">
        <v>648</v>
      </c>
      <c r="W51" s="133">
        <v>42607</v>
      </c>
      <c r="X51" s="10">
        <v>48.96</v>
      </c>
      <c r="Y51" s="10">
        <v>49.05</v>
      </c>
      <c r="Z51" s="10">
        <v>48.83</v>
      </c>
      <c r="AA51" s="10">
        <v>48.87</v>
      </c>
      <c r="AB51" s="95">
        <v>1807000</v>
      </c>
      <c r="AC51" s="10">
        <v>48.61</v>
      </c>
      <c r="AD51" s="2">
        <f t="shared" si="0"/>
        <v>0.21999999999999886</v>
      </c>
      <c r="AE51" s="138">
        <f t="shared" si="1"/>
        <v>-4.3015157722244846E-3</v>
      </c>
    </row>
    <row r="52" spans="1:31" x14ac:dyDescent="0.25">
      <c r="O52" s="83">
        <v>0.99</v>
      </c>
      <c r="P52" s="83">
        <f t="shared" si="42"/>
        <v>46.044899999999998</v>
      </c>
      <c r="Q52" s="2"/>
      <c r="T52" s="93" t="s">
        <v>106</v>
      </c>
      <c r="U52" s="88" t="s">
        <v>649</v>
      </c>
      <c r="W52" s="133">
        <v>42606</v>
      </c>
      <c r="X52" s="10">
        <v>49.31</v>
      </c>
      <c r="Y52" s="10">
        <v>49.38</v>
      </c>
      <c r="Z52" s="10">
        <v>49.07</v>
      </c>
      <c r="AA52" s="10">
        <v>49.08</v>
      </c>
      <c r="AB52" s="95">
        <v>3346800</v>
      </c>
      <c r="AC52" s="10">
        <v>48.82</v>
      </c>
      <c r="AD52" s="2">
        <f t="shared" si="0"/>
        <v>0.31000000000000227</v>
      </c>
      <c r="AE52" s="138">
        <f t="shared" si="1"/>
        <v>-2.8594771241829964E-3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45.579799999999999</v>
      </c>
      <c r="Q53" s="2"/>
      <c r="T53" s="93" t="s">
        <v>107</v>
      </c>
      <c r="U53" s="90">
        <v>2975519</v>
      </c>
      <c r="W53" s="133">
        <v>42605</v>
      </c>
      <c r="X53" s="10">
        <v>49.34</v>
      </c>
      <c r="Y53" s="10">
        <v>49.49</v>
      </c>
      <c r="Z53" s="10">
        <v>49.22</v>
      </c>
      <c r="AA53" s="10">
        <v>49.22</v>
      </c>
      <c r="AB53" s="95">
        <v>3791900</v>
      </c>
      <c r="AC53" s="10">
        <v>48.96</v>
      </c>
      <c r="AD53" s="2">
        <f t="shared" si="0"/>
        <v>0.27000000000000313</v>
      </c>
      <c r="AE53" s="138">
        <f t="shared" si="1"/>
        <v>4.7198850810590276E-3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45.114699999999999</v>
      </c>
      <c r="T54" s="93" t="s">
        <v>110</v>
      </c>
      <c r="U54" s="90">
        <v>3182830</v>
      </c>
      <c r="W54" s="133">
        <v>42604</v>
      </c>
      <c r="X54" s="10">
        <v>48.74</v>
      </c>
      <c r="Y54" s="10">
        <v>49.08</v>
      </c>
      <c r="Z54" s="10">
        <v>48.69</v>
      </c>
      <c r="AA54" s="10">
        <v>48.99</v>
      </c>
      <c r="AB54" s="95">
        <v>1604600</v>
      </c>
      <c r="AC54" s="10">
        <v>48.73</v>
      </c>
      <c r="AD54" s="2">
        <f t="shared" si="0"/>
        <v>0.39000000000000057</v>
      </c>
      <c r="AE54" s="138">
        <f t="shared" si="1"/>
        <v>8.2152392688428222E-4</v>
      </c>
    </row>
    <row r="55" spans="1:31" x14ac:dyDescent="0.25">
      <c r="A55" s="265" t="s">
        <v>245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269</v>
      </c>
      <c r="M55" s="261"/>
      <c r="O55" s="83">
        <v>0.96</v>
      </c>
      <c r="P55" s="83">
        <f t="shared" si="42"/>
        <v>44.6496</v>
      </c>
      <c r="T55" s="93" t="s">
        <v>235</v>
      </c>
      <c r="U55" s="88">
        <v>17</v>
      </c>
      <c r="W55" s="133">
        <v>42601</v>
      </c>
      <c r="X55" s="10">
        <v>48.79</v>
      </c>
      <c r="Y55" s="10">
        <v>49.01</v>
      </c>
      <c r="Z55" s="10">
        <v>48.69</v>
      </c>
      <c r="AA55" s="10">
        <v>48.95</v>
      </c>
      <c r="AB55" s="95">
        <v>2020100</v>
      </c>
      <c r="AC55" s="10">
        <v>48.69</v>
      </c>
      <c r="AD55" s="2">
        <f t="shared" si="0"/>
        <v>0.32000000000000028</v>
      </c>
      <c r="AE55" s="138">
        <f t="shared" si="1"/>
        <v>-8.5522296884544824E-3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44.184499999999993</v>
      </c>
      <c r="T56" s="93" t="s">
        <v>236</v>
      </c>
      <c r="U56" s="88">
        <v>3.42</v>
      </c>
      <c r="W56" s="133">
        <v>42600</v>
      </c>
      <c r="X56" s="10">
        <v>49.11</v>
      </c>
      <c r="Y56" s="10">
        <v>49.39</v>
      </c>
      <c r="Z56" s="10">
        <v>49.09</v>
      </c>
      <c r="AA56" s="10">
        <v>49.38</v>
      </c>
      <c r="AB56" s="95">
        <v>2618000</v>
      </c>
      <c r="AC56" s="10">
        <v>49.11</v>
      </c>
      <c r="AD56" s="2">
        <f t="shared" si="0"/>
        <v>0.29999999999999716</v>
      </c>
      <c r="AE56" s="138">
        <f t="shared" si="1"/>
        <v>7.7980710034886158E-3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43.719399999999993</v>
      </c>
      <c r="T57" s="93"/>
      <c r="U57" s="88"/>
      <c r="W57" s="133">
        <v>42599</v>
      </c>
      <c r="X57" s="10">
        <v>48.82</v>
      </c>
      <c r="Y57" s="10">
        <v>49.14</v>
      </c>
      <c r="Z57" s="10">
        <v>48.61</v>
      </c>
      <c r="AA57" s="10">
        <v>48.99</v>
      </c>
      <c r="AB57" s="95">
        <v>3134300</v>
      </c>
      <c r="AC57" s="10">
        <v>48.73</v>
      </c>
      <c r="AD57" s="2">
        <f t="shared" si="0"/>
        <v>0.53000000000000114</v>
      </c>
      <c r="AE57" s="138">
        <f t="shared" si="1"/>
        <v>-1.6390083999181515E-3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43.254300000000001</v>
      </c>
      <c r="T58" s="93"/>
      <c r="U58" s="88"/>
      <c r="W58" s="133">
        <v>42598</v>
      </c>
      <c r="X58" s="10">
        <v>49.17</v>
      </c>
      <c r="Y58" s="10">
        <v>49.28</v>
      </c>
      <c r="Z58" s="10">
        <v>49.06</v>
      </c>
      <c r="AA58" s="10">
        <v>49.07</v>
      </c>
      <c r="AB58" s="95">
        <v>4113300</v>
      </c>
      <c r="AC58" s="10">
        <v>48.81</v>
      </c>
      <c r="AD58" s="2">
        <f t="shared" si="0"/>
        <v>0.21999999999999886</v>
      </c>
      <c r="AE58" s="138">
        <f t="shared" si="1"/>
        <v>-4.0958427196391423E-4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42.789200000000001</v>
      </c>
      <c r="W59" s="133">
        <v>42597</v>
      </c>
      <c r="X59" s="10">
        <v>49.09</v>
      </c>
      <c r="Y59" s="10">
        <v>49.2</v>
      </c>
      <c r="Z59" s="10">
        <v>49.05</v>
      </c>
      <c r="AA59" s="10">
        <v>49.09</v>
      </c>
      <c r="AB59" s="95">
        <v>1432600</v>
      </c>
      <c r="AC59" s="10">
        <v>48.83</v>
      </c>
      <c r="AD59" s="2">
        <f t="shared" si="0"/>
        <v>0.15000000000000568</v>
      </c>
      <c r="AE59" s="138">
        <f t="shared" si="1"/>
        <v>3.0813475760065323E-3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42.324100000000001</v>
      </c>
      <c r="W60" s="133">
        <v>42594</v>
      </c>
      <c r="X60" s="10">
        <v>49.17</v>
      </c>
      <c r="Y60" s="10">
        <v>49.17</v>
      </c>
      <c r="Z60" s="10">
        <v>48.88</v>
      </c>
      <c r="AA60" s="10">
        <v>48.94</v>
      </c>
      <c r="AB60" s="95">
        <v>1558400</v>
      </c>
      <c r="AC60" s="10">
        <v>48.68</v>
      </c>
      <c r="AD60" s="2">
        <f t="shared" si="0"/>
        <v>0.28999999999999915</v>
      </c>
      <c r="AE60" s="138">
        <f t="shared" si="1"/>
        <v>-1.2310217480508978E-3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41.859000000000002</v>
      </c>
      <c r="W61" s="133">
        <v>42593</v>
      </c>
      <c r="X61" s="10">
        <v>48.82</v>
      </c>
      <c r="Y61" s="10">
        <v>49.14</v>
      </c>
      <c r="Z61" s="10">
        <v>48.82</v>
      </c>
      <c r="AA61" s="10">
        <v>49</v>
      </c>
      <c r="AB61" s="95">
        <v>2320000</v>
      </c>
      <c r="AC61" s="10">
        <v>48.74</v>
      </c>
      <c r="AD61" s="2">
        <f t="shared" si="0"/>
        <v>0.32000000000000028</v>
      </c>
      <c r="AE61" s="138">
        <f t="shared" si="1"/>
        <v>7.8577336641854068E-3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42592</v>
      </c>
      <c r="X62" s="10">
        <v>48.66</v>
      </c>
      <c r="Y62" s="10">
        <v>48.74</v>
      </c>
      <c r="Z62" s="10">
        <v>48.57</v>
      </c>
      <c r="AA62" s="10">
        <v>48.62</v>
      </c>
      <c r="AB62" s="95">
        <v>2209500</v>
      </c>
      <c r="AC62" s="10">
        <v>48.36</v>
      </c>
      <c r="AD62" s="2">
        <f t="shared" si="0"/>
        <v>0.17000000000000171</v>
      </c>
      <c r="AE62" s="138">
        <f t="shared" si="1"/>
        <v>4.3613707165108817E-3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42591</v>
      </c>
      <c r="X63" s="10">
        <v>48.13</v>
      </c>
      <c r="Y63" s="10">
        <v>48.54</v>
      </c>
      <c r="Z63" s="10">
        <v>48.12</v>
      </c>
      <c r="AA63" s="10">
        <v>48.41</v>
      </c>
      <c r="AB63" s="95">
        <v>2543500</v>
      </c>
      <c r="AC63" s="10">
        <v>48.15</v>
      </c>
      <c r="AD63" s="2">
        <f t="shared" si="0"/>
        <v>0.42000000000000171</v>
      </c>
      <c r="AE63" s="138">
        <f t="shared" si="1"/>
        <v>1.0069225928256653E-2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42590</v>
      </c>
      <c r="X64" s="10">
        <v>47.91</v>
      </c>
      <c r="Y64" s="10">
        <v>47.95</v>
      </c>
      <c r="Z64" s="10">
        <v>47.84</v>
      </c>
      <c r="AA64" s="10">
        <v>47.93</v>
      </c>
      <c r="AB64" s="95">
        <v>1743200</v>
      </c>
      <c r="AC64" s="10">
        <v>47.67</v>
      </c>
      <c r="AD64" s="2">
        <f t="shared" si="0"/>
        <v>0.10999999999999943</v>
      </c>
      <c r="AE64" s="138">
        <f t="shared" si="1"/>
        <v>8.3980684442575004E-4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42587</v>
      </c>
      <c r="X65" s="10">
        <v>47.65</v>
      </c>
      <c r="Y65" s="10">
        <v>47.92</v>
      </c>
      <c r="Z65" s="10">
        <v>47.64</v>
      </c>
      <c r="AA65" s="10">
        <v>47.89</v>
      </c>
      <c r="AB65" s="95">
        <v>2450200</v>
      </c>
      <c r="AC65" s="10">
        <v>47.63</v>
      </c>
      <c r="AD65" s="2">
        <f t="shared" si="0"/>
        <v>0.28000000000000114</v>
      </c>
      <c r="AE65" s="138">
        <f t="shared" si="1"/>
        <v>3.7934668071655242E-3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42586</v>
      </c>
      <c r="X66" s="10">
        <v>47.53</v>
      </c>
      <c r="Y66" s="10">
        <v>47.71</v>
      </c>
      <c r="Z66" s="10">
        <v>47.48</v>
      </c>
      <c r="AA66" s="10">
        <v>47.71</v>
      </c>
      <c r="AB66" s="95">
        <v>8029900</v>
      </c>
      <c r="AC66" s="10">
        <v>47.45</v>
      </c>
      <c r="AD66" s="2">
        <f t="shared" si="0"/>
        <v>0.23000000000000398</v>
      </c>
      <c r="AE66" s="138">
        <f t="shared" si="1"/>
        <v>4.6580563201357172E-3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42585</v>
      </c>
      <c r="X67" s="10">
        <v>47.37</v>
      </c>
      <c r="Y67" s="10">
        <v>47.51</v>
      </c>
      <c r="Z67" s="10">
        <v>47.3</v>
      </c>
      <c r="AA67" s="10">
        <v>47.49</v>
      </c>
      <c r="AB67" s="95">
        <v>4263300</v>
      </c>
      <c r="AC67" s="10">
        <v>47.23</v>
      </c>
      <c r="AD67" s="2">
        <f>Y67-Z67</f>
        <v>0.21000000000000085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42584</v>
      </c>
      <c r="X68" s="10">
        <v>47.79</v>
      </c>
      <c r="Y68" s="10">
        <v>47.87</v>
      </c>
      <c r="Z68" s="10">
        <v>47.54</v>
      </c>
      <c r="AA68" s="10">
        <v>47.73</v>
      </c>
      <c r="AB68" s="95">
        <v>4587800</v>
      </c>
      <c r="AC68" s="10">
        <v>47.47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84" t="s">
        <v>201</v>
      </c>
      <c r="B72" s="485"/>
      <c r="C72" s="486">
        <f>SumByColor($A$19,C55:C70)</f>
        <v>0</v>
      </c>
      <c r="D72" s="486"/>
      <c r="E72" s="486"/>
      <c r="F72" s="487">
        <f>SumByColor($A$19,F55:F70)</f>
        <v>0</v>
      </c>
      <c r="G72" s="486"/>
      <c r="H72" s="486">
        <f>SumByColor($A$19,H55:H70)</f>
        <v>0</v>
      </c>
      <c r="I72" s="486"/>
      <c r="J72" s="486"/>
      <c r="K72" s="487">
        <f>SumByColor($A$19,K55:K70)</f>
        <v>0</v>
      </c>
      <c r="L72" s="486"/>
      <c r="M72" s="487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09" priority="9">
      <formula>F39&gt;0</formula>
    </cfRule>
    <cfRule type="expression" dxfId="508" priority="10">
      <formula>F39&lt;0</formula>
    </cfRule>
  </conditionalFormatting>
  <conditionalFormatting sqref="F25:F38">
    <cfRule type="expression" dxfId="507" priority="7">
      <formula>F25&gt;0</formula>
    </cfRule>
    <cfRule type="expression" dxfId="506" priority="8">
      <formula>F25&lt;0</formula>
    </cfRule>
  </conditionalFormatting>
  <conditionalFormatting sqref="H25:H38">
    <cfRule type="expression" dxfId="505" priority="5">
      <formula>H25&gt;0</formula>
    </cfRule>
    <cfRule type="expression" dxfId="504" priority="6">
      <formula>H25&lt;0</formula>
    </cfRule>
  </conditionalFormatting>
  <conditionalFormatting sqref="Q7">
    <cfRule type="expression" dxfId="503" priority="3">
      <formula>Q7&gt;0</formula>
    </cfRule>
    <cfRule type="expression" dxfId="502" priority="4">
      <formula>Q7&lt;0</formula>
    </cfRule>
  </conditionalFormatting>
  <conditionalFormatting sqref="Q8">
    <cfRule type="expression" dxfId="501" priority="1">
      <formula>Q8&gt;0</formula>
    </cfRule>
    <cfRule type="expression" dxfId="50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301"/>
  <sheetViews>
    <sheetView zoomScaleNormal="100" workbookViewId="0">
      <pane ySplit="1" topLeftCell="A156" activePane="bottomLeft" state="frozen"/>
      <selection activeCell="A2" sqref="A2"/>
      <selection pane="bottomLeft" activeCell="O281" sqref="O281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9.4257812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3.7109375" customWidth="1"/>
    <col min="21" max="21" width="19.2851562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473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473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C157-H157</f>
        <v>2000</v>
      </c>
      <c r="T2" s="478">
        <v>42568</v>
      </c>
      <c r="U2" s="127" t="s">
        <v>276</v>
      </c>
      <c r="V2" s="16"/>
      <c r="W2" s="141">
        <v>42676</v>
      </c>
      <c r="X2" s="142">
        <v>16.95</v>
      </c>
      <c r="Y2" s="142">
        <v>17.02</v>
      </c>
      <c r="Z2" s="10">
        <v>16.5</v>
      </c>
      <c r="AA2" s="10">
        <v>16.68</v>
      </c>
      <c r="AB2" s="95">
        <v>24880200</v>
      </c>
      <c r="AC2" s="10">
        <v>16.68</v>
      </c>
      <c r="AD2">
        <f>Y2-Z2</f>
        <v>0.51999999999999957</v>
      </c>
      <c r="AE2" s="138">
        <f>AC2/AC3-1</f>
        <v>-1.7667844522968212E-2</v>
      </c>
    </row>
    <row r="3" spans="1:42" x14ac:dyDescent="0.25">
      <c r="A3" s="23" t="s">
        <v>71</v>
      </c>
      <c r="B3" s="473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473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542">
        <f>(F157-K157)/Q2</f>
        <v>16.742701500000084</v>
      </c>
      <c r="T3" s="1">
        <v>42621</v>
      </c>
      <c r="U3" s="34" t="s">
        <v>311</v>
      </c>
      <c r="W3" s="133">
        <v>42675</v>
      </c>
      <c r="X3" s="10">
        <v>17.2</v>
      </c>
      <c r="Y3" s="10">
        <v>17.41</v>
      </c>
      <c r="Z3" s="10">
        <v>16.579999999999998</v>
      </c>
      <c r="AA3" s="10">
        <v>16.98</v>
      </c>
      <c r="AB3" s="95">
        <v>27115100</v>
      </c>
      <c r="AC3" s="10">
        <v>16.98</v>
      </c>
      <c r="AD3">
        <f t="shared" ref="AD3:AD66" si="2">Y3-Z3</f>
        <v>0.83000000000000185</v>
      </c>
      <c r="AE3" s="138">
        <f t="shared" ref="AE3:AE66" si="3">AC3/AC4-1</f>
        <v>-1.0489510489510523E-2</v>
      </c>
      <c r="AL3" s="234"/>
      <c r="AO3" s="234"/>
    </row>
    <row r="4" spans="1:42" x14ac:dyDescent="0.25">
      <c r="B4" s="473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473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1">
        <v>16.675000000000001</v>
      </c>
      <c r="R4" s="527">
        <v>-1.8800000000000001E-2</v>
      </c>
      <c r="T4" s="1">
        <v>42627</v>
      </c>
      <c r="U4" s="34" t="s">
        <v>311</v>
      </c>
      <c r="W4" s="133">
        <v>42674</v>
      </c>
      <c r="X4" s="10">
        <v>17.54</v>
      </c>
      <c r="Y4" s="10">
        <v>17.760000000000002</v>
      </c>
      <c r="Z4" s="10">
        <v>17.16</v>
      </c>
      <c r="AA4" s="10">
        <v>17.16</v>
      </c>
      <c r="AB4" s="95">
        <v>23239600</v>
      </c>
      <c r="AC4" s="10">
        <v>17.16</v>
      </c>
      <c r="AD4">
        <f t="shared" si="2"/>
        <v>0.60000000000000142</v>
      </c>
      <c r="AE4" s="138">
        <f t="shared" si="3"/>
        <v>-2.3255813953487747E-3</v>
      </c>
      <c r="AL4" s="234"/>
      <c r="AO4" s="234"/>
    </row>
    <row r="5" spans="1:42" x14ac:dyDescent="0.25">
      <c r="B5" s="473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473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33350</v>
      </c>
      <c r="W5" s="133">
        <v>42671</v>
      </c>
      <c r="X5" s="10">
        <v>17.600000000000001</v>
      </c>
      <c r="Y5" s="10">
        <v>17.670000000000002</v>
      </c>
      <c r="Z5" s="10">
        <v>17.100000000000001</v>
      </c>
      <c r="AA5" s="10">
        <v>17.2</v>
      </c>
      <c r="AB5" s="95">
        <v>20805300</v>
      </c>
      <c r="AC5" s="10">
        <v>17.2</v>
      </c>
      <c r="AD5">
        <f t="shared" si="2"/>
        <v>0.57000000000000028</v>
      </c>
      <c r="AE5" s="138">
        <f t="shared" si="3"/>
        <v>-1.882487164860247E-2</v>
      </c>
      <c r="AL5" s="234"/>
      <c r="AO5" s="234"/>
    </row>
    <row r="6" spans="1:42" x14ac:dyDescent="0.25">
      <c r="B6" s="473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473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33485.403000000166</v>
      </c>
      <c r="W6" s="133">
        <v>42670</v>
      </c>
      <c r="X6" s="10">
        <v>17.82</v>
      </c>
      <c r="Y6" s="10">
        <v>17.899999999999999</v>
      </c>
      <c r="Z6" s="10">
        <v>17.399999999999999</v>
      </c>
      <c r="AA6" s="10">
        <v>17.53</v>
      </c>
      <c r="AB6" s="95">
        <v>21169900</v>
      </c>
      <c r="AC6" s="10">
        <v>17.53</v>
      </c>
      <c r="AD6">
        <f t="shared" si="2"/>
        <v>0.5</v>
      </c>
      <c r="AE6" s="138">
        <f t="shared" si="3"/>
        <v>-6.2358276643990074E-3</v>
      </c>
      <c r="AL6" s="234"/>
      <c r="AO6" s="234"/>
    </row>
    <row r="7" spans="1:42" x14ac:dyDescent="0.25">
      <c r="B7" s="473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473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184</v>
      </c>
      <c r="Q7" s="2">
        <f>Q10+Q8</f>
        <v>-135.40300000016578</v>
      </c>
      <c r="R7" s="30">
        <v>42678</v>
      </c>
      <c r="W7" s="133">
        <v>42669</v>
      </c>
      <c r="X7" s="10">
        <v>17.3</v>
      </c>
      <c r="Y7" s="10">
        <v>17.93</v>
      </c>
      <c r="Z7" s="10">
        <v>17.2</v>
      </c>
      <c r="AA7" s="10">
        <v>17.64</v>
      </c>
      <c r="AB7" s="95">
        <v>23585400</v>
      </c>
      <c r="AC7" s="10">
        <v>17.64</v>
      </c>
      <c r="AD7">
        <f t="shared" si="2"/>
        <v>0.73000000000000043</v>
      </c>
      <c r="AE7" s="138">
        <f t="shared" si="3"/>
        <v>5.7012542759407037E-3</v>
      </c>
    </row>
    <row r="8" spans="1:42" x14ac:dyDescent="0.25">
      <c r="B8" s="473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473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187</v>
      </c>
      <c r="P8" s="34"/>
      <c r="Q8" s="2">
        <f>K157+M157-F157+Q2*Q4</f>
        <v>-135.40300000016578</v>
      </c>
      <c r="W8" s="133">
        <v>42668</v>
      </c>
      <c r="X8" s="10">
        <v>17.100000000000001</v>
      </c>
      <c r="Y8" s="10">
        <v>17.61</v>
      </c>
      <c r="Z8" s="10">
        <v>17.100000000000001</v>
      </c>
      <c r="AA8" s="10">
        <v>17.54</v>
      </c>
      <c r="AB8" s="95">
        <v>27161700</v>
      </c>
      <c r="AC8" s="10">
        <v>17.54</v>
      </c>
      <c r="AD8">
        <f t="shared" si="2"/>
        <v>0.50999999999999801</v>
      </c>
      <c r="AE8" s="138">
        <f t="shared" si="3"/>
        <v>2.8135990621336537E-2</v>
      </c>
      <c r="AL8" s="234"/>
      <c r="AO8" s="234"/>
      <c r="AP8" s="234"/>
    </row>
    <row r="9" spans="1:42" x14ac:dyDescent="0.25">
      <c r="B9" s="473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522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219</v>
      </c>
      <c r="Q9" s="138">
        <f>IF(Q2=0, 0, Q8/Q6)</f>
        <v>-4.0436425388150508E-3</v>
      </c>
      <c r="W9" s="133">
        <v>42667</v>
      </c>
      <c r="X9" s="10">
        <v>17.07</v>
      </c>
      <c r="Y9" s="10">
        <v>17.16</v>
      </c>
      <c r="Z9" s="10">
        <v>16.97</v>
      </c>
      <c r="AA9" s="10">
        <v>17.059999999999999</v>
      </c>
      <c r="AB9" s="95">
        <v>13800900</v>
      </c>
      <c r="AC9" s="10">
        <v>17.059999999999999</v>
      </c>
      <c r="AD9">
        <f t="shared" si="2"/>
        <v>0.19000000000000128</v>
      </c>
      <c r="AE9" s="138">
        <f t="shared" si="3"/>
        <v>7.0838252656433287E-3</v>
      </c>
    </row>
    <row r="10" spans="1:42" x14ac:dyDescent="0.25">
      <c r="B10" s="473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522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218</v>
      </c>
      <c r="P10" s="34"/>
      <c r="Q10" s="2">
        <f>M35</f>
        <v>0</v>
      </c>
      <c r="T10" s="11"/>
      <c r="W10" s="133">
        <v>42664</v>
      </c>
      <c r="X10" s="10">
        <v>17</v>
      </c>
      <c r="Y10" s="10">
        <v>17.07</v>
      </c>
      <c r="Z10" s="10">
        <v>16.8</v>
      </c>
      <c r="AA10" s="10">
        <v>16.940000000000001</v>
      </c>
      <c r="AB10" s="95">
        <v>18675200</v>
      </c>
      <c r="AC10" s="10">
        <v>16.940000000000001</v>
      </c>
      <c r="AD10">
        <f t="shared" si="2"/>
        <v>0.26999999999999957</v>
      </c>
      <c r="AE10" s="138">
        <f t="shared" si="3"/>
        <v>-1.5116279069767313E-2</v>
      </c>
      <c r="AL10" s="234"/>
      <c r="AO10" s="234"/>
    </row>
    <row r="11" spans="1:42" x14ac:dyDescent="0.25">
      <c r="B11" s="473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473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181</v>
      </c>
      <c r="P11" s="34"/>
      <c r="Q11" s="138">
        <f>IF(U58="N/A (N/A)", 0, VALUE(TRIM(CLEAN(MID(U58, FIND("(", U58)+1, 5)))))</f>
        <v>0</v>
      </c>
      <c r="T11" s="1"/>
      <c r="W11" s="133">
        <v>42663</v>
      </c>
      <c r="X11" s="10">
        <v>17.05</v>
      </c>
      <c r="Y11" s="10">
        <v>17.5</v>
      </c>
      <c r="Z11" s="10">
        <v>17.05</v>
      </c>
      <c r="AA11" s="10">
        <v>17.2</v>
      </c>
      <c r="AB11" s="95">
        <v>17081000</v>
      </c>
      <c r="AC11" s="10">
        <v>17.2</v>
      </c>
      <c r="AD11">
        <f t="shared" si="2"/>
        <v>0.44999999999999929</v>
      </c>
      <c r="AE11" s="138">
        <f t="shared" si="3"/>
        <v>-1.1614401858304202E-3</v>
      </c>
    </row>
    <row r="12" spans="1:42" x14ac:dyDescent="0.25">
      <c r="A12" s="2"/>
      <c r="B12" s="473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473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42662</v>
      </c>
      <c r="X12" s="10">
        <v>17</v>
      </c>
      <c r="Y12" s="10">
        <v>17.25</v>
      </c>
      <c r="Z12" s="10">
        <v>16.850000000000001</v>
      </c>
      <c r="AA12" s="10">
        <v>17.22</v>
      </c>
      <c r="AB12" s="95">
        <v>18610700</v>
      </c>
      <c r="AC12" s="10">
        <v>17.22</v>
      </c>
      <c r="AD12">
        <f t="shared" si="2"/>
        <v>0.39999999999999858</v>
      </c>
      <c r="AE12" s="138">
        <f t="shared" si="3"/>
        <v>-1.0913268236645735E-2</v>
      </c>
      <c r="AL12" s="234"/>
      <c r="AO12" s="234"/>
    </row>
    <row r="13" spans="1:42" x14ac:dyDescent="0.25">
      <c r="B13" s="473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589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42661</v>
      </c>
      <c r="X13" s="10">
        <v>17.21</v>
      </c>
      <c r="Y13" s="10">
        <v>17.66</v>
      </c>
      <c r="Z13" s="10">
        <v>17.2</v>
      </c>
      <c r="AA13" s="10">
        <v>17.41</v>
      </c>
      <c r="AB13" s="95">
        <v>20103800</v>
      </c>
      <c r="AC13" s="10">
        <v>17.41</v>
      </c>
      <c r="AD13">
        <f t="shared" si="2"/>
        <v>0.46000000000000085</v>
      </c>
      <c r="AE13" s="138">
        <f t="shared" si="3"/>
        <v>2.4720423778693545E-2</v>
      </c>
    </row>
    <row r="14" spans="1:42" x14ac:dyDescent="0.25">
      <c r="B14" s="473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589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42660</v>
      </c>
      <c r="X14" s="10">
        <v>17.02</v>
      </c>
      <c r="Y14" s="10">
        <v>17.170000000000002</v>
      </c>
      <c r="Z14" s="10">
        <v>16.93</v>
      </c>
      <c r="AA14" s="10">
        <v>16.989999999999998</v>
      </c>
      <c r="AB14" s="95">
        <v>12648100</v>
      </c>
      <c r="AC14" s="10">
        <v>16.989999999999998</v>
      </c>
      <c r="AD14">
        <f t="shared" si="2"/>
        <v>0.24000000000000199</v>
      </c>
      <c r="AE14" s="138">
        <f t="shared" si="3"/>
        <v>-8.172796263864579E-3</v>
      </c>
      <c r="AL14" s="234"/>
      <c r="AO14" s="234"/>
      <c r="AP14" s="234"/>
    </row>
    <row r="15" spans="1:42" x14ac:dyDescent="0.25">
      <c r="B15" s="473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473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42657</v>
      </c>
      <c r="X15" s="10">
        <v>17.03</v>
      </c>
      <c r="Y15" s="10">
        <v>17.41</v>
      </c>
      <c r="Z15" s="10">
        <v>16.989999999999998</v>
      </c>
      <c r="AA15" s="10">
        <v>17.13</v>
      </c>
      <c r="AB15" s="95">
        <v>23469700</v>
      </c>
      <c r="AC15" s="10">
        <v>17.13</v>
      </c>
      <c r="AD15">
        <f t="shared" si="2"/>
        <v>0.42000000000000171</v>
      </c>
      <c r="AE15" s="138">
        <f t="shared" si="3"/>
        <v>1.6617210682492445E-2</v>
      </c>
    </row>
    <row r="16" spans="1:42" x14ac:dyDescent="0.25">
      <c r="B16" s="473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473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42656</v>
      </c>
      <c r="X16" s="10">
        <v>16.559999999999999</v>
      </c>
      <c r="Y16" s="10">
        <v>17</v>
      </c>
      <c r="Z16" s="10">
        <v>16.170000000000002</v>
      </c>
      <c r="AA16" s="10">
        <v>16.850000000000001</v>
      </c>
      <c r="AB16" s="95">
        <v>27390800</v>
      </c>
      <c r="AC16" s="10">
        <v>16.850000000000001</v>
      </c>
      <c r="AD16">
        <f t="shared" si="2"/>
        <v>0.82999999999999829</v>
      </c>
      <c r="AE16" s="138">
        <f t="shared" si="3"/>
        <v>4.1716328963050664E-3</v>
      </c>
    </row>
    <row r="17" spans="2:41" x14ac:dyDescent="0.25">
      <c r="B17" s="473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473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42655</v>
      </c>
      <c r="X17" s="10">
        <v>16.88</v>
      </c>
      <c r="Y17" s="10">
        <v>17.04</v>
      </c>
      <c r="Z17" s="10">
        <v>16.670000000000002</v>
      </c>
      <c r="AA17" s="10">
        <v>16.78</v>
      </c>
      <c r="AB17" s="95">
        <v>17884000</v>
      </c>
      <c r="AC17" s="10">
        <v>16.78</v>
      </c>
      <c r="AD17">
        <f t="shared" si="2"/>
        <v>0.36999999999999744</v>
      </c>
      <c r="AE17" s="138">
        <f t="shared" si="3"/>
        <v>-4.7449584816131596E-3</v>
      </c>
    </row>
    <row r="18" spans="2:41" x14ac:dyDescent="0.25">
      <c r="B18" s="473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473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42654</v>
      </c>
      <c r="X18" s="10">
        <v>17.399999999999999</v>
      </c>
      <c r="Y18" s="10">
        <v>17.47</v>
      </c>
      <c r="Z18" s="10">
        <v>16.53</v>
      </c>
      <c r="AA18" s="10">
        <v>16.86</v>
      </c>
      <c r="AB18" s="95">
        <v>37932400</v>
      </c>
      <c r="AC18" s="10">
        <v>16.86</v>
      </c>
      <c r="AD18">
        <f t="shared" si="2"/>
        <v>0.93999999999999773</v>
      </c>
      <c r="AE18" s="138">
        <f t="shared" si="3"/>
        <v>-3.6571428571428588E-2</v>
      </c>
      <c r="AL18" s="234"/>
      <c r="AO18" s="234"/>
    </row>
    <row r="19" spans="2:41" x14ac:dyDescent="0.25">
      <c r="B19" s="473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473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42653</v>
      </c>
      <c r="X19" s="10">
        <v>17.72</v>
      </c>
      <c r="Y19" s="10">
        <v>17.84</v>
      </c>
      <c r="Z19" s="10">
        <v>17.489999999999998</v>
      </c>
      <c r="AA19" s="10">
        <v>17.5</v>
      </c>
      <c r="AB19" s="95">
        <v>18784100</v>
      </c>
      <c r="AC19" s="10">
        <v>17.5</v>
      </c>
      <c r="AD19">
        <f t="shared" si="2"/>
        <v>0.35000000000000142</v>
      </c>
      <c r="AE19" s="138">
        <f t="shared" si="3"/>
        <v>-6.2464508801817198E-3</v>
      </c>
    </row>
    <row r="20" spans="2:41" x14ac:dyDescent="0.25">
      <c r="B20" s="473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473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42650</v>
      </c>
      <c r="X20" s="10">
        <v>17.72</v>
      </c>
      <c r="Y20" s="10">
        <v>17.8</v>
      </c>
      <c r="Z20" s="10">
        <v>17.3</v>
      </c>
      <c r="AA20" s="10">
        <v>17.61</v>
      </c>
      <c r="AB20" s="95">
        <v>23836400</v>
      </c>
      <c r="AC20" s="10">
        <v>17.61</v>
      </c>
      <c r="AD20">
        <f t="shared" si="2"/>
        <v>0.5</v>
      </c>
      <c r="AE20" s="138">
        <f t="shared" si="3"/>
        <v>-6.7681895093063549E-3</v>
      </c>
    </row>
    <row r="21" spans="2:41" x14ac:dyDescent="0.25">
      <c r="B21" s="473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473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42649</v>
      </c>
      <c r="X21" s="10">
        <v>17.64</v>
      </c>
      <c r="Y21" s="10">
        <v>17.89</v>
      </c>
      <c r="Z21" s="10">
        <v>17.54</v>
      </c>
      <c r="AA21" s="10">
        <v>17.73</v>
      </c>
      <c r="AB21" s="95">
        <v>21575000</v>
      </c>
      <c r="AC21" s="10">
        <v>17.73</v>
      </c>
      <c r="AD21">
        <f t="shared" si="2"/>
        <v>0.35000000000000142</v>
      </c>
      <c r="AE21" s="138">
        <f t="shared" si="3"/>
        <v>1.6949152542373724E-3</v>
      </c>
    </row>
    <row r="22" spans="2:41" x14ac:dyDescent="0.25">
      <c r="B22" s="473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473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42648</v>
      </c>
      <c r="X22" s="10">
        <v>17.55</v>
      </c>
      <c r="Y22" s="10">
        <v>18.329999999999998</v>
      </c>
      <c r="Z22" s="10">
        <v>17.28</v>
      </c>
      <c r="AA22" s="10">
        <v>17.7</v>
      </c>
      <c r="AB22" s="95">
        <v>67695300</v>
      </c>
      <c r="AC22" s="10">
        <v>17.7</v>
      </c>
      <c r="AD22">
        <f t="shared" si="2"/>
        <v>1.0499999999999972</v>
      </c>
      <c r="AE22" s="138">
        <f t="shared" si="3"/>
        <v>-5.6179775280900124E-3</v>
      </c>
    </row>
    <row r="23" spans="2:41" x14ac:dyDescent="0.25">
      <c r="B23" s="473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473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42647</v>
      </c>
      <c r="X23" s="10">
        <v>17.98</v>
      </c>
      <c r="Y23" s="10">
        <v>18.04</v>
      </c>
      <c r="Z23" s="10">
        <v>17.66</v>
      </c>
      <c r="AA23" s="10">
        <v>17.8</v>
      </c>
      <c r="AB23" s="95">
        <v>49720100</v>
      </c>
      <c r="AC23" s="10">
        <v>17.8</v>
      </c>
      <c r="AD23">
        <f t="shared" si="2"/>
        <v>0.37999999999999901</v>
      </c>
      <c r="AE23" s="138">
        <f t="shared" si="3"/>
        <v>3.9481105470953182E-3</v>
      </c>
    </row>
    <row r="24" spans="2:41" x14ac:dyDescent="0.25">
      <c r="B24" s="473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473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42646</v>
      </c>
      <c r="X24" s="10">
        <v>17.989999999999998</v>
      </c>
      <c r="Y24" s="10">
        <v>18.02</v>
      </c>
      <c r="Z24" s="10">
        <v>17.600000000000001</v>
      </c>
      <c r="AA24" s="10">
        <v>17.73</v>
      </c>
      <c r="AB24" s="95">
        <v>26778100</v>
      </c>
      <c r="AC24" s="10">
        <v>17.73</v>
      </c>
      <c r="AD24">
        <f t="shared" si="2"/>
        <v>0.41999999999999815</v>
      </c>
      <c r="AE24" s="138">
        <f t="shared" si="3"/>
        <v>-2.8121484814398467E-3</v>
      </c>
    </row>
    <row r="25" spans="2:41" x14ac:dyDescent="0.25">
      <c r="B25" s="473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473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42643</v>
      </c>
      <c r="X25" s="10">
        <v>17.75</v>
      </c>
      <c r="Y25" s="10">
        <v>18</v>
      </c>
      <c r="Z25" s="10">
        <v>17.579999999999998</v>
      </c>
      <c r="AA25" s="10">
        <v>17.78</v>
      </c>
      <c r="AB25" s="95">
        <v>21291800</v>
      </c>
      <c r="AC25" s="10">
        <v>17.78</v>
      </c>
      <c r="AD25">
        <f t="shared" si="2"/>
        <v>0.42000000000000171</v>
      </c>
      <c r="AE25" s="138">
        <f t="shared" si="3"/>
        <v>1.3683010262257822E-2</v>
      </c>
    </row>
    <row r="26" spans="2:41" x14ac:dyDescent="0.25">
      <c r="B26" s="473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473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42642</v>
      </c>
      <c r="X26" s="10">
        <v>17.45</v>
      </c>
      <c r="Y26" s="10">
        <v>17.77</v>
      </c>
      <c r="Z26" s="10">
        <v>17.350000000000001</v>
      </c>
      <c r="AA26" s="10">
        <v>17.54</v>
      </c>
      <c r="AB26" s="95">
        <v>31732700</v>
      </c>
      <c r="AC26" s="10">
        <v>17.54</v>
      </c>
      <c r="AD26">
        <f t="shared" si="2"/>
        <v>0.41999999999999815</v>
      </c>
      <c r="AE26" s="138">
        <f t="shared" si="3"/>
        <v>5.7339449541282672E-3</v>
      </c>
    </row>
    <row r="27" spans="2:41" x14ac:dyDescent="0.25">
      <c r="B27" s="473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473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42641</v>
      </c>
      <c r="X27" s="10">
        <v>18.16</v>
      </c>
      <c r="Y27" s="10">
        <v>18.16</v>
      </c>
      <c r="Z27" s="10">
        <v>17.149999999999999</v>
      </c>
      <c r="AA27" s="10">
        <v>17.440000000000001</v>
      </c>
      <c r="AB27" s="95">
        <v>42680000</v>
      </c>
      <c r="AC27" s="10">
        <v>17.440000000000001</v>
      </c>
      <c r="AD27">
        <f t="shared" si="2"/>
        <v>1.0100000000000016</v>
      </c>
      <c r="AE27" s="138">
        <f t="shared" si="3"/>
        <v>-3.1111111111111089E-2</v>
      </c>
    </row>
    <row r="28" spans="2:41" x14ac:dyDescent="0.25">
      <c r="B28" s="473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473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42640</v>
      </c>
      <c r="X28" s="10">
        <v>17.53</v>
      </c>
      <c r="Y28" s="10">
        <v>18.079999999999998</v>
      </c>
      <c r="Z28" s="10">
        <v>17.350000000000001</v>
      </c>
      <c r="AA28" s="10">
        <v>18</v>
      </c>
      <c r="AB28" s="95">
        <v>28600500</v>
      </c>
      <c r="AC28" s="10">
        <v>18</v>
      </c>
      <c r="AD28">
        <f t="shared" si="2"/>
        <v>0.72999999999999687</v>
      </c>
      <c r="AE28" s="138">
        <f t="shared" si="3"/>
        <v>3.6866359447004671E-2</v>
      </c>
    </row>
    <row r="29" spans="2:41" x14ac:dyDescent="0.25">
      <c r="B29" s="473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73">
        <v>42418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42639</v>
      </c>
      <c r="X29" s="10">
        <v>17.350000000000001</v>
      </c>
      <c r="Y29" s="10">
        <v>17.600000000000001</v>
      </c>
      <c r="Z29" s="10">
        <v>17.18</v>
      </c>
      <c r="AA29" s="10">
        <v>17.36</v>
      </c>
      <c r="AB29" s="95">
        <v>19524700</v>
      </c>
      <c r="AC29" s="10">
        <v>17.36</v>
      </c>
      <c r="AD29">
        <f t="shared" si="2"/>
        <v>0.42000000000000171</v>
      </c>
      <c r="AE29" s="138">
        <f t="shared" si="3"/>
        <v>-6.8649885583524917E-3</v>
      </c>
    </row>
    <row r="30" spans="2:41" x14ac:dyDescent="0.25">
      <c r="B30" s="473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73">
        <v>42418</v>
      </c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42636</v>
      </c>
      <c r="X30" s="10">
        <v>17.45</v>
      </c>
      <c r="Y30" s="10">
        <v>17.739999999999998</v>
      </c>
      <c r="Z30" s="10">
        <v>17.43</v>
      </c>
      <c r="AA30" s="10">
        <v>17.48</v>
      </c>
      <c r="AB30" s="95">
        <v>17890000</v>
      </c>
      <c r="AC30" s="10">
        <v>17.48</v>
      </c>
      <c r="AD30">
        <f t="shared" si="2"/>
        <v>0.30999999999999872</v>
      </c>
      <c r="AE30" s="138">
        <f t="shared" si="3"/>
        <v>-6.2535531552018186E-3</v>
      </c>
    </row>
    <row r="31" spans="2:41" x14ac:dyDescent="0.25">
      <c r="B31" s="473">
        <v>42236</v>
      </c>
      <c r="C31" s="7">
        <v>200</v>
      </c>
      <c r="D31" s="44">
        <v>16.21</v>
      </c>
      <c r="E31" s="44">
        <v>0</v>
      </c>
      <c r="F31" s="44">
        <f t="shared" si="1"/>
        <v>3242</v>
      </c>
      <c r="G31" s="473">
        <v>42418</v>
      </c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42635</v>
      </c>
      <c r="X31" s="10">
        <v>17.89</v>
      </c>
      <c r="Y31" s="10">
        <v>18.05</v>
      </c>
      <c r="Z31" s="10">
        <v>17.41</v>
      </c>
      <c r="AA31" s="10">
        <v>17.59</v>
      </c>
      <c r="AB31" s="95">
        <v>25134600</v>
      </c>
      <c r="AC31" s="10">
        <v>17.59</v>
      </c>
      <c r="AD31">
        <f t="shared" si="2"/>
        <v>0.64000000000000057</v>
      </c>
      <c r="AE31" s="138">
        <f t="shared" si="3"/>
        <v>-3.9637599093997888E-3</v>
      </c>
    </row>
    <row r="32" spans="2:41" x14ac:dyDescent="0.25">
      <c r="B32" s="473">
        <v>42236</v>
      </c>
      <c r="C32" s="7">
        <v>100</v>
      </c>
      <c r="D32" s="44">
        <v>16.399999999999999</v>
      </c>
      <c r="E32" s="44">
        <v>0</v>
      </c>
      <c r="F32" s="44">
        <f t="shared" si="1"/>
        <v>1639.9999999999998</v>
      </c>
      <c r="G32" s="473">
        <v>42418</v>
      </c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42634</v>
      </c>
      <c r="X32" s="10">
        <v>17.25</v>
      </c>
      <c r="Y32" s="10">
        <v>17.7</v>
      </c>
      <c r="Z32" s="10">
        <v>17.23</v>
      </c>
      <c r="AA32" s="10">
        <v>17.66</v>
      </c>
      <c r="AB32" s="95">
        <v>31232300</v>
      </c>
      <c r="AC32" s="10">
        <v>17.66</v>
      </c>
      <c r="AD32">
        <f t="shared" si="2"/>
        <v>0.46999999999999886</v>
      </c>
      <c r="AE32" s="138">
        <f t="shared" si="3"/>
        <v>4.3735224586288313E-2</v>
      </c>
    </row>
    <row r="33" spans="2:41" x14ac:dyDescent="0.25">
      <c r="B33" s="473">
        <v>42237</v>
      </c>
      <c r="C33" s="7">
        <v>200</v>
      </c>
      <c r="D33" s="44">
        <v>16.32</v>
      </c>
      <c r="E33" s="44">
        <v>0</v>
      </c>
      <c r="F33" s="44">
        <f t="shared" si="1"/>
        <v>3264</v>
      </c>
      <c r="G33" s="473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42633</v>
      </c>
      <c r="X33" s="10">
        <v>17.05</v>
      </c>
      <c r="Y33" s="10">
        <v>17.27</v>
      </c>
      <c r="Z33" s="10">
        <v>16.72</v>
      </c>
      <c r="AA33" s="10">
        <v>16.920000000000002</v>
      </c>
      <c r="AB33" s="95">
        <v>17720400</v>
      </c>
      <c r="AC33" s="10">
        <v>16.920000000000002</v>
      </c>
      <c r="AD33">
        <f t="shared" si="2"/>
        <v>0.55000000000000071</v>
      </c>
      <c r="AE33" s="138">
        <f t="shared" si="3"/>
        <v>-1.7699115044246261E-3</v>
      </c>
    </row>
    <row r="34" spans="2:41" x14ac:dyDescent="0.25">
      <c r="B34" s="473">
        <v>42237</v>
      </c>
      <c r="C34" s="7">
        <v>100</v>
      </c>
      <c r="D34" s="44">
        <v>16.420000000000002</v>
      </c>
      <c r="E34" s="44">
        <v>0</v>
      </c>
      <c r="F34" s="44">
        <f t="shared" si="1"/>
        <v>1642.0000000000002</v>
      </c>
      <c r="G34" s="473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42632</v>
      </c>
      <c r="X34" s="10">
        <v>17.63</v>
      </c>
      <c r="Y34" s="10">
        <v>17.77</v>
      </c>
      <c r="Z34" s="10">
        <v>16.850000000000001</v>
      </c>
      <c r="AA34" s="10">
        <v>16.95</v>
      </c>
      <c r="AB34" s="95">
        <v>23955000</v>
      </c>
      <c r="AC34" s="10">
        <v>16.95</v>
      </c>
      <c r="AD34">
        <f t="shared" si="2"/>
        <v>0.91999999999999815</v>
      </c>
      <c r="AE34" s="138">
        <f t="shared" si="3"/>
        <v>-3.0320366132723153E-2</v>
      </c>
    </row>
    <row r="35" spans="2:41" x14ac:dyDescent="0.25">
      <c r="B35" s="473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473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42629</v>
      </c>
      <c r="X35" s="10">
        <v>18.079999999999998</v>
      </c>
      <c r="Y35" s="10">
        <v>18.079999999999998</v>
      </c>
      <c r="Z35" s="10">
        <v>17.34</v>
      </c>
      <c r="AA35" s="10">
        <v>17.48</v>
      </c>
      <c r="AB35" s="95">
        <v>37359100</v>
      </c>
      <c r="AC35" s="10">
        <v>17.48</v>
      </c>
      <c r="AD35">
        <f t="shared" si="2"/>
        <v>0.73999999999999844</v>
      </c>
      <c r="AE35" s="138">
        <f t="shared" si="3"/>
        <v>1.7191977077364307E-3</v>
      </c>
    </row>
    <row r="36" spans="2:41" x14ac:dyDescent="0.25">
      <c r="B36" s="473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473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42628</v>
      </c>
      <c r="X36" s="10">
        <v>16.899999999999999</v>
      </c>
      <c r="Y36" s="10">
        <v>17.46</v>
      </c>
      <c r="Z36" s="10">
        <v>16.850000000000001</v>
      </c>
      <c r="AA36" s="10">
        <v>17.45</v>
      </c>
      <c r="AB36" s="95">
        <v>24303700</v>
      </c>
      <c r="AC36" s="10">
        <v>17.45</v>
      </c>
      <c r="AD36">
        <f t="shared" si="2"/>
        <v>0.60999999999999943</v>
      </c>
      <c r="AE36" s="138">
        <f t="shared" si="3"/>
        <v>3.0714707619610149E-2</v>
      </c>
      <c r="AL36" s="234"/>
    </row>
    <row r="37" spans="2:41" x14ac:dyDescent="0.25">
      <c r="B37" s="473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589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42627</v>
      </c>
      <c r="X37" s="10">
        <v>16.88</v>
      </c>
      <c r="Y37" s="10">
        <v>17.079999999999998</v>
      </c>
      <c r="Z37" s="10">
        <v>16.649999999999999</v>
      </c>
      <c r="AA37" s="10">
        <v>16.93</v>
      </c>
      <c r="AB37" s="95">
        <v>18591300</v>
      </c>
      <c r="AC37" s="10">
        <v>16.93</v>
      </c>
      <c r="AD37">
        <f t="shared" si="2"/>
        <v>0.42999999999999972</v>
      </c>
      <c r="AE37" s="138">
        <f t="shared" si="3"/>
        <v>1.0746268656716351E-2</v>
      </c>
    </row>
    <row r="38" spans="2:41" x14ac:dyDescent="0.25">
      <c r="B38" s="473">
        <v>42269</v>
      </c>
      <c r="C38" s="7">
        <v>800</v>
      </c>
      <c r="D38" s="44">
        <v>16.399999999999999</v>
      </c>
      <c r="E38" s="44">
        <v>0</v>
      </c>
      <c r="F38" s="44">
        <f t="shared" si="1"/>
        <v>13119.999999999998</v>
      </c>
      <c r="G38" s="589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42626</v>
      </c>
      <c r="X38" s="10">
        <v>16.920000000000002</v>
      </c>
      <c r="Y38" s="10">
        <v>17.149999999999999</v>
      </c>
      <c r="Z38" s="10">
        <v>16.46</v>
      </c>
      <c r="AA38" s="10">
        <v>16.75</v>
      </c>
      <c r="AB38" s="95">
        <v>24227000</v>
      </c>
      <c r="AC38" s="10">
        <v>16.75</v>
      </c>
      <c r="AD38">
        <f t="shared" si="2"/>
        <v>0.68999999999999773</v>
      </c>
      <c r="AE38" s="138">
        <f t="shared" si="3"/>
        <v>-2.3323615160349753E-2</v>
      </c>
    </row>
    <row r="39" spans="2:41" x14ac:dyDescent="0.25">
      <c r="B39" s="473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589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42625</v>
      </c>
      <c r="X39" s="10">
        <v>16.61</v>
      </c>
      <c r="Y39" s="10">
        <v>17.2</v>
      </c>
      <c r="Z39" s="10">
        <v>16.37</v>
      </c>
      <c r="AA39" s="10">
        <v>17.149999999999999</v>
      </c>
      <c r="AB39" s="95">
        <v>28072300</v>
      </c>
      <c r="AC39" s="10">
        <v>17.149999999999999</v>
      </c>
      <c r="AD39">
        <f t="shared" si="2"/>
        <v>0.82999999999999829</v>
      </c>
      <c r="AE39" s="138">
        <f t="shared" si="3"/>
        <v>2.0226055919095876E-2</v>
      </c>
    </row>
    <row r="40" spans="2:41" x14ac:dyDescent="0.25">
      <c r="B40" s="473">
        <v>42270</v>
      </c>
      <c r="C40" s="7">
        <v>1000</v>
      </c>
      <c r="D40" s="44">
        <v>15.6</v>
      </c>
      <c r="E40" s="44">
        <v>0</v>
      </c>
      <c r="F40" s="44">
        <f t="shared" si="1"/>
        <v>15600</v>
      </c>
      <c r="G40" s="473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42622</v>
      </c>
      <c r="X40" s="10">
        <v>17.329999999999998</v>
      </c>
      <c r="Y40" s="10">
        <v>17.739999999999998</v>
      </c>
      <c r="Z40" s="10">
        <v>16.690000000000001</v>
      </c>
      <c r="AA40" s="10">
        <v>16.809999999999999</v>
      </c>
      <c r="AB40" s="95">
        <v>31163600</v>
      </c>
      <c r="AC40" s="10">
        <v>16.809999999999999</v>
      </c>
      <c r="AD40">
        <f t="shared" si="2"/>
        <v>1.0499999999999972</v>
      </c>
      <c r="AE40" s="138">
        <f t="shared" si="3"/>
        <v>-3.667621776504304E-2</v>
      </c>
    </row>
    <row r="41" spans="2:41" x14ac:dyDescent="0.25">
      <c r="B41" s="473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473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42621</v>
      </c>
      <c r="X41" s="10">
        <v>17.18</v>
      </c>
      <c r="Y41" s="10">
        <v>17.86</v>
      </c>
      <c r="Z41" s="10">
        <v>16.88</v>
      </c>
      <c r="AA41" s="10">
        <v>17.45</v>
      </c>
      <c r="AB41" s="95">
        <v>39180600</v>
      </c>
      <c r="AC41" s="10">
        <v>17.45</v>
      </c>
      <c r="AD41">
        <f t="shared" si="2"/>
        <v>0.98000000000000043</v>
      </c>
      <c r="AE41" s="138">
        <f t="shared" si="3"/>
        <v>1.6899766899766799E-2</v>
      </c>
    </row>
    <row r="42" spans="2:41" ht="20.25" thickBot="1" x14ac:dyDescent="0.35">
      <c r="B42" s="473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473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42620</v>
      </c>
      <c r="X42" s="10">
        <v>17.21</v>
      </c>
      <c r="Y42" s="10">
        <v>17.350000000000001</v>
      </c>
      <c r="Z42" s="10">
        <v>17.02</v>
      </c>
      <c r="AA42" s="10">
        <v>17.16</v>
      </c>
      <c r="AB42" s="95">
        <v>22926100</v>
      </c>
      <c r="AC42" s="10">
        <v>17.16</v>
      </c>
      <c r="AD42">
        <f t="shared" si="2"/>
        <v>0.33000000000000185</v>
      </c>
      <c r="AE42" s="138">
        <f t="shared" si="3"/>
        <v>8.818342151675429E-3</v>
      </c>
      <c r="AL42" s="234"/>
      <c r="AO42" s="234"/>
    </row>
    <row r="43" spans="2:41" ht="15.75" thickTop="1" x14ac:dyDescent="0.25">
      <c r="B43" s="473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473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17.53</v>
      </c>
      <c r="W43" s="133">
        <v>42619</v>
      </c>
      <c r="X43" s="10">
        <v>16.8</v>
      </c>
      <c r="Y43" s="10">
        <v>17.079999999999998</v>
      </c>
      <c r="Z43" s="10">
        <v>16.75</v>
      </c>
      <c r="AA43" s="10">
        <v>17.010000000000002</v>
      </c>
      <c r="AB43" s="95">
        <v>22950000</v>
      </c>
      <c r="AC43" s="10">
        <v>17.010000000000002</v>
      </c>
      <c r="AD43">
        <f t="shared" si="2"/>
        <v>0.32999999999999829</v>
      </c>
      <c r="AE43" s="138">
        <f t="shared" si="3"/>
        <v>1.8562874251497163E-2</v>
      </c>
    </row>
    <row r="44" spans="2:41" ht="20.25" thickBot="1" x14ac:dyDescent="0.35">
      <c r="B44" s="473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473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588" t="s">
        <v>78</v>
      </c>
      <c r="P44" s="588"/>
      <c r="T44" s="93" t="s">
        <v>99</v>
      </c>
      <c r="U44" s="130">
        <v>17.600000000000001</v>
      </c>
      <c r="W44" s="133">
        <v>42615</v>
      </c>
      <c r="X44" s="10">
        <v>16.96</v>
      </c>
      <c r="Y44" s="10">
        <v>16.97</v>
      </c>
      <c r="Z44" s="10">
        <v>16.57</v>
      </c>
      <c r="AA44" s="10">
        <v>16.7</v>
      </c>
      <c r="AB44" s="95">
        <v>16091500</v>
      </c>
      <c r="AC44" s="10">
        <v>16.7</v>
      </c>
      <c r="AD44">
        <f t="shared" si="2"/>
        <v>0.39999999999999858</v>
      </c>
      <c r="AE44" s="138">
        <f t="shared" si="3"/>
        <v>3.6057692307691624E-3</v>
      </c>
    </row>
    <row r="45" spans="2:41" ht="15.75" thickTop="1" x14ac:dyDescent="0.25">
      <c r="B45" s="473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473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18.342500000000001</v>
      </c>
      <c r="T45" s="93" t="s">
        <v>100</v>
      </c>
      <c r="U45" s="130" t="s">
        <v>418</v>
      </c>
      <c r="W45" s="133">
        <v>42614</v>
      </c>
      <c r="X45" s="10">
        <v>16.61</v>
      </c>
      <c r="Y45" s="10">
        <v>16.8</v>
      </c>
      <c r="Z45" s="10">
        <v>16.3</v>
      </c>
      <c r="AA45" s="10">
        <v>16.64</v>
      </c>
      <c r="AB45" s="95">
        <v>15692900</v>
      </c>
      <c r="AC45" s="10">
        <v>16.64</v>
      </c>
      <c r="AD45">
        <f t="shared" si="2"/>
        <v>0.5</v>
      </c>
      <c r="AE45" s="138">
        <f t="shared" si="3"/>
        <v>9.0964220739844226E-3</v>
      </c>
    </row>
    <row r="46" spans="2:41" x14ac:dyDescent="0.25">
      <c r="B46" s="473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473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18.175750000000001</v>
      </c>
      <c r="T46" s="93" t="s">
        <v>101</v>
      </c>
      <c r="U46" s="130" t="s">
        <v>419</v>
      </c>
      <c r="W46" s="133">
        <v>42613</v>
      </c>
      <c r="X46" s="10">
        <v>16.7</v>
      </c>
      <c r="Y46" s="10">
        <v>16.739999999999998</v>
      </c>
      <c r="Z46" s="10">
        <v>16.14</v>
      </c>
      <c r="AA46" s="10">
        <v>16.489999999999998</v>
      </c>
      <c r="AB46" s="95">
        <v>21948500</v>
      </c>
      <c r="AC46" s="10">
        <v>16.489999999999998</v>
      </c>
      <c r="AD46">
        <f t="shared" si="2"/>
        <v>0.59999999999999787</v>
      </c>
      <c r="AE46" s="138">
        <f t="shared" si="3"/>
        <v>-1.4934289127837563E-2</v>
      </c>
    </row>
    <row r="47" spans="2:41" x14ac:dyDescent="0.25">
      <c r="B47" s="473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473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18.009</v>
      </c>
      <c r="T47" s="93" t="s">
        <v>102</v>
      </c>
      <c r="U47" s="130">
        <v>20.02</v>
      </c>
      <c r="W47" s="133">
        <v>42612</v>
      </c>
      <c r="X47" s="10">
        <v>17</v>
      </c>
      <c r="Y47" s="10">
        <v>17.010000000000002</v>
      </c>
      <c r="Z47" s="10">
        <v>16.510000000000002</v>
      </c>
      <c r="AA47" s="10">
        <v>16.739999999999998</v>
      </c>
      <c r="AB47" s="95">
        <v>23604400</v>
      </c>
      <c r="AC47" s="10">
        <v>16.739999999999998</v>
      </c>
      <c r="AD47">
        <f t="shared" si="2"/>
        <v>0.5</v>
      </c>
      <c r="AE47" s="138">
        <f t="shared" si="3"/>
        <v>-1.0053222945003104E-2</v>
      </c>
    </row>
    <row r="48" spans="2:41" x14ac:dyDescent="0.25">
      <c r="B48" s="473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473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17.842250000000003</v>
      </c>
      <c r="T48" s="93" t="s">
        <v>103</v>
      </c>
      <c r="U48" s="130">
        <v>1.8865700000000001</v>
      </c>
      <c r="W48" s="133">
        <v>42611</v>
      </c>
      <c r="X48" s="10">
        <v>16.920000000000002</v>
      </c>
      <c r="Y48" s="10">
        <v>17.25</v>
      </c>
      <c r="Z48" s="10">
        <v>16.61</v>
      </c>
      <c r="AA48" s="10">
        <v>16.91</v>
      </c>
      <c r="AB48" s="95">
        <v>34423300</v>
      </c>
      <c r="AC48" s="10">
        <v>16.91</v>
      </c>
      <c r="AD48">
        <f t="shared" si="2"/>
        <v>0.64000000000000057</v>
      </c>
      <c r="AE48" s="138">
        <f t="shared" si="3"/>
        <v>2.4227740763173689E-2</v>
      </c>
    </row>
    <row r="49" spans="2:41" x14ac:dyDescent="0.25">
      <c r="B49" s="473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473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17.675500000000003</v>
      </c>
      <c r="T49" s="93" t="s">
        <v>122</v>
      </c>
      <c r="U49" s="130" t="s">
        <v>363</v>
      </c>
      <c r="W49" s="133">
        <v>42608</v>
      </c>
      <c r="X49" s="10">
        <v>16.34</v>
      </c>
      <c r="Y49" s="10">
        <v>16.809999999999999</v>
      </c>
      <c r="Z49" s="10">
        <v>16.29</v>
      </c>
      <c r="AA49" s="10">
        <v>16.510000000000002</v>
      </c>
      <c r="AB49" s="95">
        <v>24228600</v>
      </c>
      <c r="AC49" s="10">
        <v>16.510000000000002</v>
      </c>
      <c r="AD49">
        <f t="shared" si="2"/>
        <v>0.51999999999999957</v>
      </c>
      <c r="AE49" s="138">
        <f t="shared" si="3"/>
        <v>1.9135802469135932E-2</v>
      </c>
    </row>
    <row r="50" spans="2:41" x14ac:dyDescent="0.25">
      <c r="B50" s="473">
        <v>42311</v>
      </c>
      <c r="C50" s="7">
        <v>200</v>
      </c>
      <c r="D50" s="44">
        <v>16.27</v>
      </c>
      <c r="E50" s="44">
        <v>6.95</v>
      </c>
      <c r="F50" s="44">
        <f t="shared" si="1"/>
        <v>3260.95</v>
      </c>
      <c r="G50" s="473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17.508750000000003</v>
      </c>
      <c r="T50" s="93"/>
      <c r="U50" s="130"/>
      <c r="W50" s="133">
        <v>42607</v>
      </c>
      <c r="X50" s="10">
        <v>15.9</v>
      </c>
      <c r="Y50" s="10">
        <v>16.55</v>
      </c>
      <c r="Z50" s="10">
        <v>15.88</v>
      </c>
      <c r="AA50" s="10">
        <v>16.2</v>
      </c>
      <c r="AB50" s="95">
        <v>34819000</v>
      </c>
      <c r="AC50" s="10">
        <v>16.2</v>
      </c>
      <c r="AD50">
        <f t="shared" si="2"/>
        <v>0.66999999999999993</v>
      </c>
      <c r="AE50" s="138">
        <f t="shared" si="3"/>
        <v>4.4487427466150864E-2</v>
      </c>
      <c r="AL50" s="234"/>
      <c r="AO50" s="234"/>
    </row>
    <row r="51" spans="2:41" x14ac:dyDescent="0.25">
      <c r="B51" s="589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589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17.342000000000002</v>
      </c>
      <c r="T51" s="93" t="s">
        <v>105</v>
      </c>
      <c r="U51" s="130" t="s">
        <v>420</v>
      </c>
      <c r="W51" s="133">
        <v>42606</v>
      </c>
      <c r="X51" s="10">
        <v>16.2</v>
      </c>
      <c r="Y51" s="10">
        <v>16.239999999999998</v>
      </c>
      <c r="Z51" s="10">
        <v>15.38</v>
      </c>
      <c r="AA51" s="10">
        <v>15.51</v>
      </c>
      <c r="AB51" s="95">
        <v>26664300</v>
      </c>
      <c r="AC51" s="10">
        <v>15.51</v>
      </c>
      <c r="AD51">
        <f t="shared" si="2"/>
        <v>0.85999999999999766</v>
      </c>
      <c r="AE51" s="138">
        <f t="shared" si="3"/>
        <v>-4.1409147095179177E-2</v>
      </c>
    </row>
    <row r="52" spans="2:41" x14ac:dyDescent="0.25">
      <c r="B52" s="589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589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17.175250000000002</v>
      </c>
      <c r="T52" s="93" t="s">
        <v>106</v>
      </c>
      <c r="U52" s="130" t="s">
        <v>394</v>
      </c>
      <c r="W52" s="133">
        <v>42605</v>
      </c>
      <c r="X52" s="10">
        <v>16.27</v>
      </c>
      <c r="Y52" s="10">
        <v>16.54</v>
      </c>
      <c r="Z52" s="10">
        <v>16.14</v>
      </c>
      <c r="AA52" s="10">
        <v>16.18</v>
      </c>
      <c r="AB52" s="95">
        <v>23655900</v>
      </c>
      <c r="AC52" s="10">
        <v>16.18</v>
      </c>
      <c r="AD52">
        <f t="shared" si="2"/>
        <v>0.39999999999999858</v>
      </c>
      <c r="AE52" s="138">
        <f t="shared" si="3"/>
        <v>-6.1766522544792757E-4</v>
      </c>
    </row>
    <row r="53" spans="2:41" x14ac:dyDescent="0.25">
      <c r="B53" s="589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473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17.008500000000002</v>
      </c>
      <c r="T53" s="93" t="s">
        <v>107</v>
      </c>
      <c r="U53" s="131">
        <v>20832423</v>
      </c>
      <c r="W53" s="133">
        <v>42604</v>
      </c>
      <c r="X53" s="10">
        <v>16.149999999999999</v>
      </c>
      <c r="Y53" s="10">
        <v>16.43</v>
      </c>
      <c r="Z53" s="10">
        <v>15.91</v>
      </c>
      <c r="AA53" s="10">
        <v>16.190000000000001</v>
      </c>
      <c r="AB53" s="95">
        <v>22135300</v>
      </c>
      <c r="AC53" s="10">
        <v>16.190000000000001</v>
      </c>
      <c r="AD53">
        <f t="shared" si="2"/>
        <v>0.51999999999999957</v>
      </c>
      <c r="AE53" s="138">
        <f t="shared" si="3"/>
        <v>-3.6923076923076614E-3</v>
      </c>
    </row>
    <row r="54" spans="2:41" x14ac:dyDescent="0.25">
      <c r="B54" s="589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473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16.841750000000001</v>
      </c>
      <c r="T54" s="93" t="s">
        <v>110</v>
      </c>
      <c r="U54" s="131">
        <v>24965300</v>
      </c>
      <c r="W54" s="133">
        <v>42601</v>
      </c>
      <c r="X54" s="10">
        <v>16.16</v>
      </c>
      <c r="Y54" s="10">
        <v>16.45</v>
      </c>
      <c r="Z54" s="10">
        <v>16.03</v>
      </c>
      <c r="AA54" s="10">
        <v>16.25</v>
      </c>
      <c r="AB54" s="95">
        <v>35007500</v>
      </c>
      <c r="AC54" s="10">
        <v>16.25</v>
      </c>
      <c r="AD54">
        <f t="shared" si="2"/>
        <v>0.41999999999999815</v>
      </c>
      <c r="AE54" s="138">
        <f t="shared" si="3"/>
        <v>3.0437539632213184E-2</v>
      </c>
      <c r="AL54" s="234"/>
      <c r="AO54" s="234"/>
    </row>
    <row r="55" spans="2:41" x14ac:dyDescent="0.25">
      <c r="B55" s="589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473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16.675000000000001</v>
      </c>
      <c r="T55" s="93" t="s">
        <v>108</v>
      </c>
      <c r="U55" s="130" t="s">
        <v>421</v>
      </c>
      <c r="W55" s="133">
        <v>42600</v>
      </c>
      <c r="X55" s="10">
        <v>15.55</v>
      </c>
      <c r="Y55" s="10">
        <v>15.8</v>
      </c>
      <c r="Z55" s="10">
        <v>15.51</v>
      </c>
      <c r="AA55" s="10">
        <v>15.77</v>
      </c>
      <c r="AB55" s="95">
        <v>16548700</v>
      </c>
      <c r="AC55" s="10">
        <v>15.77</v>
      </c>
      <c r="AD55">
        <f t="shared" si="2"/>
        <v>0.29000000000000092</v>
      </c>
      <c r="AE55" s="138">
        <f t="shared" si="3"/>
        <v>1.6108247422680355E-2</v>
      </c>
    </row>
    <row r="56" spans="2:41" x14ac:dyDescent="0.25">
      <c r="B56" s="589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473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16.50825</v>
      </c>
      <c r="T56" s="93" t="s">
        <v>111</v>
      </c>
      <c r="U56" s="130" t="s">
        <v>129</v>
      </c>
      <c r="W56" s="133">
        <v>42599</v>
      </c>
      <c r="X56" s="10">
        <v>15.53</v>
      </c>
      <c r="Y56" s="10">
        <v>15.76</v>
      </c>
      <c r="Z56" s="10">
        <v>15.46</v>
      </c>
      <c r="AA56" s="10">
        <v>15.52</v>
      </c>
      <c r="AB56" s="95">
        <v>22534600</v>
      </c>
      <c r="AC56" s="10">
        <v>15.52</v>
      </c>
      <c r="AD56">
        <f t="shared" si="2"/>
        <v>0.29999999999999893</v>
      </c>
      <c r="AE56" s="138">
        <f t="shared" si="3"/>
        <v>1.9367333763717909E-3</v>
      </c>
    </row>
    <row r="57" spans="2:41" x14ac:dyDescent="0.25">
      <c r="B57" s="473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473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16.3415</v>
      </c>
      <c r="T57" s="93" t="s">
        <v>112</v>
      </c>
      <c r="U57" s="130">
        <v>-0.27</v>
      </c>
      <c r="W57" s="133">
        <v>42598</v>
      </c>
      <c r="X57" s="10">
        <v>15.58</v>
      </c>
      <c r="Y57" s="10">
        <v>15.59</v>
      </c>
      <c r="Z57" s="10">
        <v>15.23</v>
      </c>
      <c r="AA57" s="10">
        <v>15.49</v>
      </c>
      <c r="AB57" s="95">
        <v>21865500</v>
      </c>
      <c r="AC57" s="10">
        <v>15.49</v>
      </c>
      <c r="AD57">
        <f t="shared" si="2"/>
        <v>0.35999999999999943</v>
      </c>
      <c r="AE57" s="138">
        <f t="shared" si="3"/>
        <v>-2.5756600128782337E-3</v>
      </c>
    </row>
    <row r="58" spans="2:41" x14ac:dyDescent="0.25">
      <c r="B58" s="473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473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16.17475</v>
      </c>
      <c r="T58" s="93" t="s">
        <v>109</v>
      </c>
      <c r="U58" s="130" t="s">
        <v>123</v>
      </c>
      <c r="W58" s="133">
        <v>42597</v>
      </c>
      <c r="X58" s="10">
        <v>15.09</v>
      </c>
      <c r="Y58" s="10">
        <v>15.7</v>
      </c>
      <c r="Z58" s="10">
        <v>15.08</v>
      </c>
      <c r="AA58" s="10">
        <v>15.53</v>
      </c>
      <c r="AB58" s="95">
        <v>29088900</v>
      </c>
      <c r="AC58" s="10">
        <v>15.53</v>
      </c>
      <c r="AD58">
        <f t="shared" si="2"/>
        <v>0.61999999999999922</v>
      </c>
      <c r="AE58" s="138">
        <f t="shared" si="3"/>
        <v>4.018754186202278E-2</v>
      </c>
      <c r="AL58" s="234"/>
      <c r="AO58" s="234"/>
    </row>
    <row r="59" spans="2:41" x14ac:dyDescent="0.25">
      <c r="B59" s="473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473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16.007999999999999</v>
      </c>
      <c r="W59" s="133">
        <v>42594</v>
      </c>
      <c r="X59" s="10">
        <v>14.46</v>
      </c>
      <c r="Y59" s="10">
        <v>14.99</v>
      </c>
      <c r="Z59" s="10">
        <v>14.43</v>
      </c>
      <c r="AA59" s="10">
        <v>14.93</v>
      </c>
      <c r="AB59" s="95">
        <v>24900800</v>
      </c>
      <c r="AC59" s="10">
        <v>14.93</v>
      </c>
      <c r="AD59">
        <f t="shared" si="2"/>
        <v>0.5600000000000005</v>
      </c>
      <c r="AE59" s="138">
        <f t="shared" si="3"/>
        <v>3.4650034650034689E-2</v>
      </c>
    </row>
    <row r="60" spans="2:41" x14ac:dyDescent="0.25">
      <c r="B60" s="473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473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15.84125</v>
      </c>
      <c r="W60" s="133">
        <v>42593</v>
      </c>
      <c r="X60" s="10">
        <v>14.25</v>
      </c>
      <c r="Y60" s="10">
        <v>14.49</v>
      </c>
      <c r="Z60" s="10">
        <v>14.21</v>
      </c>
      <c r="AA60" s="10">
        <v>14.43</v>
      </c>
      <c r="AB60" s="95">
        <v>14441600</v>
      </c>
      <c r="AC60" s="10">
        <v>14.43</v>
      </c>
      <c r="AD60">
        <f t="shared" si="2"/>
        <v>0.27999999999999936</v>
      </c>
      <c r="AE60" s="138">
        <f t="shared" si="3"/>
        <v>1.6197183098591639E-2</v>
      </c>
    </row>
    <row r="61" spans="2:41" x14ac:dyDescent="0.25">
      <c r="B61" s="473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472"/>
      <c r="H61" s="7"/>
      <c r="I61" s="44"/>
      <c r="J61" s="44"/>
      <c r="K61" s="44"/>
      <c r="O61" s="83">
        <v>0.94</v>
      </c>
      <c r="P61" s="83">
        <f t="shared" si="5"/>
        <v>15.6745</v>
      </c>
      <c r="W61" s="133">
        <v>42592</v>
      </c>
      <c r="X61" s="10">
        <v>14.48</v>
      </c>
      <c r="Y61" s="10">
        <v>14.5</v>
      </c>
      <c r="Z61" s="10">
        <v>14.03</v>
      </c>
      <c r="AA61" s="10">
        <v>14.2</v>
      </c>
      <c r="AB61" s="95">
        <v>14987500</v>
      </c>
      <c r="AC61" s="10">
        <v>14.2</v>
      </c>
      <c r="AD61">
        <f t="shared" si="2"/>
        <v>0.47000000000000064</v>
      </c>
      <c r="AE61" s="138">
        <f t="shared" si="3"/>
        <v>-1.9337016574585753E-2</v>
      </c>
    </row>
    <row r="62" spans="2:41" x14ac:dyDescent="0.25">
      <c r="B62" s="473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472"/>
      <c r="H62" s="7"/>
      <c r="I62" s="44"/>
      <c r="J62" s="44"/>
      <c r="K62" s="44"/>
      <c r="O62" s="83">
        <v>0.93</v>
      </c>
      <c r="P62" s="83">
        <f t="shared" si="5"/>
        <v>15.507750000000001</v>
      </c>
      <c r="W62" s="133">
        <v>42591</v>
      </c>
      <c r="X62" s="10">
        <v>14.56</v>
      </c>
      <c r="Y62" s="10">
        <v>14.7</v>
      </c>
      <c r="Z62" s="10">
        <v>14.4</v>
      </c>
      <c r="AA62" s="10">
        <v>14.48</v>
      </c>
      <c r="AB62" s="95">
        <v>12563600</v>
      </c>
      <c r="AC62" s="10">
        <v>14.48</v>
      </c>
      <c r="AD62">
        <f t="shared" si="2"/>
        <v>0.29999999999999893</v>
      </c>
      <c r="AE62" s="138">
        <f t="shared" si="3"/>
        <v>4.1608876560332853E-3</v>
      </c>
    </row>
    <row r="63" spans="2:41" x14ac:dyDescent="0.25">
      <c r="B63" s="473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472"/>
      <c r="H63" s="7"/>
      <c r="I63" s="44"/>
      <c r="J63" s="44"/>
      <c r="K63" s="44"/>
      <c r="O63" s="83">
        <v>0.92</v>
      </c>
      <c r="P63" s="83">
        <f t="shared" si="5"/>
        <v>15.341000000000001</v>
      </c>
      <c r="W63" s="133">
        <v>42590</v>
      </c>
      <c r="X63" s="10">
        <v>14.53</v>
      </c>
      <c r="Y63" s="10">
        <v>14.72</v>
      </c>
      <c r="Z63" s="10">
        <v>14.38</v>
      </c>
      <c r="AA63" s="10">
        <v>14.42</v>
      </c>
      <c r="AB63" s="95">
        <v>16163500</v>
      </c>
      <c r="AC63" s="10">
        <v>14.42</v>
      </c>
      <c r="AD63">
        <f t="shared" si="2"/>
        <v>0.33999999999999986</v>
      </c>
      <c r="AE63" s="138">
        <f t="shared" si="3"/>
        <v>-6.8870523415978102E-3</v>
      </c>
    </row>
    <row r="64" spans="2:41" x14ac:dyDescent="0.25">
      <c r="B64" s="473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472"/>
      <c r="H64" s="7"/>
      <c r="I64" s="44"/>
      <c r="J64" s="44"/>
      <c r="K64" s="44"/>
      <c r="O64" s="83">
        <v>0.91</v>
      </c>
      <c r="P64" s="83">
        <f t="shared" si="5"/>
        <v>15.174250000000001</v>
      </c>
      <c r="W64" s="133">
        <v>42587</v>
      </c>
      <c r="X64" s="10">
        <v>14.22</v>
      </c>
      <c r="Y64" s="10">
        <v>14.78</v>
      </c>
      <c r="Z64" s="10">
        <v>14.2</v>
      </c>
      <c r="AA64" s="10">
        <v>14.52</v>
      </c>
      <c r="AB64" s="95">
        <v>29098400</v>
      </c>
      <c r="AC64" s="10">
        <v>14.52</v>
      </c>
      <c r="AD64">
        <f t="shared" si="2"/>
        <v>0.58000000000000007</v>
      </c>
      <c r="AE64" s="138">
        <f t="shared" si="3"/>
        <v>3.4925160370634423E-2</v>
      </c>
    </row>
    <row r="65" spans="2:31" x14ac:dyDescent="0.25">
      <c r="B65" s="473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472"/>
      <c r="H65" s="7"/>
      <c r="I65" s="44"/>
      <c r="J65" s="44"/>
      <c r="K65" s="44"/>
      <c r="O65" s="83">
        <v>0.9</v>
      </c>
      <c r="P65" s="83">
        <f t="shared" si="5"/>
        <v>15.0075</v>
      </c>
      <c r="W65" s="133">
        <v>42586</v>
      </c>
      <c r="X65" s="10">
        <v>13.61</v>
      </c>
      <c r="Y65" s="10">
        <v>14.2</v>
      </c>
      <c r="Z65" s="10">
        <v>13.6</v>
      </c>
      <c r="AA65" s="10">
        <v>14.03</v>
      </c>
      <c r="AB65" s="95">
        <v>23400100</v>
      </c>
      <c r="AC65" s="10">
        <v>14.03</v>
      </c>
      <c r="AD65">
        <f t="shared" si="2"/>
        <v>0.59999999999999964</v>
      </c>
      <c r="AE65" s="138">
        <f t="shared" si="3"/>
        <v>3.8490007401924542E-2</v>
      </c>
    </row>
    <row r="66" spans="2:31" x14ac:dyDescent="0.25">
      <c r="B66" s="473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472"/>
      <c r="H66" s="7"/>
      <c r="I66" s="44"/>
      <c r="J66" s="44"/>
      <c r="K66" s="44"/>
      <c r="W66" s="133">
        <v>42585</v>
      </c>
      <c r="X66" s="10">
        <v>13.27</v>
      </c>
      <c r="Y66" s="10">
        <v>13.58</v>
      </c>
      <c r="Z66" s="10">
        <v>13.27</v>
      </c>
      <c r="AA66" s="10">
        <v>13.51</v>
      </c>
      <c r="AB66" s="95">
        <v>17316600</v>
      </c>
      <c r="AC66" s="10">
        <v>13.51</v>
      </c>
      <c r="AD66">
        <f t="shared" si="2"/>
        <v>0.3100000000000005</v>
      </c>
      <c r="AE66" s="138">
        <f t="shared" si="3"/>
        <v>8.208955223880654E-3</v>
      </c>
    </row>
    <row r="67" spans="2:31" x14ac:dyDescent="0.25">
      <c r="B67" s="473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472"/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42584</v>
      </c>
      <c r="X67" s="10">
        <v>13.55</v>
      </c>
      <c r="Y67" s="10">
        <v>13.58</v>
      </c>
      <c r="Z67" s="10">
        <v>13.02</v>
      </c>
      <c r="AA67" s="10">
        <v>13.4</v>
      </c>
      <c r="AB67" s="95">
        <v>23707600</v>
      </c>
      <c r="AC67" s="10">
        <v>13.4</v>
      </c>
      <c r="AD67">
        <f>Y67-Z67</f>
        <v>0.5600000000000005</v>
      </c>
      <c r="AE67" s="138" t="e">
        <f>AC67/AC68-1</f>
        <v>#DIV/0!</v>
      </c>
    </row>
    <row r="68" spans="2:31" x14ac:dyDescent="0.25">
      <c r="B68" s="473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472"/>
      <c r="H68" s="7"/>
      <c r="I68" s="44"/>
      <c r="J68" s="44"/>
      <c r="K68" s="44"/>
      <c r="N68" s="4"/>
      <c r="O68" s="434"/>
      <c r="P68" s="4"/>
      <c r="Q68" s="4"/>
      <c r="R68" s="4"/>
      <c r="S68" s="4"/>
      <c r="T68" s="4"/>
      <c r="U68" s="109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473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473"/>
      <c r="H69" s="82"/>
      <c r="I69" s="44"/>
      <c r="J69" s="44"/>
      <c r="K69" s="44"/>
      <c r="N69" s="4"/>
      <c r="O69" s="434"/>
      <c r="P69" s="434"/>
      <c r="Q69" s="434"/>
      <c r="R69" s="434"/>
      <c r="S69" s="434"/>
      <c r="T69" s="434"/>
      <c r="U69" s="435"/>
    </row>
    <row r="70" spans="2:31" x14ac:dyDescent="0.25">
      <c r="B70" s="521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473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521"/>
      <c r="C71" s="7">
        <v>500</v>
      </c>
      <c r="D71" s="44">
        <v>14.33</v>
      </c>
      <c r="E71" s="44">
        <v>0</v>
      </c>
      <c r="F71" s="44">
        <f t="shared" si="8"/>
        <v>7165</v>
      </c>
      <c r="G71" s="473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521"/>
      <c r="C72" s="7">
        <v>440</v>
      </c>
      <c r="D72" s="44">
        <v>14.33</v>
      </c>
      <c r="E72" s="44">
        <v>0</v>
      </c>
      <c r="F72" s="44">
        <f t="shared" si="8"/>
        <v>6305.2</v>
      </c>
      <c r="G72" s="472"/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473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G73" s="472"/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473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72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473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G75" s="472"/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36"/>
    </row>
    <row r="76" spans="2:31" x14ac:dyDescent="0.25">
      <c r="B76" s="473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G76" s="472"/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473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G77" s="472"/>
      <c r="H77" s="7"/>
      <c r="I77" s="44"/>
      <c r="J77" s="44"/>
      <c r="K77" s="44"/>
      <c r="M77" s="2"/>
      <c r="N77" s="4"/>
      <c r="O77" s="434"/>
      <c r="P77" s="4"/>
      <c r="Q77" s="4"/>
      <c r="R77" s="4"/>
      <c r="S77" s="4"/>
      <c r="T77" s="4"/>
      <c r="U77" s="109"/>
    </row>
    <row r="78" spans="2:31" x14ac:dyDescent="0.25">
      <c r="B78" s="521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G78" s="472"/>
      <c r="H78" s="7"/>
      <c r="I78" s="44"/>
      <c r="J78" s="44"/>
      <c r="K78" s="44"/>
      <c r="N78" s="4"/>
      <c r="O78" s="434"/>
      <c r="P78" s="434"/>
      <c r="Q78" s="434"/>
      <c r="R78" s="434"/>
      <c r="S78" s="434"/>
      <c r="T78" s="434"/>
      <c r="U78" s="435"/>
    </row>
    <row r="79" spans="2:31" x14ac:dyDescent="0.25">
      <c r="B79" s="521"/>
      <c r="C79" s="7">
        <v>30</v>
      </c>
      <c r="D79" s="7">
        <v>11.35</v>
      </c>
      <c r="E79" s="44">
        <v>0</v>
      </c>
      <c r="F79" s="44">
        <f t="shared" si="8"/>
        <v>340.5</v>
      </c>
      <c r="G79" s="472"/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521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G80" s="472"/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521"/>
      <c r="C81" s="7">
        <v>500</v>
      </c>
      <c r="D81" s="7">
        <v>10.75</v>
      </c>
      <c r="E81" s="44">
        <v>0</v>
      </c>
      <c r="F81" s="44">
        <f t="shared" si="8"/>
        <v>5375</v>
      </c>
      <c r="G81" s="472"/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36"/>
    </row>
    <row r="82" spans="1:21" x14ac:dyDescent="0.25">
      <c r="B82" s="521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G82" s="472"/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521"/>
      <c r="C83" s="7">
        <v>5</v>
      </c>
      <c r="D83" s="7">
        <v>11.07</v>
      </c>
      <c r="E83" s="44">
        <v>0</v>
      </c>
      <c r="F83" s="44">
        <f t="shared" si="8"/>
        <v>55.35</v>
      </c>
      <c r="G83" s="472"/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473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G84" s="472"/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473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G85" s="472"/>
      <c r="H85" s="7"/>
      <c r="I85" s="44"/>
      <c r="J85" s="44"/>
      <c r="K85" s="44"/>
    </row>
    <row r="86" spans="1:21" x14ac:dyDescent="0.25">
      <c r="B86" s="473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G86" s="472"/>
      <c r="H86" s="7"/>
      <c r="I86" s="44"/>
      <c r="J86" s="44"/>
      <c r="K86" s="44"/>
    </row>
    <row r="87" spans="1:21" x14ac:dyDescent="0.25">
      <c r="B87" s="473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G87" s="472"/>
      <c r="H87" s="7"/>
      <c r="I87" s="44"/>
      <c r="J87" s="44"/>
      <c r="K87" s="44"/>
      <c r="O87" s="1"/>
    </row>
    <row r="88" spans="1:21" x14ac:dyDescent="0.25">
      <c r="B88" s="473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G88" s="472"/>
      <c r="H88" s="7"/>
      <c r="I88" s="44"/>
      <c r="J88" s="44"/>
      <c r="K88" s="44"/>
    </row>
    <row r="89" spans="1:21" x14ac:dyDescent="0.25">
      <c r="B89" s="473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G89" s="472"/>
      <c r="H89" s="7"/>
      <c r="I89" s="44"/>
      <c r="J89" s="44"/>
      <c r="K89" s="44"/>
    </row>
    <row r="90" spans="1:21" x14ac:dyDescent="0.25">
      <c r="B90" s="473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G90" s="472"/>
      <c r="H90" s="7"/>
      <c r="I90" s="44"/>
      <c r="J90" s="44"/>
      <c r="K90" s="44"/>
    </row>
    <row r="91" spans="1:21" x14ac:dyDescent="0.25">
      <c r="B91" s="473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G91" s="472"/>
      <c r="H91" s="7"/>
      <c r="I91" s="44"/>
      <c r="J91" s="44"/>
      <c r="K91" s="44"/>
    </row>
    <row r="92" spans="1:21" x14ac:dyDescent="0.25">
      <c r="A92" s="604" t="s">
        <v>210</v>
      </c>
      <c r="B92" s="473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G92" s="472"/>
      <c r="H92" s="7"/>
      <c r="I92" s="44"/>
      <c r="J92" s="44"/>
      <c r="K92" s="44"/>
    </row>
    <row r="93" spans="1:21" x14ac:dyDescent="0.25">
      <c r="A93" s="604"/>
      <c r="B93" s="473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G93" s="472"/>
      <c r="H93" s="7"/>
      <c r="I93" s="44"/>
      <c r="J93" s="44"/>
      <c r="K93" s="44"/>
    </row>
    <row r="94" spans="1:21" x14ac:dyDescent="0.25">
      <c r="A94" s="604"/>
      <c r="B94" s="473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G94" s="472"/>
      <c r="H94" s="7"/>
      <c r="I94" s="44"/>
      <c r="J94" s="44"/>
      <c r="K94" s="44"/>
    </row>
    <row r="95" spans="1:21" x14ac:dyDescent="0.25">
      <c r="B95" s="473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G95" s="472"/>
      <c r="H95" s="7"/>
      <c r="I95" s="44"/>
      <c r="J95" s="44"/>
      <c r="K95" s="44"/>
    </row>
    <row r="96" spans="1:21" x14ac:dyDescent="0.25">
      <c r="B96" s="473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G96" s="472"/>
      <c r="H96" s="7"/>
      <c r="I96" s="44"/>
      <c r="J96" s="44"/>
      <c r="K96" s="44"/>
    </row>
    <row r="97" spans="2:11" x14ac:dyDescent="0.25">
      <c r="B97" s="473">
        <v>42502</v>
      </c>
      <c r="C97" s="7">
        <v>1000</v>
      </c>
      <c r="D97" s="44">
        <v>9.5</v>
      </c>
      <c r="E97" s="44">
        <v>0</v>
      </c>
      <c r="F97" s="44">
        <f t="shared" ref="F97:F122" si="9">C97*D97+E97</f>
        <v>9500</v>
      </c>
      <c r="G97" s="472"/>
      <c r="H97" s="7"/>
      <c r="I97" s="44"/>
      <c r="J97" s="44"/>
      <c r="K97" s="44"/>
    </row>
    <row r="98" spans="2:11" x14ac:dyDescent="0.25">
      <c r="B98" s="473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G98" s="472"/>
      <c r="H98" s="7"/>
      <c r="I98" s="44"/>
      <c r="J98" s="44"/>
      <c r="K98" s="44"/>
    </row>
    <row r="99" spans="2:11" x14ac:dyDescent="0.25">
      <c r="B99" s="473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G99" s="472"/>
      <c r="H99" s="7"/>
      <c r="I99" s="44"/>
      <c r="J99" s="44"/>
      <c r="K99" s="44"/>
    </row>
    <row r="100" spans="2:11" x14ac:dyDescent="0.25">
      <c r="B100" s="473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G100" s="472"/>
      <c r="H100" s="7"/>
      <c r="I100" s="44"/>
      <c r="J100" s="44"/>
      <c r="K100" s="44"/>
    </row>
    <row r="101" spans="2:11" x14ac:dyDescent="0.25">
      <c r="B101" s="473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G101" s="472"/>
      <c r="H101" s="7"/>
      <c r="I101" s="44"/>
      <c r="J101" s="44"/>
      <c r="K101" s="44"/>
    </row>
    <row r="102" spans="2:11" x14ac:dyDescent="0.25">
      <c r="B102" s="473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G102" s="472"/>
      <c r="H102" s="7"/>
      <c r="I102" s="44"/>
      <c r="J102" s="44"/>
      <c r="K102" s="44"/>
    </row>
    <row r="103" spans="2:11" x14ac:dyDescent="0.25">
      <c r="B103" s="473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G103" s="472"/>
      <c r="H103" s="7"/>
      <c r="I103" s="44"/>
      <c r="J103" s="44"/>
      <c r="K103" s="44"/>
    </row>
    <row r="104" spans="2:11" x14ac:dyDescent="0.25">
      <c r="B104" s="473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473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473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473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473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473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473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473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473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473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473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72"/>
      <c r="H109" s="7"/>
      <c r="I109" s="44"/>
      <c r="J109" s="44"/>
      <c r="K109" s="44"/>
    </row>
    <row r="110" spans="2:11" x14ac:dyDescent="0.25">
      <c r="B110" s="473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73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473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473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473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522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3" x14ac:dyDescent="0.25">
      <c r="B113" s="473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473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3" x14ac:dyDescent="0.25">
      <c r="B114" s="473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473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3" x14ac:dyDescent="0.25">
      <c r="B115" s="473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473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3" x14ac:dyDescent="0.25">
      <c r="B116" s="473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473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3" x14ac:dyDescent="0.25">
      <c r="B117" s="473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473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3" x14ac:dyDescent="0.25">
      <c r="B118" s="473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G118" s="472"/>
      <c r="H118" s="7"/>
      <c r="I118" s="44"/>
      <c r="J118" s="44"/>
      <c r="K118" s="44"/>
    </row>
    <row r="119" spans="1:13" x14ac:dyDescent="0.25">
      <c r="B119" s="473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G119" s="472"/>
      <c r="H119" s="7"/>
      <c r="I119" s="44"/>
      <c r="J119" s="44"/>
      <c r="K119" s="44"/>
    </row>
    <row r="120" spans="1:13" x14ac:dyDescent="0.25">
      <c r="B120" s="473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473">
        <v>42558</v>
      </c>
      <c r="H120" s="82">
        <v>1000</v>
      </c>
      <c r="I120" s="44">
        <v>12.48</v>
      </c>
      <c r="J120" s="44">
        <v>0.27</v>
      </c>
      <c r="K120" s="44">
        <f t="shared" ref="K120:K127" si="11">H120*I120-J120</f>
        <v>12479.73</v>
      </c>
    </row>
    <row r="121" spans="1:13" x14ac:dyDescent="0.25">
      <c r="B121" s="473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473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3" x14ac:dyDescent="0.25">
      <c r="A122" s="1"/>
      <c r="B122" s="473">
        <v>42579</v>
      </c>
      <c r="C122" s="7">
        <v>300</v>
      </c>
      <c r="D122" s="44">
        <v>13.82</v>
      </c>
      <c r="E122" s="44">
        <v>0</v>
      </c>
      <c r="F122" s="44">
        <f t="shared" si="9"/>
        <v>4146</v>
      </c>
      <c r="G122" s="473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3" x14ac:dyDescent="0.25">
      <c r="B123" s="473">
        <v>42579</v>
      </c>
      <c r="C123" s="7">
        <v>300</v>
      </c>
      <c r="D123" s="44">
        <v>13.82</v>
      </c>
      <c r="E123" s="44">
        <v>0</v>
      </c>
      <c r="F123" s="44">
        <f t="shared" ref="F123:F128" si="12">C123*D123+E123</f>
        <v>4146</v>
      </c>
      <c r="G123" s="473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3" x14ac:dyDescent="0.25">
      <c r="B124" s="473">
        <v>42580</v>
      </c>
      <c r="C124" s="7">
        <v>500</v>
      </c>
      <c r="D124" s="44">
        <v>13.62</v>
      </c>
      <c r="E124" s="44">
        <v>0</v>
      </c>
      <c r="F124" s="44">
        <f t="shared" si="12"/>
        <v>6810</v>
      </c>
      <c r="G124" s="473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3" x14ac:dyDescent="0.25">
      <c r="B125" s="473">
        <v>42584</v>
      </c>
      <c r="C125" s="7">
        <v>200</v>
      </c>
      <c r="D125" s="44">
        <v>13.08</v>
      </c>
      <c r="E125" s="44">
        <v>0</v>
      </c>
      <c r="F125" s="44">
        <f t="shared" si="12"/>
        <v>2616</v>
      </c>
      <c r="G125" s="473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26" spans="1:13" x14ac:dyDescent="0.25">
      <c r="B126" s="473">
        <v>42599</v>
      </c>
      <c r="C126" s="7">
        <v>500</v>
      </c>
      <c r="D126" s="44">
        <v>15.6</v>
      </c>
      <c r="E126" s="44">
        <v>0</v>
      </c>
      <c r="F126" s="44">
        <f t="shared" si="12"/>
        <v>7800</v>
      </c>
      <c r="G126" s="473">
        <v>42593</v>
      </c>
      <c r="H126" s="7">
        <v>500</v>
      </c>
      <c r="I126" s="44">
        <v>14.45</v>
      </c>
      <c r="J126" s="44">
        <v>0.16</v>
      </c>
      <c r="K126" s="44">
        <f t="shared" si="11"/>
        <v>7224.84</v>
      </c>
      <c r="M126" s="603" t="s">
        <v>302</v>
      </c>
    </row>
    <row r="127" spans="1:13" x14ac:dyDescent="0.25">
      <c r="B127" s="473">
        <v>42619</v>
      </c>
      <c r="C127" s="7">
        <v>200</v>
      </c>
      <c r="D127" s="44">
        <v>16.850000000000001</v>
      </c>
      <c r="E127" s="44">
        <v>0</v>
      </c>
      <c r="F127" s="44">
        <f t="shared" si="12"/>
        <v>3370.0000000000005</v>
      </c>
      <c r="G127" s="473">
        <v>42594</v>
      </c>
      <c r="H127" s="7">
        <v>500</v>
      </c>
      <c r="I127" s="44">
        <v>14.88</v>
      </c>
      <c r="J127" s="44">
        <v>0.16</v>
      </c>
      <c r="K127" s="44">
        <f t="shared" si="11"/>
        <v>7439.84</v>
      </c>
      <c r="M127" s="603"/>
    </row>
    <row r="128" spans="1:13" x14ac:dyDescent="0.25">
      <c r="B128" s="473">
        <v>42619</v>
      </c>
      <c r="C128" s="4">
        <v>300</v>
      </c>
      <c r="D128" s="3">
        <v>16.850000000000001</v>
      </c>
      <c r="E128" s="3">
        <v>0</v>
      </c>
      <c r="F128" s="3">
        <f t="shared" si="12"/>
        <v>5055</v>
      </c>
      <c r="G128" s="473">
        <v>42594</v>
      </c>
      <c r="H128" s="7">
        <v>500</v>
      </c>
      <c r="I128" s="44">
        <v>14.98</v>
      </c>
      <c r="J128" s="44">
        <v>0.16</v>
      </c>
      <c r="K128" s="44">
        <f t="shared" ref="K128:K134" si="13">H128*I128-J128</f>
        <v>7489.84</v>
      </c>
      <c r="M128" s="603"/>
    </row>
    <row r="129" spans="2:13" x14ac:dyDescent="0.25">
      <c r="B129" s="473">
        <v>42620</v>
      </c>
      <c r="C129" s="7">
        <v>500</v>
      </c>
      <c r="D129" s="44">
        <v>17.12</v>
      </c>
      <c r="E129" s="44">
        <v>0</v>
      </c>
      <c r="F129" s="44">
        <f t="shared" ref="F129:F138" si="14">C129*D129+E129</f>
        <v>8560</v>
      </c>
      <c r="G129" s="473">
        <v>42597</v>
      </c>
      <c r="H129" s="7">
        <v>500</v>
      </c>
      <c r="I129" s="44">
        <v>15.48</v>
      </c>
      <c r="J129" s="44">
        <v>0.17</v>
      </c>
      <c r="K129" s="44">
        <f t="shared" si="13"/>
        <v>7739.83</v>
      </c>
      <c r="M129" s="603"/>
    </row>
    <row r="130" spans="2:13" x14ac:dyDescent="0.25">
      <c r="B130" s="473">
        <v>42622</v>
      </c>
      <c r="C130" s="7">
        <v>500</v>
      </c>
      <c r="D130" s="44">
        <v>17.05</v>
      </c>
      <c r="E130" s="44">
        <v>-2.5</v>
      </c>
      <c r="F130" s="44">
        <f t="shared" si="14"/>
        <v>8522.5</v>
      </c>
      <c r="G130" s="473">
        <v>42599</v>
      </c>
      <c r="H130" s="7">
        <v>500</v>
      </c>
      <c r="I130" s="44">
        <v>15.75</v>
      </c>
      <c r="J130" s="44">
        <v>0.17</v>
      </c>
      <c r="K130" s="44">
        <f t="shared" si="13"/>
        <v>7874.83</v>
      </c>
    </row>
    <row r="131" spans="2:13" x14ac:dyDescent="0.25">
      <c r="B131" s="473">
        <v>42626</v>
      </c>
      <c r="C131" s="4">
        <v>100</v>
      </c>
      <c r="D131" s="3">
        <v>16.48</v>
      </c>
      <c r="E131" s="3">
        <v>0</v>
      </c>
      <c r="F131" s="3">
        <f t="shared" si="14"/>
        <v>1648</v>
      </c>
      <c r="G131" s="473">
        <v>42619</v>
      </c>
      <c r="H131" s="7">
        <v>500</v>
      </c>
      <c r="I131" s="44">
        <v>17.079999999999998</v>
      </c>
      <c r="J131" s="44">
        <v>0.19</v>
      </c>
      <c r="K131" s="44">
        <f t="shared" si="13"/>
        <v>8539.81</v>
      </c>
    </row>
    <row r="132" spans="2:13" x14ac:dyDescent="0.25">
      <c r="B132" s="473">
        <v>42641</v>
      </c>
      <c r="C132" s="7">
        <v>200</v>
      </c>
      <c r="D132" s="44">
        <v>17.260000000000002</v>
      </c>
      <c r="E132" s="44">
        <v>-0.68</v>
      </c>
      <c r="F132" s="44">
        <f t="shared" si="14"/>
        <v>3451.3200000000006</v>
      </c>
      <c r="G132" s="473">
        <v>42620</v>
      </c>
      <c r="H132" s="7">
        <v>500</v>
      </c>
      <c r="I132" s="44">
        <v>17.28</v>
      </c>
      <c r="J132" s="44">
        <v>0.19</v>
      </c>
      <c r="K132" s="44">
        <f t="shared" si="13"/>
        <v>8639.81</v>
      </c>
    </row>
    <row r="133" spans="2:13" x14ac:dyDescent="0.25">
      <c r="B133" s="525">
        <v>42647</v>
      </c>
      <c r="C133" s="7">
        <v>200</v>
      </c>
      <c r="D133" s="44">
        <v>17.079999999999998</v>
      </c>
      <c r="E133" s="44">
        <v>0</v>
      </c>
      <c r="F133" s="44">
        <f t="shared" si="14"/>
        <v>3415.9999999999995</v>
      </c>
      <c r="G133" s="473">
        <v>42621</v>
      </c>
      <c r="H133" s="7">
        <v>500</v>
      </c>
      <c r="I133" s="44">
        <v>17.43</v>
      </c>
      <c r="J133" s="44">
        <v>0.19</v>
      </c>
      <c r="K133" s="44">
        <f t="shared" si="13"/>
        <v>8714.81</v>
      </c>
    </row>
    <row r="134" spans="2:13" x14ac:dyDescent="0.25">
      <c r="B134" s="525">
        <v>42654</v>
      </c>
      <c r="C134" s="4">
        <v>200</v>
      </c>
      <c r="D134" s="3">
        <v>16.68</v>
      </c>
      <c r="E134" s="3">
        <v>0</v>
      </c>
      <c r="F134" s="3">
        <f t="shared" si="14"/>
        <v>3336</v>
      </c>
      <c r="G134" s="473">
        <v>42634</v>
      </c>
      <c r="H134" s="7">
        <v>500</v>
      </c>
      <c r="I134" s="44">
        <v>17.63</v>
      </c>
      <c r="J134" s="44">
        <v>2.69</v>
      </c>
      <c r="K134" s="44">
        <f t="shared" si="13"/>
        <v>8812.31</v>
      </c>
    </row>
    <row r="135" spans="2:13" x14ac:dyDescent="0.25">
      <c r="B135" s="525">
        <v>42670</v>
      </c>
      <c r="C135" s="4">
        <v>800</v>
      </c>
      <c r="D135" s="3">
        <v>17.510000000000002</v>
      </c>
      <c r="E135" s="3">
        <v>0</v>
      </c>
      <c r="F135" s="3">
        <f t="shared" si="14"/>
        <v>14008.000000000002</v>
      </c>
      <c r="G135" s="473">
        <v>42662</v>
      </c>
      <c r="H135" s="82">
        <v>200</v>
      </c>
      <c r="I135" s="44">
        <v>17.239999999999998</v>
      </c>
      <c r="J135" s="44">
        <v>0.08</v>
      </c>
      <c r="K135" s="44">
        <f>H135*I135-J135</f>
        <v>3447.9199999999996</v>
      </c>
    </row>
    <row r="136" spans="2:13" x14ac:dyDescent="0.25">
      <c r="B136" s="525">
        <v>42670</v>
      </c>
      <c r="C136" s="7">
        <v>200</v>
      </c>
      <c r="D136" s="44">
        <v>17.420000000000002</v>
      </c>
      <c r="E136" s="44">
        <v>0</v>
      </c>
      <c r="F136" s="44">
        <f t="shared" si="14"/>
        <v>3484.0000000000005</v>
      </c>
      <c r="G136" s="473">
        <v>42668</v>
      </c>
      <c r="H136" s="7">
        <v>200</v>
      </c>
      <c r="I136" s="44">
        <v>17.55</v>
      </c>
      <c r="J136" s="44">
        <v>0.08</v>
      </c>
      <c r="K136" s="44">
        <f>H136*I136-J136</f>
        <v>3509.92</v>
      </c>
    </row>
    <row r="137" spans="2:13" x14ac:dyDescent="0.25">
      <c r="B137" s="525">
        <v>42671</v>
      </c>
      <c r="C137" s="4">
        <v>400</v>
      </c>
      <c r="D137" s="3">
        <v>17.3</v>
      </c>
      <c r="E137" s="3">
        <v>0</v>
      </c>
      <c r="F137" s="3">
        <f t="shared" si="14"/>
        <v>6920</v>
      </c>
      <c r="G137" s="473">
        <v>42669</v>
      </c>
      <c r="H137" s="7">
        <v>800</v>
      </c>
      <c r="I137" s="44">
        <v>17.760000000000002</v>
      </c>
      <c r="J137" s="44">
        <v>0.31</v>
      </c>
      <c r="K137" s="44">
        <f>H137*I137-J137</f>
        <v>14207.690000000002</v>
      </c>
    </row>
    <row r="138" spans="2:13" x14ac:dyDescent="0.25">
      <c r="B138" s="525">
        <v>42675</v>
      </c>
      <c r="C138" s="7">
        <v>200</v>
      </c>
      <c r="D138" s="44">
        <v>16.89</v>
      </c>
      <c r="E138" s="44">
        <v>0</v>
      </c>
      <c r="F138" s="44">
        <f t="shared" si="14"/>
        <v>3378</v>
      </c>
      <c r="G138" s="473">
        <v>42671</v>
      </c>
      <c r="H138" s="7">
        <v>400</v>
      </c>
      <c r="I138" s="44">
        <v>17.64</v>
      </c>
      <c r="J138" s="44">
        <v>0.15</v>
      </c>
      <c r="K138" s="44">
        <f>H138*I138-J138</f>
        <v>7055.85</v>
      </c>
    </row>
    <row r="139" spans="2:13" x14ac:dyDescent="0.25">
      <c r="G139" s="473">
        <v>42675</v>
      </c>
      <c r="H139" s="7">
        <v>200</v>
      </c>
      <c r="I139" s="44">
        <v>16.989999999999998</v>
      </c>
      <c r="J139" s="44">
        <v>7.0000000000000007E-2</v>
      </c>
      <c r="K139" s="44">
        <f>H139*I139-J139</f>
        <v>3397.9299999999994</v>
      </c>
    </row>
    <row r="157" spans="1:13" x14ac:dyDescent="0.25">
      <c r="A157" s="22" t="s">
        <v>81</v>
      </c>
      <c r="B157" s="12"/>
      <c r="C157" s="12">
        <f>SUM(C2:C156)</f>
        <v>61135</v>
      </c>
      <c r="D157" s="12"/>
      <c r="E157" s="12"/>
      <c r="F157" s="13">
        <f>SUM(F2:F156)</f>
        <v>859785.80300000007</v>
      </c>
      <c r="G157" s="12"/>
      <c r="H157" s="12">
        <f>SUM(H2:H156)</f>
        <v>59135</v>
      </c>
      <c r="I157" s="13"/>
      <c r="J157" s="13"/>
      <c r="K157" s="13">
        <f>SUM(K2:K156)</f>
        <v>826300.39999999991</v>
      </c>
      <c r="L157" s="13"/>
      <c r="M157" s="13">
        <f>SUM(M2:M156)</f>
        <v>0</v>
      </c>
    </row>
    <row r="158" spans="1:13" ht="15.75" thickBot="1" x14ac:dyDescent="0.3">
      <c r="A158" s="359" t="s">
        <v>201</v>
      </c>
      <c r="B158" s="360"/>
      <c r="C158" s="361">
        <f>SumByColor($A$158,C2:C156)</f>
        <v>59335</v>
      </c>
      <c r="D158" s="361"/>
      <c r="E158" s="361"/>
      <c r="F158" s="362">
        <f>SumByColor($A$158,F2:F156)</f>
        <v>828817</v>
      </c>
      <c r="G158" s="361"/>
      <c r="H158" s="361">
        <f>SumByColor($A$158,H2:H156)</f>
        <v>59135</v>
      </c>
      <c r="I158" s="361"/>
      <c r="J158" s="361"/>
      <c r="K158" s="362">
        <f>SumByColor($A$158,K2:K156)</f>
        <v>826314</v>
      </c>
      <c r="L158" s="361"/>
      <c r="M158" s="362">
        <f>SumByColor($A$158,M2:M156)</f>
        <v>0</v>
      </c>
    </row>
    <row r="161" spans="2:10" x14ac:dyDescent="0.25">
      <c r="B161" s="191" t="s">
        <v>114</v>
      </c>
      <c r="C161" s="191" t="s">
        <v>149</v>
      </c>
      <c r="D161" s="192" t="s">
        <v>148</v>
      </c>
      <c r="E161" s="194" t="s">
        <v>150</v>
      </c>
      <c r="F161" s="195" t="s">
        <v>65</v>
      </c>
      <c r="G161" s="229" t="s">
        <v>154</v>
      </c>
      <c r="H161" s="195" t="s">
        <v>88</v>
      </c>
      <c r="I161" s="229" t="s">
        <v>158</v>
      </c>
      <c r="J161" s="229" t="s">
        <v>366</v>
      </c>
    </row>
    <row r="162" spans="2:10" x14ac:dyDescent="0.25">
      <c r="B162" s="193">
        <v>42304</v>
      </c>
      <c r="C162" s="10">
        <v>5100</v>
      </c>
      <c r="D162" s="200">
        <v>17.29</v>
      </c>
      <c r="E162" s="40">
        <v>16.68</v>
      </c>
      <c r="F162" s="40">
        <f t="shared" ref="F162:F199" si="15">-C162*(D162-E162)</f>
        <v>-3110.9999999999973</v>
      </c>
      <c r="G162" s="40">
        <f t="shared" ref="G162:G171" si="16">IF(C162=0, 0,D162*C162)</f>
        <v>88179</v>
      </c>
      <c r="H162" s="232">
        <f t="shared" ref="H162:H176" si="17">IF(C162=0, D162, (E162-D162)/D162)</f>
        <v>-3.5280508964719459E-2</v>
      </c>
      <c r="I162" s="40"/>
      <c r="J162" s="40"/>
    </row>
    <row r="163" spans="2:10" x14ac:dyDescent="0.25">
      <c r="B163" s="193">
        <v>42305</v>
      </c>
      <c r="C163" s="10">
        <v>4900</v>
      </c>
      <c r="D163" s="200">
        <v>17.29</v>
      </c>
      <c r="E163" s="40">
        <v>16.920000000000002</v>
      </c>
      <c r="F163" s="40">
        <f t="shared" si="15"/>
        <v>-1812.9999999999875</v>
      </c>
      <c r="G163" s="40">
        <f t="shared" si="16"/>
        <v>84721</v>
      </c>
      <c r="H163" s="232">
        <f t="shared" si="17"/>
        <v>-2.1399652978600199E-2</v>
      </c>
      <c r="I163" s="40"/>
      <c r="J163" s="40"/>
    </row>
    <row r="164" spans="2:10" x14ac:dyDescent="0.25">
      <c r="B164" s="193">
        <v>42306</v>
      </c>
      <c r="C164" s="10">
        <v>5100</v>
      </c>
      <c r="D164" s="200">
        <v>17.25</v>
      </c>
      <c r="E164" s="40">
        <v>16.21</v>
      </c>
      <c r="F164" s="40">
        <f t="shared" si="15"/>
        <v>-5303.9999999999955</v>
      </c>
      <c r="G164" s="40">
        <f t="shared" si="16"/>
        <v>87975</v>
      </c>
      <c r="H164" s="232">
        <f t="shared" si="17"/>
        <v>-6.0289855072463719E-2</v>
      </c>
      <c r="I164" s="40"/>
      <c r="J164" s="40"/>
    </row>
    <row r="165" spans="2:10" x14ac:dyDescent="0.25">
      <c r="B165" s="193">
        <v>42311</v>
      </c>
      <c r="C165" s="10">
        <v>2710</v>
      </c>
      <c r="D165" s="200">
        <v>16.989999999999998</v>
      </c>
      <c r="E165" s="40">
        <v>17.84</v>
      </c>
      <c r="F165" s="40">
        <f t="shared" si="15"/>
        <v>2303.5000000000036</v>
      </c>
      <c r="G165" s="40">
        <f t="shared" si="16"/>
        <v>46042.899999999994</v>
      </c>
      <c r="H165" s="232">
        <f t="shared" si="17"/>
        <v>5.0029429075927105E-2</v>
      </c>
      <c r="I165" s="40"/>
      <c r="J165" s="40"/>
    </row>
    <row r="166" spans="2:10" x14ac:dyDescent="0.25">
      <c r="B166" s="193">
        <v>42312</v>
      </c>
      <c r="C166" s="10">
        <v>2902</v>
      </c>
      <c r="D166" s="200">
        <v>16.989999999999998</v>
      </c>
      <c r="E166" s="40">
        <v>17.440000000000001</v>
      </c>
      <c r="F166" s="40">
        <f t="shared" si="15"/>
        <v>1305.9000000000083</v>
      </c>
      <c r="G166" s="40">
        <f t="shared" si="16"/>
        <v>49304.979999999996</v>
      </c>
      <c r="H166" s="232">
        <f t="shared" si="17"/>
        <v>2.6486168334314473E-2</v>
      </c>
      <c r="I166" s="40"/>
      <c r="J166" s="40"/>
    </row>
    <row r="167" spans="2:10" x14ac:dyDescent="0.25">
      <c r="B167" s="193">
        <v>42313</v>
      </c>
      <c r="C167" s="10">
        <v>5710</v>
      </c>
      <c r="D167" s="200">
        <v>16.91</v>
      </c>
      <c r="E167" s="40">
        <v>16.510000000000002</v>
      </c>
      <c r="F167" s="40">
        <f t="shared" si="15"/>
        <v>-2283.9999999999918</v>
      </c>
      <c r="G167" s="40">
        <f t="shared" si="16"/>
        <v>96556.1</v>
      </c>
      <c r="H167" s="232">
        <f t="shared" si="17"/>
        <v>-2.3654642223536283E-2</v>
      </c>
      <c r="I167" s="40"/>
      <c r="J167" s="40"/>
    </row>
    <row r="168" spans="2:10" x14ac:dyDescent="0.25">
      <c r="B168" s="193">
        <v>42314</v>
      </c>
      <c r="C168" s="10">
        <v>4710</v>
      </c>
      <c r="D168" s="200">
        <v>16.95</v>
      </c>
      <c r="E168" s="40">
        <v>16.45</v>
      </c>
      <c r="F168" s="40">
        <f t="shared" si="15"/>
        <v>-2355</v>
      </c>
      <c r="G168" s="40">
        <f t="shared" si="16"/>
        <v>79834.5</v>
      </c>
      <c r="H168" s="232">
        <f t="shared" si="17"/>
        <v>-2.9498525073746312E-2</v>
      </c>
      <c r="I168" s="40"/>
      <c r="J168" s="40"/>
    </row>
    <row r="169" spans="2:10" x14ac:dyDescent="0.25">
      <c r="B169" s="193">
        <v>42317</v>
      </c>
      <c r="C169" s="10">
        <v>5060</v>
      </c>
      <c r="D169" s="200">
        <v>16.87</v>
      </c>
      <c r="E169" s="40">
        <v>15.84</v>
      </c>
      <c r="F169" s="40">
        <f t="shared" si="15"/>
        <v>-5211.8000000000056</v>
      </c>
      <c r="G169" s="40">
        <f t="shared" si="16"/>
        <v>85362.200000000012</v>
      </c>
      <c r="H169" s="232">
        <f t="shared" si="17"/>
        <v>-6.1055127445169E-2</v>
      </c>
      <c r="I169" s="40"/>
      <c r="J169" s="40"/>
    </row>
    <row r="170" spans="2:10" x14ac:dyDescent="0.25">
      <c r="B170" s="193">
        <v>42324</v>
      </c>
      <c r="C170" s="10">
        <v>6000</v>
      </c>
      <c r="D170" s="200">
        <v>16.54</v>
      </c>
      <c r="E170" s="40">
        <v>14.89</v>
      </c>
      <c r="F170" s="40">
        <f t="shared" si="15"/>
        <v>-9899.9999999999909</v>
      </c>
      <c r="G170" s="40">
        <f t="shared" si="16"/>
        <v>99240</v>
      </c>
      <c r="H170" s="232">
        <f t="shared" si="17"/>
        <v>-9.9758162031438849E-2</v>
      </c>
      <c r="I170" s="40"/>
      <c r="J170" s="40"/>
    </row>
    <row r="171" spans="2:10" x14ac:dyDescent="0.25">
      <c r="B171" s="193">
        <v>42325</v>
      </c>
      <c r="C171" s="10">
        <v>5060</v>
      </c>
      <c r="D171" s="200">
        <v>16.73</v>
      </c>
      <c r="E171" s="40">
        <v>15.28</v>
      </c>
      <c r="F171" s="40">
        <f t="shared" si="15"/>
        <v>-7337.0000000000055</v>
      </c>
      <c r="G171" s="40">
        <f t="shared" si="16"/>
        <v>84653.8</v>
      </c>
      <c r="H171" s="232">
        <f t="shared" si="17"/>
        <v>-8.6670651524208067E-2</v>
      </c>
      <c r="I171" s="40"/>
      <c r="J171" s="40"/>
    </row>
    <row r="172" spans="2:10" x14ac:dyDescent="0.25">
      <c r="B172" s="193">
        <v>42328</v>
      </c>
      <c r="C172" s="10">
        <v>6000</v>
      </c>
      <c r="D172" s="200">
        <v>16.52</v>
      </c>
      <c r="E172" s="40">
        <v>15.39</v>
      </c>
      <c r="F172" s="40">
        <f t="shared" si="15"/>
        <v>-6779.9999999999936</v>
      </c>
      <c r="G172" s="40">
        <f t="shared" ref="G172:G199" si="18">IF(C172=0, 0,D172*C172)</f>
        <v>99120</v>
      </c>
      <c r="H172" s="232">
        <f t="shared" si="17"/>
        <v>-6.8401937046004779E-2</v>
      </c>
      <c r="I172" s="40"/>
      <c r="J172" s="40"/>
    </row>
    <row r="173" spans="2:10" x14ac:dyDescent="0.25">
      <c r="B173" s="193">
        <v>42331</v>
      </c>
      <c r="C173" s="10">
        <v>5060</v>
      </c>
      <c r="D173" s="200">
        <v>16.68</v>
      </c>
      <c r="E173" s="40">
        <v>15.32</v>
      </c>
      <c r="F173" s="40">
        <f t="shared" si="15"/>
        <v>-6881.5999999999967</v>
      </c>
      <c r="G173" s="40">
        <f t="shared" si="18"/>
        <v>84400.8</v>
      </c>
      <c r="H173" s="232">
        <f t="shared" si="17"/>
        <v>-8.1534772182254162E-2</v>
      </c>
      <c r="I173" s="40"/>
      <c r="J173" s="40"/>
    </row>
    <row r="174" spans="2:10" x14ac:dyDescent="0.25">
      <c r="B174" s="193">
        <v>42338</v>
      </c>
      <c r="C174" s="10">
        <v>4710</v>
      </c>
      <c r="D174" s="200">
        <v>16.73</v>
      </c>
      <c r="E174" s="40">
        <v>15.93</v>
      </c>
      <c r="F174" s="40">
        <f t="shared" si="15"/>
        <v>-3768.0000000000032</v>
      </c>
      <c r="G174" s="40">
        <f t="shared" si="18"/>
        <v>78798.3</v>
      </c>
      <c r="H174" s="232">
        <f t="shared" si="17"/>
        <v>-4.7818290496114808E-2</v>
      </c>
      <c r="I174" s="40"/>
      <c r="J174" s="40"/>
    </row>
    <row r="175" spans="2:10" x14ac:dyDescent="0.25">
      <c r="B175" s="193">
        <v>42340</v>
      </c>
      <c r="C175" s="10">
        <v>5060</v>
      </c>
      <c r="D175" s="200">
        <v>16.670000000000002</v>
      </c>
      <c r="E175" s="40">
        <v>15.82</v>
      </c>
      <c r="F175" s="40">
        <f t="shared" si="15"/>
        <v>-4301.0000000000073</v>
      </c>
      <c r="G175" s="40">
        <f t="shared" si="18"/>
        <v>84350.200000000012</v>
      </c>
      <c r="H175" s="232">
        <f t="shared" si="17"/>
        <v>-5.0989802039592164E-2</v>
      </c>
      <c r="I175" s="40"/>
      <c r="J175" s="40"/>
    </row>
    <row r="176" spans="2:10" x14ac:dyDescent="0.25">
      <c r="B176" s="193">
        <v>42341</v>
      </c>
      <c r="C176" s="10">
        <v>5060</v>
      </c>
      <c r="D176" s="200">
        <v>16.64</v>
      </c>
      <c r="E176" s="40">
        <v>15.61</v>
      </c>
      <c r="F176" s="40">
        <f t="shared" si="15"/>
        <v>-5211.8000000000056</v>
      </c>
      <c r="G176" s="40">
        <f t="shared" si="18"/>
        <v>84198.400000000009</v>
      </c>
      <c r="H176" s="232">
        <f t="shared" si="17"/>
        <v>-6.1899038461538526E-2</v>
      </c>
      <c r="I176" s="40"/>
      <c r="J176" s="40"/>
    </row>
    <row r="177" spans="2:17" x14ac:dyDescent="0.25">
      <c r="B177" s="193">
        <v>42347</v>
      </c>
      <c r="C177" s="10">
        <v>5260</v>
      </c>
      <c r="D177" s="200">
        <v>16.559999999999999</v>
      </c>
      <c r="E177" s="40">
        <v>14.32</v>
      </c>
      <c r="F177" s="40">
        <f t="shared" si="15"/>
        <v>-11782.399999999992</v>
      </c>
      <c r="G177" s="40">
        <f t="shared" si="18"/>
        <v>87105.599999999991</v>
      </c>
      <c r="H177" s="232">
        <f t="shared" ref="H177:H199" si="19">IF(C177=0, D177, (E177-D177)/D177)</f>
        <v>-0.13526570048309169</v>
      </c>
      <c r="I177" s="40"/>
      <c r="J177" s="40"/>
    </row>
    <row r="178" spans="2:17" x14ac:dyDescent="0.25">
      <c r="B178" s="193">
        <v>42348</v>
      </c>
      <c r="C178" s="10">
        <v>5060</v>
      </c>
      <c r="D178" s="200">
        <v>16.63</v>
      </c>
      <c r="E178" s="40">
        <v>14.66</v>
      </c>
      <c r="F178" s="40">
        <f t="shared" si="15"/>
        <v>-9968.1999999999935</v>
      </c>
      <c r="G178" s="40">
        <f t="shared" si="18"/>
        <v>84147.799999999988</v>
      </c>
      <c r="H178" s="232">
        <f t="shared" si="19"/>
        <v>-0.11846061334936855</v>
      </c>
      <c r="I178" s="40"/>
      <c r="J178" s="40"/>
    </row>
    <row r="179" spans="2:17" x14ac:dyDescent="0.25">
      <c r="B179" s="193">
        <v>42349</v>
      </c>
      <c r="C179" s="10">
        <v>5060</v>
      </c>
      <c r="D179" s="200">
        <v>16.62</v>
      </c>
      <c r="E179" s="40">
        <v>14.04</v>
      </c>
      <c r="F179" s="40">
        <f t="shared" si="15"/>
        <v>-13054.80000000001</v>
      </c>
      <c r="G179" s="40">
        <f t="shared" si="18"/>
        <v>84097.200000000012</v>
      </c>
      <c r="H179" s="232">
        <f t="shared" si="19"/>
        <v>-0.15523465703971129</v>
      </c>
      <c r="I179" s="40"/>
      <c r="J179" s="40"/>
    </row>
    <row r="180" spans="2:17" x14ac:dyDescent="0.25">
      <c r="B180" s="193">
        <v>42349</v>
      </c>
      <c r="C180" s="10">
        <v>6000</v>
      </c>
      <c r="D180" s="200">
        <v>16.22</v>
      </c>
      <c r="E180" s="40">
        <v>14.04</v>
      </c>
      <c r="F180" s="40">
        <f t="shared" si="15"/>
        <v>-13079.999999999998</v>
      </c>
      <c r="G180" s="40">
        <f t="shared" si="18"/>
        <v>97320</v>
      </c>
      <c r="H180" s="232">
        <f t="shared" si="19"/>
        <v>-0.13440197287299629</v>
      </c>
      <c r="I180" s="40"/>
      <c r="J180" s="40"/>
    </row>
    <row r="181" spans="2:17" x14ac:dyDescent="0.25">
      <c r="B181" s="193">
        <v>42349</v>
      </c>
      <c r="C181" s="10">
        <v>6200</v>
      </c>
      <c r="D181" s="200">
        <v>16.14</v>
      </c>
      <c r="E181" s="40">
        <v>14.04</v>
      </c>
      <c r="F181" s="40">
        <f t="shared" si="15"/>
        <v>-13020.000000000009</v>
      </c>
      <c r="G181" s="40">
        <f t="shared" si="18"/>
        <v>100068</v>
      </c>
      <c r="H181" s="232">
        <f t="shared" si="19"/>
        <v>-0.13011152416356886</v>
      </c>
      <c r="I181" s="40"/>
      <c r="J181" s="40"/>
    </row>
    <row r="182" spans="2:17" x14ac:dyDescent="0.25">
      <c r="B182" s="193">
        <v>42349</v>
      </c>
      <c r="C182" s="10">
        <v>5721</v>
      </c>
      <c r="D182" s="200">
        <v>16.32</v>
      </c>
      <c r="E182" s="40">
        <v>14.04</v>
      </c>
      <c r="F182" s="40">
        <f t="shared" si="15"/>
        <v>-13043.880000000006</v>
      </c>
      <c r="G182" s="40">
        <f t="shared" si="18"/>
        <v>93366.720000000001</v>
      </c>
      <c r="H182" s="232">
        <f t="shared" si="19"/>
        <v>-0.13970588235294124</v>
      </c>
      <c r="I182" s="40"/>
      <c r="J182" s="40"/>
    </row>
    <row r="183" spans="2:17" x14ac:dyDescent="0.25">
      <c r="B183" s="193">
        <v>42349</v>
      </c>
      <c r="C183" s="10">
        <v>5060</v>
      </c>
      <c r="D183" s="200">
        <v>16.6143</v>
      </c>
      <c r="E183" s="40">
        <v>14.04</v>
      </c>
      <c r="F183" s="40">
        <f t="shared" si="15"/>
        <v>-13025.958000000004</v>
      </c>
      <c r="G183" s="40">
        <f t="shared" si="18"/>
        <v>84068.358000000007</v>
      </c>
      <c r="H183" s="232">
        <f t="shared" si="19"/>
        <v>-0.15494483667683867</v>
      </c>
      <c r="I183" s="40"/>
      <c r="J183" s="40"/>
    </row>
    <row r="184" spans="2:17" x14ac:dyDescent="0.25">
      <c r="B184" s="193">
        <v>42356</v>
      </c>
      <c r="C184" s="10">
        <v>5060</v>
      </c>
      <c r="D184" s="200">
        <v>16.596900000000002</v>
      </c>
      <c r="E184" s="40">
        <v>14.32</v>
      </c>
      <c r="F184" s="40">
        <f t="shared" si="15"/>
        <v>-11521.114000000007</v>
      </c>
      <c r="G184" s="40">
        <f t="shared" si="18"/>
        <v>83980.314000000013</v>
      </c>
      <c r="H184" s="232">
        <f t="shared" si="19"/>
        <v>-0.13718827009863294</v>
      </c>
      <c r="I184" s="40"/>
      <c r="J184" s="40"/>
    </row>
    <row r="185" spans="2:17" x14ac:dyDescent="0.25">
      <c r="B185" s="193">
        <v>42356</v>
      </c>
      <c r="C185" s="10">
        <v>7000</v>
      </c>
      <c r="D185" s="200">
        <v>15.97</v>
      </c>
      <c r="E185" s="40">
        <v>14.34</v>
      </c>
      <c r="F185" s="40">
        <f t="shared" si="15"/>
        <v>-11410.000000000005</v>
      </c>
      <c r="G185" s="40">
        <f t="shared" si="18"/>
        <v>111790</v>
      </c>
      <c r="H185" s="232">
        <f t="shared" si="19"/>
        <v>-0.10206637445209772</v>
      </c>
      <c r="I185" s="40"/>
      <c r="J185" s="40"/>
    </row>
    <row r="186" spans="2:17" x14ac:dyDescent="0.25">
      <c r="B186" s="193">
        <v>42356</v>
      </c>
      <c r="C186" s="10">
        <v>6000</v>
      </c>
      <c r="D186" s="200">
        <v>16.23</v>
      </c>
      <c r="E186" s="40">
        <v>14.36</v>
      </c>
      <c r="F186" s="40">
        <f t="shared" si="15"/>
        <v>-11220.000000000005</v>
      </c>
      <c r="G186" s="40">
        <f t="shared" si="18"/>
        <v>97380</v>
      </c>
      <c r="H186" s="232">
        <f t="shared" si="19"/>
        <v>-0.11521873074553302</v>
      </c>
      <c r="I186" s="40"/>
      <c r="J186" s="40"/>
    </row>
    <row r="187" spans="2:17" x14ac:dyDescent="0.25">
      <c r="B187" s="193">
        <v>42357</v>
      </c>
      <c r="C187" s="10">
        <v>5500</v>
      </c>
      <c r="D187" s="200">
        <v>16.398399999999999</v>
      </c>
      <c r="E187" s="40">
        <v>14.36</v>
      </c>
      <c r="F187" s="40">
        <f t="shared" si="15"/>
        <v>-11211.199999999997</v>
      </c>
      <c r="G187" s="40">
        <f t="shared" si="18"/>
        <v>90191.2</v>
      </c>
      <c r="H187" s="232">
        <f t="shared" si="19"/>
        <v>-0.12430481022538781</v>
      </c>
      <c r="I187" s="40"/>
      <c r="J187" s="40"/>
    </row>
    <row r="188" spans="2:17" x14ac:dyDescent="0.25">
      <c r="B188" s="193">
        <v>42359</v>
      </c>
      <c r="C188" s="10">
        <v>5060</v>
      </c>
      <c r="D188" s="200">
        <v>16.55</v>
      </c>
      <c r="E188" s="40">
        <v>14.64</v>
      </c>
      <c r="F188" s="40">
        <f t="shared" si="15"/>
        <v>-9664.6</v>
      </c>
      <c r="G188" s="40">
        <f t="shared" si="18"/>
        <v>83743</v>
      </c>
      <c r="H188" s="232">
        <f t="shared" si="19"/>
        <v>-0.11540785498489427</v>
      </c>
      <c r="I188" s="40"/>
      <c r="J188" s="40"/>
    </row>
    <row r="189" spans="2:17" x14ac:dyDescent="0.25">
      <c r="B189" s="193">
        <v>42361</v>
      </c>
      <c r="C189" s="10">
        <v>5060</v>
      </c>
      <c r="D189" s="200">
        <v>16.5456</v>
      </c>
      <c r="E189" s="40">
        <v>14.61</v>
      </c>
      <c r="F189" s="40">
        <f t="shared" si="15"/>
        <v>-9794.1360000000041</v>
      </c>
      <c r="G189" s="40">
        <f t="shared" si="18"/>
        <v>83720.736000000004</v>
      </c>
      <c r="H189" s="232">
        <f t="shared" si="19"/>
        <v>-0.11698578474035398</v>
      </c>
      <c r="I189" s="40"/>
      <c r="J189" s="40"/>
    </row>
    <row r="190" spans="2:17" x14ac:dyDescent="0.25">
      <c r="B190" s="193">
        <v>42377</v>
      </c>
      <c r="C190" s="10">
        <v>5260</v>
      </c>
      <c r="D190" s="200">
        <v>16.424099999999999</v>
      </c>
      <c r="E190" s="40">
        <v>13.33</v>
      </c>
      <c r="F190" s="40">
        <f t="shared" si="15"/>
        <v>-16274.965999999995</v>
      </c>
      <c r="G190" s="40">
        <f t="shared" si="18"/>
        <v>86390.766000000003</v>
      </c>
      <c r="H190" s="232">
        <f t="shared" si="19"/>
        <v>-0.18838779598273264</v>
      </c>
      <c r="I190" s="40"/>
      <c r="J190" s="40"/>
    </row>
    <row r="191" spans="2:17" x14ac:dyDescent="0.25">
      <c r="B191" s="193">
        <v>42398</v>
      </c>
      <c r="C191" s="10">
        <v>5000</v>
      </c>
      <c r="D191" s="200">
        <v>16.72</v>
      </c>
      <c r="E191" s="40">
        <v>10.74</v>
      </c>
      <c r="F191" s="40">
        <f t="shared" si="15"/>
        <v>-29899.999999999993</v>
      </c>
      <c r="G191" s="40">
        <f t="shared" si="18"/>
        <v>83600</v>
      </c>
      <c r="H191" s="232">
        <f t="shared" si="19"/>
        <v>-0.35765550239234445</v>
      </c>
      <c r="I191" s="40"/>
      <c r="J191" s="40"/>
      <c r="O191" s="4"/>
      <c r="P191" s="240"/>
      <c r="Q191" s="4"/>
    </row>
    <row r="192" spans="2:17" x14ac:dyDescent="0.25">
      <c r="B192" s="193">
        <v>42401</v>
      </c>
      <c r="C192" s="10">
        <v>5260</v>
      </c>
      <c r="D192" s="200">
        <v>16.419699999999999</v>
      </c>
      <c r="E192" s="40">
        <v>10.96</v>
      </c>
      <c r="F192" s="40">
        <f t="shared" si="15"/>
        <v>-28718.02199999999</v>
      </c>
      <c r="G192" s="40">
        <f t="shared" si="18"/>
        <v>86367.621999999988</v>
      </c>
      <c r="H192" s="232">
        <f t="shared" si="19"/>
        <v>-0.33250912014226802</v>
      </c>
      <c r="I192" s="40"/>
      <c r="J192" s="40"/>
      <c r="O192" s="4"/>
      <c r="P192" s="4"/>
      <c r="Q192" s="4"/>
    </row>
    <row r="193" spans="2:17" x14ac:dyDescent="0.25">
      <c r="B193" s="193">
        <v>42416</v>
      </c>
      <c r="C193" s="10">
        <v>4760</v>
      </c>
      <c r="D193" s="200">
        <v>17.02</v>
      </c>
      <c r="E193" s="40">
        <v>10.65</v>
      </c>
      <c r="F193" s="40">
        <f t="shared" si="15"/>
        <v>-30321.199999999997</v>
      </c>
      <c r="G193" s="40">
        <f t="shared" si="18"/>
        <v>81015.199999999997</v>
      </c>
      <c r="H193" s="232">
        <f t="shared" si="19"/>
        <v>-0.37426556991774379</v>
      </c>
      <c r="I193" s="40"/>
      <c r="J193" s="40"/>
      <c r="O193" s="4"/>
      <c r="P193" s="4"/>
      <c r="Q193" s="4"/>
    </row>
    <row r="194" spans="2:17" x14ac:dyDescent="0.25">
      <c r="B194" s="193">
        <v>42416</v>
      </c>
      <c r="C194" s="10">
        <v>4000</v>
      </c>
      <c r="D194" s="200">
        <v>18.1967</v>
      </c>
      <c r="E194" s="40">
        <v>10.744999999999999</v>
      </c>
      <c r="F194" s="40">
        <f t="shared" si="15"/>
        <v>-29806.800000000003</v>
      </c>
      <c r="G194" s="40">
        <f t="shared" si="18"/>
        <v>72786.8</v>
      </c>
      <c r="H194" s="232">
        <f t="shared" si="19"/>
        <v>-0.40950831744217364</v>
      </c>
      <c r="I194" s="40"/>
      <c r="J194" s="40"/>
    </row>
    <row r="195" spans="2:17" x14ac:dyDescent="0.25">
      <c r="B195" s="193">
        <v>42418</v>
      </c>
      <c r="C195" s="10">
        <v>3600</v>
      </c>
      <c r="D195" s="200">
        <v>18.931999999999999</v>
      </c>
      <c r="E195" s="40">
        <v>10.81</v>
      </c>
      <c r="F195" s="40">
        <f t="shared" si="15"/>
        <v>-29239.199999999993</v>
      </c>
      <c r="G195" s="40">
        <f t="shared" si="18"/>
        <v>68155.199999999997</v>
      </c>
      <c r="H195" s="232">
        <f t="shared" si="19"/>
        <v>-0.42900908514684127</v>
      </c>
      <c r="I195" s="40"/>
      <c r="J195" s="40"/>
    </row>
    <row r="196" spans="2:17" x14ac:dyDescent="0.25">
      <c r="B196" s="193">
        <v>42423</v>
      </c>
      <c r="C196" s="10">
        <v>5260</v>
      </c>
      <c r="D196" s="200">
        <v>16.356200000000001</v>
      </c>
      <c r="E196" s="40">
        <v>10.49</v>
      </c>
      <c r="F196" s="40">
        <f t="shared" si="15"/>
        <v>-30856.212000000007</v>
      </c>
      <c r="G196" s="40">
        <f t="shared" si="18"/>
        <v>86033.612000000008</v>
      </c>
      <c r="H196" s="232">
        <f t="shared" si="19"/>
        <v>-0.35865298785781541</v>
      </c>
      <c r="I196" s="40"/>
      <c r="J196" s="40"/>
    </row>
    <row r="197" spans="2:17" x14ac:dyDescent="0.25">
      <c r="B197" s="193">
        <v>42431</v>
      </c>
      <c r="C197" s="10">
        <v>4760</v>
      </c>
      <c r="D197" s="200">
        <v>16.858899999999998</v>
      </c>
      <c r="E197" s="40">
        <v>11.68</v>
      </c>
      <c r="F197" s="40">
        <f t="shared" si="15"/>
        <v>-24651.563999999995</v>
      </c>
      <c r="G197" s="40">
        <f t="shared" si="18"/>
        <v>80248.363999999987</v>
      </c>
      <c r="H197" s="232">
        <f t="shared" si="19"/>
        <v>-0.30719086061368173</v>
      </c>
      <c r="I197" s="40"/>
      <c r="J197" s="40"/>
    </row>
    <row r="198" spans="2:17" x14ac:dyDescent="0.25">
      <c r="B198" s="193">
        <v>42436</v>
      </c>
      <c r="C198" s="10">
        <v>5290</v>
      </c>
      <c r="D198" s="200">
        <v>16.258900000000001</v>
      </c>
      <c r="E198" s="40">
        <v>11.58</v>
      </c>
      <c r="F198" s="40">
        <f t="shared" si="15"/>
        <v>-24751.381000000001</v>
      </c>
      <c r="G198" s="40">
        <f t="shared" si="18"/>
        <v>86009.581000000006</v>
      </c>
      <c r="H198" s="232">
        <f t="shared" si="19"/>
        <v>-0.28777469570512154</v>
      </c>
      <c r="I198" s="40"/>
      <c r="J198" s="40"/>
    </row>
    <row r="199" spans="2:17" x14ac:dyDescent="0.25">
      <c r="B199" s="193">
        <v>42444</v>
      </c>
      <c r="C199" s="10">
        <v>5290</v>
      </c>
      <c r="D199" s="200">
        <v>16.259</v>
      </c>
      <c r="E199" s="40">
        <v>10.85</v>
      </c>
      <c r="F199" s="40">
        <f t="shared" si="15"/>
        <v>-28613.610000000004</v>
      </c>
      <c r="G199" s="40">
        <f t="shared" si="18"/>
        <v>86010.11</v>
      </c>
      <c r="H199" s="232">
        <f t="shared" si="19"/>
        <v>-0.33267728642597949</v>
      </c>
      <c r="I199" s="40"/>
      <c r="J199" s="40"/>
    </row>
    <row r="200" spans="2:17" x14ac:dyDescent="0.25">
      <c r="B200" s="193">
        <v>42446</v>
      </c>
      <c r="C200" s="10">
        <v>5295</v>
      </c>
      <c r="D200" s="200">
        <v>16.2348</v>
      </c>
      <c r="E200" s="40">
        <v>10.87</v>
      </c>
      <c r="F200" s="40">
        <f t="shared" ref="F200:F238" si="20">-C200*(D200-E200)</f>
        <v>-28406.616000000002</v>
      </c>
      <c r="G200" s="40">
        <f t="shared" ref="G200:G238" si="21">IF(C200=0, 0,D200*C200)</f>
        <v>85963.266000000003</v>
      </c>
      <c r="H200" s="232">
        <f t="shared" ref="H200:H238" si="22">IF(C200=0, D200, (E200-D200)/D200)</f>
        <v>-0.33045063690344201</v>
      </c>
      <c r="I200" s="40"/>
      <c r="J200" s="40"/>
    </row>
    <row r="201" spans="2:17" x14ac:dyDescent="0.25">
      <c r="B201" s="193">
        <v>42447</v>
      </c>
      <c r="C201" s="10">
        <v>5300</v>
      </c>
      <c r="D201" s="200">
        <v>16.211200000000002</v>
      </c>
      <c r="E201" s="40">
        <v>11.07</v>
      </c>
      <c r="F201" s="40">
        <f t="shared" si="20"/>
        <v>-27248.360000000008</v>
      </c>
      <c r="G201" s="40">
        <f t="shared" si="21"/>
        <v>85919.360000000015</v>
      </c>
      <c r="H201" s="232">
        <f t="shared" si="22"/>
        <v>-0.31713876825898152</v>
      </c>
      <c r="I201" s="40"/>
      <c r="J201" s="40"/>
    </row>
    <row r="202" spans="2:17" x14ac:dyDescent="0.25">
      <c r="B202" s="193">
        <v>42447</v>
      </c>
      <c r="C202" s="10">
        <v>5155</v>
      </c>
      <c r="D202" s="200">
        <v>16.352699999999999</v>
      </c>
      <c r="E202" s="40">
        <v>11.14</v>
      </c>
      <c r="F202" s="40">
        <f t="shared" si="20"/>
        <v>-26871.468499999992</v>
      </c>
      <c r="G202" s="40">
        <f t="shared" si="21"/>
        <v>84298.1685</v>
      </c>
      <c r="H202" s="232">
        <f t="shared" si="22"/>
        <v>-0.31876693145474438</v>
      </c>
      <c r="I202" s="40"/>
      <c r="J202" s="40"/>
    </row>
    <row r="203" spans="2:17" x14ac:dyDescent="0.25">
      <c r="B203" s="193">
        <v>42450</v>
      </c>
      <c r="C203" s="10">
        <v>3955</v>
      </c>
      <c r="D203" s="200">
        <v>17.7959</v>
      </c>
      <c r="E203" s="40">
        <v>11.54</v>
      </c>
      <c r="F203" s="40">
        <f t="shared" si="20"/>
        <v>-24742.084500000001</v>
      </c>
      <c r="G203" s="40">
        <f t="shared" si="21"/>
        <v>70382.784499999994</v>
      </c>
      <c r="H203" s="232">
        <f t="shared" si="22"/>
        <v>-0.3515360279614968</v>
      </c>
      <c r="I203" s="40"/>
      <c r="J203" s="40"/>
    </row>
    <row r="204" spans="2:17" x14ac:dyDescent="0.25">
      <c r="B204" s="193">
        <v>42451</v>
      </c>
      <c r="C204" s="10">
        <v>5260</v>
      </c>
      <c r="D204" s="200">
        <v>16.2089</v>
      </c>
      <c r="E204" s="40">
        <v>11.44</v>
      </c>
      <c r="F204" s="40">
        <f t="shared" si="20"/>
        <v>-25084.414000000001</v>
      </c>
      <c r="G204" s="40">
        <f t="shared" si="21"/>
        <v>85258.813999999998</v>
      </c>
      <c r="H204" s="232">
        <f t="shared" si="22"/>
        <v>-0.29421490662537253</v>
      </c>
      <c r="I204" s="357"/>
      <c r="J204" s="357"/>
    </row>
    <row r="205" spans="2:17" x14ac:dyDescent="0.25">
      <c r="B205" s="193">
        <v>42451</v>
      </c>
      <c r="C205" s="10">
        <v>5360</v>
      </c>
      <c r="D205" s="200">
        <v>16.1083</v>
      </c>
      <c r="E205" s="40">
        <v>10.65</v>
      </c>
      <c r="F205" s="40">
        <f t="shared" si="20"/>
        <v>-29256.487999999998</v>
      </c>
      <c r="G205" s="40">
        <f t="shared" si="21"/>
        <v>86340.487999999998</v>
      </c>
      <c r="H205" s="232">
        <f t="shared" si="22"/>
        <v>-0.33885015799308427</v>
      </c>
      <c r="I205" s="357"/>
      <c r="J205" s="357"/>
    </row>
    <row r="206" spans="2:17" x14ac:dyDescent="0.25">
      <c r="B206" s="193">
        <v>42461</v>
      </c>
      <c r="C206" s="10">
        <v>5260</v>
      </c>
      <c r="D206" s="200">
        <v>16.207000000000001</v>
      </c>
      <c r="E206" s="40">
        <v>10.92</v>
      </c>
      <c r="F206" s="40">
        <f t="shared" si="20"/>
        <v>-27809.620000000003</v>
      </c>
      <c r="G206" s="40">
        <f t="shared" si="21"/>
        <v>85248.82</v>
      </c>
      <c r="H206" s="232">
        <f t="shared" si="22"/>
        <v>-0.32621706669957429</v>
      </c>
      <c r="I206" s="40"/>
      <c r="J206" s="40"/>
    </row>
    <row r="207" spans="2:17" x14ac:dyDescent="0.25">
      <c r="B207" s="193">
        <v>42465</v>
      </c>
      <c r="C207" s="10">
        <v>5260</v>
      </c>
      <c r="D207" s="200">
        <v>16.207000000000001</v>
      </c>
      <c r="E207" s="40">
        <v>10.4</v>
      </c>
      <c r="F207" s="40">
        <f t="shared" si="20"/>
        <v>-30544.820000000003</v>
      </c>
      <c r="G207" s="40">
        <f t="shared" si="21"/>
        <v>85248.82</v>
      </c>
      <c r="H207" s="232">
        <f t="shared" si="22"/>
        <v>-0.3583019682853088</v>
      </c>
      <c r="I207" s="40"/>
      <c r="J207" s="40"/>
    </row>
    <row r="208" spans="2:17" x14ac:dyDescent="0.25">
      <c r="B208" s="193">
        <v>42467</v>
      </c>
      <c r="C208" s="10">
        <v>5760</v>
      </c>
      <c r="D208" s="200">
        <v>15.703799999999999</v>
      </c>
      <c r="E208" s="40">
        <v>10.4</v>
      </c>
      <c r="F208" s="40">
        <f t="shared" si="20"/>
        <v>-30549.887999999995</v>
      </c>
      <c r="G208" s="40">
        <f t="shared" si="21"/>
        <v>90453.887999999992</v>
      </c>
      <c r="H208" s="232">
        <f t="shared" si="22"/>
        <v>-0.33773991008545695</v>
      </c>
      <c r="I208" s="40"/>
      <c r="J208" s="40"/>
    </row>
    <row r="209" spans="2:10" x14ac:dyDescent="0.25">
      <c r="B209" s="193">
        <v>42468</v>
      </c>
      <c r="C209" s="10">
        <v>5260</v>
      </c>
      <c r="D209" s="200">
        <v>16.167100000000001</v>
      </c>
      <c r="E209" s="40">
        <v>10.76</v>
      </c>
      <c r="F209" s="40">
        <f t="shared" si="20"/>
        <v>-28441.346000000009</v>
      </c>
      <c r="G209" s="40">
        <f t="shared" si="21"/>
        <v>85038.946000000011</v>
      </c>
      <c r="H209" s="232">
        <f t="shared" si="22"/>
        <v>-0.33445082915303309</v>
      </c>
      <c r="I209" s="357" t="s">
        <v>199</v>
      </c>
      <c r="J209" s="357"/>
    </row>
    <row r="210" spans="2:10" x14ac:dyDescent="0.25">
      <c r="B210" s="193">
        <v>42472</v>
      </c>
      <c r="C210" s="10">
        <v>5860</v>
      </c>
      <c r="D210" s="200">
        <v>15.567399999999999</v>
      </c>
      <c r="E210" s="40">
        <v>10.17</v>
      </c>
      <c r="F210" s="40">
        <f t="shared" si="20"/>
        <v>-31628.763999999996</v>
      </c>
      <c r="G210" s="40">
        <f t="shared" si="21"/>
        <v>91224.963999999993</v>
      </c>
      <c r="H210" s="232">
        <f t="shared" si="22"/>
        <v>-0.34671171807752094</v>
      </c>
      <c r="I210" s="40"/>
      <c r="J210" s="40"/>
    </row>
    <row r="211" spans="2:10" x14ac:dyDescent="0.25">
      <c r="B211" s="193">
        <v>42473</v>
      </c>
      <c r="C211" s="10">
        <v>5260</v>
      </c>
      <c r="D211" s="200">
        <v>16.1158</v>
      </c>
      <c r="E211" s="40">
        <v>10.88</v>
      </c>
      <c r="F211" s="40">
        <f t="shared" si="20"/>
        <v>-27540.307999999997</v>
      </c>
      <c r="G211" s="40">
        <f t="shared" si="21"/>
        <v>84769.108000000007</v>
      </c>
      <c r="H211" s="232">
        <f t="shared" si="22"/>
        <v>-0.32488613658645549</v>
      </c>
      <c r="I211" s="40"/>
      <c r="J211" s="40"/>
    </row>
    <row r="212" spans="2:10" x14ac:dyDescent="0.25">
      <c r="B212" s="193">
        <v>42484</v>
      </c>
      <c r="C212" s="10">
        <v>5260</v>
      </c>
      <c r="D212" s="200">
        <v>16.1158</v>
      </c>
      <c r="E212" s="40">
        <v>10.66</v>
      </c>
      <c r="F212" s="40">
        <f t="shared" si="20"/>
        <v>-28697.508000000002</v>
      </c>
      <c r="G212" s="40">
        <f t="shared" si="21"/>
        <v>84769.108000000007</v>
      </c>
      <c r="H212" s="232">
        <f t="shared" si="22"/>
        <v>-0.33853733603047942</v>
      </c>
      <c r="I212" s="40"/>
      <c r="J212" s="40"/>
    </row>
    <row r="213" spans="2:10" x14ac:dyDescent="0.25">
      <c r="B213" s="193">
        <v>42486</v>
      </c>
      <c r="C213" s="10">
        <v>4260</v>
      </c>
      <c r="D213" s="200">
        <v>17.2287</v>
      </c>
      <c r="E213" s="40">
        <v>11.51</v>
      </c>
      <c r="F213" s="40">
        <f t="shared" si="20"/>
        <v>-24361.662</v>
      </c>
      <c r="G213" s="40">
        <f t="shared" si="21"/>
        <v>73394.262000000002</v>
      </c>
      <c r="H213" s="232">
        <f t="shared" si="22"/>
        <v>-0.33192870036624933</v>
      </c>
      <c r="I213" s="40"/>
      <c r="J213" s="40"/>
    </row>
    <row r="214" spans="2:10" x14ac:dyDescent="0.25">
      <c r="B214" s="193">
        <v>42487</v>
      </c>
      <c r="C214" s="10">
        <v>5260</v>
      </c>
      <c r="D214" s="200">
        <v>16.099699999999999</v>
      </c>
      <c r="E214" s="40">
        <v>11.56</v>
      </c>
      <c r="F214" s="40">
        <f t="shared" si="20"/>
        <v>-23878.821999999989</v>
      </c>
      <c r="G214" s="40">
        <f t="shared" si="21"/>
        <v>84684.421999999991</v>
      </c>
      <c r="H214" s="232">
        <f t="shared" si="22"/>
        <v>-0.28197419827698644</v>
      </c>
      <c r="I214" s="40"/>
      <c r="J214" s="40"/>
    </row>
    <row r="215" spans="2:10" x14ac:dyDescent="0.25">
      <c r="B215" s="193">
        <v>42488</v>
      </c>
      <c r="C215" s="10">
        <v>5260</v>
      </c>
      <c r="D215" s="200">
        <v>16.078399999999998</v>
      </c>
      <c r="E215" s="40">
        <v>11.62</v>
      </c>
      <c r="F215" s="40">
        <f t="shared" si="20"/>
        <v>-23451.183999999997</v>
      </c>
      <c r="G215" s="40">
        <f t="shared" si="21"/>
        <v>84572.383999999991</v>
      </c>
      <c r="H215" s="232">
        <f t="shared" si="22"/>
        <v>-0.27729127276345905</v>
      </c>
      <c r="I215" s="40"/>
      <c r="J215" s="40"/>
    </row>
    <row r="216" spans="2:10" x14ac:dyDescent="0.25">
      <c r="B216" s="193">
        <v>42489</v>
      </c>
      <c r="C216" s="10">
        <v>5500</v>
      </c>
      <c r="D216" s="200">
        <v>15.848599999999999</v>
      </c>
      <c r="E216" s="40">
        <v>10.75</v>
      </c>
      <c r="F216" s="40">
        <f t="shared" si="20"/>
        <v>-28042.299999999996</v>
      </c>
      <c r="G216" s="40">
        <f t="shared" si="21"/>
        <v>87167.3</v>
      </c>
      <c r="H216" s="232">
        <f t="shared" si="22"/>
        <v>-0.32170664916774983</v>
      </c>
      <c r="I216" s="40"/>
      <c r="J216" s="40"/>
    </row>
    <row r="217" spans="2:10" x14ac:dyDescent="0.25">
      <c r="B217" s="193">
        <v>42494</v>
      </c>
      <c r="C217" s="10">
        <v>6500</v>
      </c>
      <c r="D217" s="200">
        <v>14.9526</v>
      </c>
      <c r="E217" s="40">
        <v>10</v>
      </c>
      <c r="F217" s="40">
        <f t="shared" si="20"/>
        <v>-32191.9</v>
      </c>
      <c r="G217" s="40">
        <f t="shared" si="21"/>
        <v>97191.900000000009</v>
      </c>
      <c r="H217" s="232">
        <f t="shared" si="22"/>
        <v>-0.33121998849698381</v>
      </c>
      <c r="I217" s="40"/>
      <c r="J217" s="40"/>
    </row>
    <row r="218" spans="2:10" x14ac:dyDescent="0.25">
      <c r="B218" s="193">
        <v>42495</v>
      </c>
      <c r="C218" s="10">
        <v>5500</v>
      </c>
      <c r="D218" s="200">
        <v>15.7966</v>
      </c>
      <c r="E218" s="40">
        <v>10.06</v>
      </c>
      <c r="F218" s="40">
        <f t="shared" si="20"/>
        <v>-31551.299999999996</v>
      </c>
      <c r="G218" s="40">
        <f t="shared" si="21"/>
        <v>86881.3</v>
      </c>
      <c r="H218" s="232">
        <f t="shared" si="22"/>
        <v>-0.363154096451135</v>
      </c>
      <c r="I218" s="40"/>
      <c r="J218" s="40"/>
    </row>
    <row r="219" spans="2:10" x14ac:dyDescent="0.25">
      <c r="B219" s="193">
        <v>42502</v>
      </c>
      <c r="C219" s="10">
        <v>8500</v>
      </c>
      <c r="D219" s="200">
        <v>13.6378</v>
      </c>
      <c r="E219" s="40">
        <v>9.6199999999999992</v>
      </c>
      <c r="F219" s="40">
        <f t="shared" si="20"/>
        <v>-34151.30000000001</v>
      </c>
      <c r="G219" s="40">
        <f t="shared" si="21"/>
        <v>115921.3</v>
      </c>
      <c r="H219" s="232">
        <f t="shared" si="22"/>
        <v>-0.2946076346624823</v>
      </c>
      <c r="I219" s="40"/>
      <c r="J219" s="40"/>
    </row>
    <row r="220" spans="2:10" x14ac:dyDescent="0.25">
      <c r="B220" s="193">
        <v>42503</v>
      </c>
      <c r="C220" s="10">
        <v>5500</v>
      </c>
      <c r="D220" s="200">
        <v>15.754899999999999</v>
      </c>
      <c r="E220" s="40">
        <v>9.58</v>
      </c>
      <c r="F220" s="40">
        <f t="shared" si="20"/>
        <v>-33961.949999999997</v>
      </c>
      <c r="G220" s="40">
        <f t="shared" si="21"/>
        <v>86651.95</v>
      </c>
      <c r="H220" s="232">
        <f t="shared" si="22"/>
        <v>-0.39193520745926663</v>
      </c>
      <c r="I220" s="40"/>
      <c r="J220" s="40"/>
    </row>
    <row r="221" spans="2:10" x14ac:dyDescent="0.25">
      <c r="B221" s="193">
        <v>42510</v>
      </c>
      <c r="C221" s="468">
        <v>5000</v>
      </c>
      <c r="D221" s="469">
        <v>16.255400000000002</v>
      </c>
      <c r="E221" s="40">
        <v>10.8</v>
      </c>
      <c r="F221" s="40">
        <f t="shared" si="20"/>
        <v>-27277.000000000004</v>
      </c>
      <c r="G221" s="40">
        <f t="shared" si="21"/>
        <v>81277.000000000015</v>
      </c>
      <c r="H221" s="232">
        <f t="shared" si="22"/>
        <v>-0.33560539882131479</v>
      </c>
      <c r="I221" s="40"/>
      <c r="J221" s="40"/>
    </row>
    <row r="222" spans="2:10" x14ac:dyDescent="0.25">
      <c r="B222" s="193">
        <v>42514</v>
      </c>
      <c r="C222" s="10">
        <v>4500</v>
      </c>
      <c r="D222" s="200">
        <v>16.752199999999998</v>
      </c>
      <c r="E222" s="40">
        <v>11.49</v>
      </c>
      <c r="F222" s="40">
        <f t="shared" si="20"/>
        <v>-23679.899999999991</v>
      </c>
      <c r="G222" s="40">
        <f t="shared" si="21"/>
        <v>75384.899999999994</v>
      </c>
      <c r="H222" s="232">
        <f t="shared" si="22"/>
        <v>-0.31411993648595399</v>
      </c>
      <c r="I222" s="40"/>
      <c r="J222" s="40"/>
    </row>
    <row r="223" spans="2:10" x14ac:dyDescent="0.25">
      <c r="B223" s="193">
        <v>42515</v>
      </c>
      <c r="C223" s="10">
        <v>4500</v>
      </c>
      <c r="D223" s="200">
        <v>16.746700000000001</v>
      </c>
      <c r="E223" s="40">
        <v>11.6</v>
      </c>
      <c r="F223" s="40">
        <f t="shared" si="20"/>
        <v>-23160.150000000005</v>
      </c>
      <c r="G223" s="40">
        <f t="shared" si="21"/>
        <v>75360.150000000009</v>
      </c>
      <c r="H223" s="232">
        <f t="shared" si="22"/>
        <v>-0.30732621949398992</v>
      </c>
      <c r="I223" s="40"/>
      <c r="J223" s="40"/>
    </row>
    <row r="224" spans="2:10" x14ac:dyDescent="0.25">
      <c r="B224" s="193">
        <v>42516</v>
      </c>
      <c r="C224" s="10">
        <v>4000</v>
      </c>
      <c r="D224" s="200">
        <v>17.344999999999999</v>
      </c>
      <c r="E224" s="40">
        <v>11.95</v>
      </c>
      <c r="F224" s="40">
        <f t="shared" si="20"/>
        <v>-21580</v>
      </c>
      <c r="G224" s="40">
        <f t="shared" si="21"/>
        <v>69380</v>
      </c>
      <c r="H224" s="232">
        <f t="shared" si="22"/>
        <v>-0.31104064571922746</v>
      </c>
      <c r="I224" s="40"/>
      <c r="J224" s="40"/>
    </row>
    <row r="225" spans="2:10" x14ac:dyDescent="0.25">
      <c r="B225" s="193">
        <v>42517</v>
      </c>
      <c r="C225" s="7">
        <v>4000</v>
      </c>
      <c r="D225" s="79">
        <v>17.322700000000001</v>
      </c>
      <c r="E225" s="40">
        <v>12.31</v>
      </c>
      <c r="F225" s="40">
        <f t="shared" si="20"/>
        <v>-20050.800000000003</v>
      </c>
      <c r="G225" s="40">
        <f t="shared" si="21"/>
        <v>69290.8</v>
      </c>
      <c r="H225" s="232">
        <f t="shared" si="22"/>
        <v>-0.28937174920768705</v>
      </c>
      <c r="I225" s="40"/>
      <c r="J225" s="40"/>
    </row>
    <row r="226" spans="2:10" x14ac:dyDescent="0.25">
      <c r="B226" s="193">
        <v>42522</v>
      </c>
      <c r="C226" s="10">
        <v>3375</v>
      </c>
      <c r="D226" s="200">
        <v>18.078900000000001</v>
      </c>
      <c r="E226" s="40">
        <v>13.09</v>
      </c>
      <c r="F226" s="40">
        <f t="shared" si="20"/>
        <v>-16837.537500000002</v>
      </c>
      <c r="G226" s="40">
        <f t="shared" si="21"/>
        <v>61016.287500000006</v>
      </c>
      <c r="H226" s="232">
        <f t="shared" si="22"/>
        <v>-0.27595152359933406</v>
      </c>
      <c r="I226" s="40"/>
      <c r="J226" s="40"/>
    </row>
    <row r="227" spans="2:10" x14ac:dyDescent="0.25">
      <c r="B227" s="193">
        <v>42524</v>
      </c>
      <c r="C227" s="10">
        <v>4000</v>
      </c>
      <c r="D227" s="200">
        <v>17.229099999999999</v>
      </c>
      <c r="E227" s="40">
        <v>12.86</v>
      </c>
      <c r="F227" s="40">
        <f t="shared" si="20"/>
        <v>-17476.399999999998</v>
      </c>
      <c r="G227" s="40">
        <f t="shared" si="21"/>
        <v>68916.399999999994</v>
      </c>
      <c r="H227" s="232">
        <f t="shared" si="22"/>
        <v>-0.25358840566251284</v>
      </c>
      <c r="I227" s="40"/>
      <c r="J227" s="40"/>
    </row>
    <row r="228" spans="2:10" x14ac:dyDescent="0.25">
      <c r="B228" s="193">
        <v>42530</v>
      </c>
      <c r="C228" s="7">
        <v>4000</v>
      </c>
      <c r="D228" s="79">
        <v>17.184100000000001</v>
      </c>
      <c r="E228" s="40">
        <v>12.51</v>
      </c>
      <c r="F228" s="40">
        <f t="shared" si="20"/>
        <v>-18696.400000000005</v>
      </c>
      <c r="G228" s="40">
        <f t="shared" si="21"/>
        <v>68736.400000000009</v>
      </c>
      <c r="H228" s="232">
        <f t="shared" si="22"/>
        <v>-0.27200144319458108</v>
      </c>
      <c r="I228" s="40"/>
      <c r="J228" s="40"/>
    </row>
    <row r="229" spans="2:10" x14ac:dyDescent="0.25">
      <c r="B229" s="193">
        <v>42532</v>
      </c>
      <c r="C229" s="10">
        <v>4760</v>
      </c>
      <c r="D229" s="200">
        <v>16.386800000000001</v>
      </c>
      <c r="E229" s="40">
        <v>12.14</v>
      </c>
      <c r="F229" s="40">
        <f t="shared" si="20"/>
        <v>-20214.768</v>
      </c>
      <c r="G229" s="40">
        <f t="shared" si="21"/>
        <v>78001.168000000005</v>
      </c>
      <c r="H229" s="232">
        <f t="shared" si="22"/>
        <v>-0.25915981155564233</v>
      </c>
      <c r="I229" s="40"/>
      <c r="J229" s="40"/>
    </row>
    <row r="230" spans="2:10" x14ac:dyDescent="0.25">
      <c r="B230" s="193">
        <v>42535</v>
      </c>
      <c r="C230" s="10">
        <v>4760</v>
      </c>
      <c r="D230" s="200">
        <v>16.387</v>
      </c>
      <c r="E230" s="40">
        <v>11.92</v>
      </c>
      <c r="F230" s="40">
        <f t="shared" si="20"/>
        <v>-21262.920000000002</v>
      </c>
      <c r="G230" s="40">
        <f t="shared" si="21"/>
        <v>78002.12</v>
      </c>
      <c r="H230" s="232">
        <f t="shared" si="22"/>
        <v>-0.27259412949289075</v>
      </c>
      <c r="I230" s="40"/>
      <c r="J230" s="40"/>
    </row>
    <row r="231" spans="2:10" x14ac:dyDescent="0.25">
      <c r="B231" s="193">
        <v>42537</v>
      </c>
      <c r="C231" s="10">
        <v>4760</v>
      </c>
      <c r="D231" s="200">
        <v>16.361599999999999</v>
      </c>
      <c r="E231" s="40">
        <v>11.95</v>
      </c>
      <c r="F231" s="40">
        <f t="shared" si="20"/>
        <v>-20999.216</v>
      </c>
      <c r="G231" s="40">
        <f t="shared" si="21"/>
        <v>77881.216</v>
      </c>
      <c r="H231" s="232">
        <f t="shared" si="22"/>
        <v>-0.26963133189908078</v>
      </c>
      <c r="I231" s="40"/>
      <c r="J231" s="40"/>
    </row>
    <row r="232" spans="2:10" x14ac:dyDescent="0.25">
      <c r="B232" s="193">
        <v>42541</v>
      </c>
      <c r="C232" s="10">
        <v>4600</v>
      </c>
      <c r="D232" s="200">
        <v>16.459700000000002</v>
      </c>
      <c r="E232" s="40">
        <v>12.32</v>
      </c>
      <c r="F232" s="40">
        <f t="shared" si="20"/>
        <v>-19042.620000000006</v>
      </c>
      <c r="G232" s="40">
        <f t="shared" si="21"/>
        <v>75714.62000000001</v>
      </c>
      <c r="H232" s="232">
        <f t="shared" si="22"/>
        <v>-0.25150519146764527</v>
      </c>
      <c r="I232" s="40"/>
      <c r="J232" s="40"/>
    </row>
    <row r="233" spans="2:10" x14ac:dyDescent="0.25">
      <c r="B233" s="193">
        <v>42542</v>
      </c>
      <c r="C233" s="10">
        <v>4000</v>
      </c>
      <c r="D233" s="200">
        <v>17.010200000000001</v>
      </c>
      <c r="E233" s="40">
        <v>12.75</v>
      </c>
      <c r="F233" s="40">
        <f t="shared" si="20"/>
        <v>-17040.800000000003</v>
      </c>
      <c r="G233" s="40">
        <f t="shared" si="21"/>
        <v>68040.800000000003</v>
      </c>
      <c r="H233" s="232">
        <f t="shared" si="22"/>
        <v>-0.25044973016190292</v>
      </c>
      <c r="I233" s="40"/>
      <c r="J233" s="40"/>
    </row>
    <row r="234" spans="2:10" x14ac:dyDescent="0.25">
      <c r="B234" s="193">
        <v>42544</v>
      </c>
      <c r="C234" s="10">
        <v>2500</v>
      </c>
      <c r="D234" s="200">
        <v>18.952100000000002</v>
      </c>
      <c r="E234" s="40">
        <v>14.05</v>
      </c>
      <c r="F234" s="40">
        <f t="shared" si="20"/>
        <v>-12255.250000000002</v>
      </c>
      <c r="G234" s="40">
        <f t="shared" si="21"/>
        <v>47380.250000000007</v>
      </c>
      <c r="H234" s="232">
        <f t="shared" si="22"/>
        <v>-0.25865735195571998</v>
      </c>
      <c r="I234" s="40"/>
      <c r="J234" s="40"/>
    </row>
    <row r="235" spans="2:10" x14ac:dyDescent="0.25">
      <c r="B235" s="193">
        <v>42545</v>
      </c>
      <c r="C235" s="10">
        <v>3000</v>
      </c>
      <c r="D235" s="200">
        <v>18.046700000000001</v>
      </c>
      <c r="E235" s="40">
        <v>13.52</v>
      </c>
      <c r="F235" s="40">
        <f t="shared" si="20"/>
        <v>-13580.100000000006</v>
      </c>
      <c r="G235" s="40">
        <f t="shared" si="21"/>
        <v>54140.100000000006</v>
      </c>
      <c r="H235" s="232">
        <f t="shared" si="22"/>
        <v>-0.25083256218588446</v>
      </c>
      <c r="I235" s="40"/>
      <c r="J235" s="40"/>
    </row>
    <row r="236" spans="2:10" x14ac:dyDescent="0.25">
      <c r="B236" s="193">
        <v>42545</v>
      </c>
      <c r="C236" s="10">
        <v>3500</v>
      </c>
      <c r="D236" s="200">
        <v>17.391500000000001</v>
      </c>
      <c r="E236" s="40">
        <v>13.46</v>
      </c>
      <c r="F236" s="40">
        <f t="shared" si="20"/>
        <v>-13760.25</v>
      </c>
      <c r="G236" s="40">
        <f t="shared" si="21"/>
        <v>60870.25</v>
      </c>
      <c r="H236" s="232">
        <f t="shared" si="22"/>
        <v>-0.22605870683954804</v>
      </c>
      <c r="I236" s="40"/>
      <c r="J236" s="40"/>
    </row>
    <row r="237" spans="2:10" x14ac:dyDescent="0.25">
      <c r="B237" s="193">
        <v>42545</v>
      </c>
      <c r="C237" s="7">
        <v>4000</v>
      </c>
      <c r="D237" s="79">
        <v>16.8825</v>
      </c>
      <c r="E237" s="40">
        <v>13.32</v>
      </c>
      <c r="F237" s="40">
        <f t="shared" si="20"/>
        <v>-14250</v>
      </c>
      <c r="G237" s="40">
        <f t="shared" si="21"/>
        <v>67530</v>
      </c>
      <c r="H237" s="232">
        <f t="shared" si="22"/>
        <v>-0.21101732563305198</v>
      </c>
      <c r="I237" s="40"/>
      <c r="J237" s="40"/>
    </row>
    <row r="238" spans="2:10" x14ac:dyDescent="0.25">
      <c r="B238" s="193">
        <v>42548</v>
      </c>
      <c r="C238" s="10">
        <v>4760</v>
      </c>
      <c r="D238" s="200">
        <v>16.2315</v>
      </c>
      <c r="E238" s="40">
        <v>12.23</v>
      </c>
      <c r="F238" s="40">
        <f t="shared" si="20"/>
        <v>-19047.14</v>
      </c>
      <c r="G238" s="40">
        <f t="shared" si="21"/>
        <v>77261.94</v>
      </c>
      <c r="H238" s="232">
        <f t="shared" si="22"/>
        <v>-0.246526815143394</v>
      </c>
      <c r="I238" s="40"/>
      <c r="J238" s="40"/>
    </row>
    <row r="239" spans="2:10" x14ac:dyDescent="0.25">
      <c r="B239" s="193">
        <v>42548</v>
      </c>
      <c r="C239" s="10">
        <v>5260</v>
      </c>
      <c r="D239" s="200">
        <v>15.884399999999999</v>
      </c>
      <c r="E239" s="40">
        <v>12.23</v>
      </c>
      <c r="F239" s="40">
        <f t="shared" ref="F239:F240" si="23">-C239*(D239-E239)</f>
        <v>-19222.143999999993</v>
      </c>
      <c r="G239" s="40">
        <f t="shared" ref="G239:G240" si="24">IF(C239=0, 0,D239*C239)</f>
        <v>83551.944000000003</v>
      </c>
      <c r="H239" s="232">
        <f t="shared" ref="H239:H240" si="25">IF(C239=0, D239, (E239-D239)/D239)</f>
        <v>-0.23006219939059702</v>
      </c>
      <c r="I239" s="40"/>
      <c r="J239" s="40"/>
    </row>
    <row r="240" spans="2:10" x14ac:dyDescent="0.25">
      <c r="B240" s="193">
        <v>42549</v>
      </c>
      <c r="C240" s="10">
        <v>4500</v>
      </c>
      <c r="D240" s="200">
        <v>16.3767</v>
      </c>
      <c r="E240" s="40">
        <v>12.99</v>
      </c>
      <c r="F240" s="40">
        <f t="shared" si="23"/>
        <v>-15240.149999999998</v>
      </c>
      <c r="G240" s="40">
        <f t="shared" si="24"/>
        <v>73695.149999999994</v>
      </c>
      <c r="H240" s="232">
        <f t="shared" si="25"/>
        <v>-0.2067999047427137</v>
      </c>
      <c r="I240" s="40"/>
      <c r="J240" s="40"/>
    </row>
    <row r="241" spans="2:10" x14ac:dyDescent="0.25">
      <c r="B241" s="193">
        <v>42550</v>
      </c>
      <c r="C241" s="10">
        <v>4500</v>
      </c>
      <c r="D241" s="200">
        <v>16.3767</v>
      </c>
      <c r="E241" s="40">
        <v>13.19</v>
      </c>
      <c r="F241" s="40">
        <f t="shared" ref="F241:F243" si="26">-C241*(D241-E241)</f>
        <v>-14340.15</v>
      </c>
      <c r="G241" s="40">
        <f t="shared" ref="G241:G243" si="27">IF(C241=0, 0,D241*C241)</f>
        <v>73695.149999999994</v>
      </c>
      <c r="H241" s="232">
        <f t="shared" ref="H241:H243" si="28">IF(C241=0, D241, (E241-D241)/D241)</f>
        <v>-0.19458743214444912</v>
      </c>
      <c r="I241" s="40">
        <v>16</v>
      </c>
      <c r="J241" s="40"/>
    </row>
    <row r="242" spans="2:10" x14ac:dyDescent="0.25">
      <c r="B242" s="193">
        <v>42551</v>
      </c>
      <c r="C242" s="10">
        <v>4000</v>
      </c>
      <c r="D242" s="200">
        <v>16.708500000000001</v>
      </c>
      <c r="E242" s="40">
        <v>13.76</v>
      </c>
      <c r="F242" s="40">
        <f t="shared" si="26"/>
        <v>-11794.000000000004</v>
      </c>
      <c r="G242" s="40">
        <f t="shared" si="27"/>
        <v>66834</v>
      </c>
      <c r="H242" s="232">
        <f t="shared" si="28"/>
        <v>-0.176467067660173</v>
      </c>
      <c r="I242" s="40"/>
      <c r="J242" s="40"/>
    </row>
    <row r="243" spans="2:10" x14ac:dyDescent="0.25">
      <c r="B243" s="193">
        <v>42551</v>
      </c>
      <c r="C243" s="10">
        <v>4500</v>
      </c>
      <c r="D243" s="200">
        <v>16.23</v>
      </c>
      <c r="E243" s="40">
        <v>13.76</v>
      </c>
      <c r="F243" s="40">
        <f t="shared" si="26"/>
        <v>-11115.000000000004</v>
      </c>
      <c r="G243" s="40">
        <f t="shared" si="27"/>
        <v>73035</v>
      </c>
      <c r="H243" s="232">
        <f t="shared" si="28"/>
        <v>-0.15218730745532968</v>
      </c>
      <c r="I243" s="40" t="s">
        <v>256</v>
      </c>
      <c r="J243" s="40"/>
    </row>
    <row r="244" spans="2:10" x14ac:dyDescent="0.25">
      <c r="B244" s="193">
        <v>42552</v>
      </c>
      <c r="C244" s="10">
        <v>4500</v>
      </c>
      <c r="D244" s="200">
        <v>16.23</v>
      </c>
      <c r="E244" s="40">
        <v>12.5</v>
      </c>
      <c r="F244" s="40">
        <f t="shared" ref="F244:F245" si="29">-C244*(D244-E244)</f>
        <v>-16785.000000000004</v>
      </c>
      <c r="G244" s="40">
        <f t="shared" ref="G244:G245" si="30">IF(C244=0, 0,D244*C244)</f>
        <v>73035</v>
      </c>
      <c r="H244" s="232">
        <f t="shared" ref="H244:H245" si="31">IF(C244=0, D244, (E244-D244)/D244)</f>
        <v>-0.22982131854590268</v>
      </c>
      <c r="I244" s="40"/>
      <c r="J244" s="40"/>
    </row>
    <row r="245" spans="2:10" x14ac:dyDescent="0.25">
      <c r="B245" s="193">
        <v>42556</v>
      </c>
      <c r="C245" s="468">
        <v>5000</v>
      </c>
      <c r="D245" s="469">
        <v>15.7963</v>
      </c>
      <c r="E245" s="40">
        <v>11.91</v>
      </c>
      <c r="F245" s="40">
        <f t="shared" si="29"/>
        <v>-19431.5</v>
      </c>
      <c r="G245" s="40">
        <f t="shared" si="30"/>
        <v>78981.5</v>
      </c>
      <c r="H245" s="232">
        <f t="shared" si="31"/>
        <v>-0.24602596810645533</v>
      </c>
      <c r="I245" s="40">
        <v>15.6</v>
      </c>
      <c r="J245" s="40"/>
    </row>
    <row r="246" spans="2:10" x14ac:dyDescent="0.25">
      <c r="B246" s="193">
        <v>42557</v>
      </c>
      <c r="C246" s="10">
        <v>4500</v>
      </c>
      <c r="D246" s="200">
        <v>16.142600000000002</v>
      </c>
      <c r="E246" s="40">
        <v>12.2</v>
      </c>
      <c r="F246" s="40">
        <f t="shared" ref="F246" si="32">-C246*(D246-E246)</f>
        <v>-17741.700000000012</v>
      </c>
      <c r="G246" s="40">
        <f t="shared" ref="G246" si="33">IF(C246=0, 0,D246*C246)</f>
        <v>72641.700000000012</v>
      </c>
      <c r="H246" s="232">
        <f t="shared" ref="H246" si="34">IF(C246=0, D246, (E246-D246)/D246)</f>
        <v>-0.24423574888803551</v>
      </c>
      <c r="I246" s="40"/>
      <c r="J246" s="40"/>
    </row>
    <row r="247" spans="2:10" x14ac:dyDescent="0.25">
      <c r="B247" s="193">
        <v>42559</v>
      </c>
      <c r="C247" s="10">
        <v>4500</v>
      </c>
      <c r="D247" s="200">
        <v>16.142600000000002</v>
      </c>
      <c r="E247" s="40">
        <v>12.62</v>
      </c>
      <c r="F247" s="40">
        <f t="shared" ref="F247" si="35">-C247*(D247-E247)</f>
        <v>-15851.700000000012</v>
      </c>
      <c r="G247" s="40">
        <f t="shared" ref="G247" si="36">IF(C247=0, 0,D247*C247)</f>
        <v>72641.700000000012</v>
      </c>
      <c r="H247" s="232">
        <f t="shared" ref="H247" si="37">IF(C247=0, D247, (E247-D247)/D247)</f>
        <v>-0.21821763532516461</v>
      </c>
      <c r="I247" s="40"/>
      <c r="J247" s="40"/>
    </row>
    <row r="248" spans="2:10" x14ac:dyDescent="0.25">
      <c r="B248" s="193">
        <v>42562</v>
      </c>
      <c r="C248" s="10">
        <v>4500</v>
      </c>
      <c r="D248" s="200">
        <v>16.143000000000001</v>
      </c>
      <c r="E248" s="40">
        <v>12.64</v>
      </c>
      <c r="F248" s="40">
        <f t="shared" ref="F248" si="38">-C248*(D248-E248)</f>
        <v>-15763.5</v>
      </c>
      <c r="G248" s="40">
        <f t="shared" ref="G248" si="39">IF(C248=0, 0,D248*C248)</f>
        <v>72643.5</v>
      </c>
      <c r="H248" s="232">
        <f t="shared" ref="H248" si="40">IF(C248=0, D248, (E248-D248)/D248)</f>
        <v>-0.21699807966301182</v>
      </c>
      <c r="I248" s="40"/>
      <c r="J248" s="40"/>
    </row>
    <row r="249" spans="2:10" x14ac:dyDescent="0.25">
      <c r="B249" s="193">
        <v>42572</v>
      </c>
      <c r="C249" s="10">
        <v>4500</v>
      </c>
      <c r="D249" s="200">
        <v>16.143000000000001</v>
      </c>
      <c r="E249" s="40">
        <v>13.18</v>
      </c>
      <c r="F249" s="40">
        <f t="shared" ref="F249" si="41">-C249*(D249-E249)</f>
        <v>-13333.500000000004</v>
      </c>
      <c r="G249" s="40">
        <f t="shared" ref="G249" si="42">IF(C249=0, 0,D249*C249)</f>
        <v>72643.5</v>
      </c>
      <c r="H249" s="232">
        <f t="shared" ref="H249" si="43">IF(C249=0, D249, (E249-D249)/D249)</f>
        <v>-0.18354704825621018</v>
      </c>
      <c r="I249" s="40"/>
      <c r="J249" s="40"/>
    </row>
    <row r="250" spans="2:10" x14ac:dyDescent="0.25">
      <c r="B250" s="193">
        <v>42576</v>
      </c>
      <c r="C250" s="7">
        <v>4000</v>
      </c>
      <c r="D250" s="79">
        <v>16.433</v>
      </c>
      <c r="E250" s="40">
        <v>13.92</v>
      </c>
      <c r="F250" s="40">
        <f t="shared" ref="F250" si="44">-C250*(D250-E250)</f>
        <v>-10052</v>
      </c>
      <c r="G250" s="40">
        <f t="shared" ref="G250" si="45">IF(C250=0, 0,D250*C250)</f>
        <v>65732</v>
      </c>
      <c r="H250" s="232">
        <f t="shared" ref="H250" si="46">IF(C250=0, D250, (E250-D250)/D250)</f>
        <v>-0.15292399440150917</v>
      </c>
      <c r="I250" s="40"/>
      <c r="J250" s="40"/>
    </row>
    <row r="251" spans="2:10" x14ac:dyDescent="0.25">
      <c r="B251" s="193">
        <v>42577</v>
      </c>
      <c r="C251" s="10">
        <v>3200</v>
      </c>
      <c r="D251" s="200">
        <v>16.935400000000001</v>
      </c>
      <c r="E251" s="40">
        <v>14.67</v>
      </c>
      <c r="F251" s="40">
        <f t="shared" ref="F251" si="47">-C251*(D251-E251)</f>
        <v>-7249.2800000000043</v>
      </c>
      <c r="G251" s="40">
        <f t="shared" ref="G251" si="48">IF(C251=0, 0,D251*C251)</f>
        <v>54193.280000000006</v>
      </c>
      <c r="H251" s="232">
        <f t="shared" ref="H251" si="49">IF(C251=0, D251, (E251-D251)/D251)</f>
        <v>-0.1337671386563058</v>
      </c>
      <c r="I251" s="40"/>
      <c r="J251" s="40"/>
    </row>
    <row r="252" spans="2:10" x14ac:dyDescent="0.25">
      <c r="B252" s="193">
        <v>42578</v>
      </c>
      <c r="C252" s="10">
        <v>3400</v>
      </c>
      <c r="D252" s="200">
        <v>16.7698</v>
      </c>
      <c r="E252" s="40">
        <v>14.19</v>
      </c>
      <c r="F252" s="40">
        <f t="shared" ref="F252:F253" si="50">-C252*(D252-E252)</f>
        <v>-8771.3200000000015</v>
      </c>
      <c r="G252" s="40">
        <f t="shared" ref="G252:G253" si="51">IF(C252=0, 0,D252*C252)</f>
        <v>57017.32</v>
      </c>
      <c r="H252" s="232">
        <f t="shared" ref="H252:H253" si="52">IF(C252=0, D252, (E252-D252)/D252)</f>
        <v>-0.15383606244558673</v>
      </c>
      <c r="I252" s="40"/>
      <c r="J252" s="40"/>
    </row>
    <row r="253" spans="2:10" x14ac:dyDescent="0.25">
      <c r="B253" s="193">
        <v>42579</v>
      </c>
      <c r="C253" s="7">
        <v>4000</v>
      </c>
      <c r="D253" s="79">
        <v>16.327300000000001</v>
      </c>
      <c r="E253" s="40">
        <v>13.81</v>
      </c>
      <c r="F253" s="40">
        <f t="shared" si="50"/>
        <v>-10069.200000000003</v>
      </c>
      <c r="G253" s="40">
        <f t="shared" si="51"/>
        <v>65309.200000000004</v>
      </c>
      <c r="H253" s="232">
        <f t="shared" si="52"/>
        <v>-0.15417735939193869</v>
      </c>
      <c r="I253" s="40"/>
      <c r="J253" s="40"/>
    </row>
    <row r="254" spans="2:10" x14ac:dyDescent="0.25">
      <c r="B254" s="193">
        <v>42580</v>
      </c>
      <c r="C254" s="10">
        <v>4500</v>
      </c>
      <c r="D254" s="200">
        <v>16.026499999999999</v>
      </c>
      <c r="E254" s="40">
        <v>13.74</v>
      </c>
      <c r="F254" s="40">
        <f t="shared" ref="F254:F258" si="53">-C254*(D254-E254)</f>
        <v>-10289.249999999993</v>
      </c>
      <c r="G254" s="40">
        <f t="shared" ref="G254:G258" si="54">IF(C254=0, 0,D254*C254)</f>
        <v>72119.25</v>
      </c>
      <c r="H254" s="232">
        <f t="shared" ref="H254:H258" si="55">IF(C254=0, D254, (E254-D254)/D254)</f>
        <v>-0.14266995289052498</v>
      </c>
      <c r="I254" s="40"/>
      <c r="J254" s="40"/>
    </row>
    <row r="255" spans="2:10" x14ac:dyDescent="0.25">
      <c r="B255" s="193">
        <v>42585</v>
      </c>
      <c r="C255" s="10">
        <v>4700</v>
      </c>
      <c r="D255" s="200">
        <v>15.9011</v>
      </c>
      <c r="E255" s="40">
        <v>13.4</v>
      </c>
      <c r="F255" s="40">
        <f t="shared" si="53"/>
        <v>-11755.169999999996</v>
      </c>
      <c r="G255" s="40">
        <f t="shared" si="54"/>
        <v>74735.17</v>
      </c>
      <c r="H255" s="232">
        <f t="shared" si="55"/>
        <v>-0.15729100502480955</v>
      </c>
      <c r="I255" s="40"/>
      <c r="J255" s="40"/>
    </row>
    <row r="256" spans="2:10" x14ac:dyDescent="0.25">
      <c r="B256" s="193">
        <v>42586</v>
      </c>
      <c r="C256" s="10">
        <v>4500</v>
      </c>
      <c r="D256" s="200">
        <v>15.990399999999999</v>
      </c>
      <c r="E256" s="40">
        <v>14.03</v>
      </c>
      <c r="F256" s="40">
        <f t="shared" si="53"/>
        <v>-8821.7999999999993</v>
      </c>
      <c r="G256" s="40">
        <f t="shared" si="54"/>
        <v>71956.800000000003</v>
      </c>
      <c r="H256" s="232">
        <f t="shared" si="55"/>
        <v>-0.12259855913548129</v>
      </c>
      <c r="I256" s="40" t="s">
        <v>316</v>
      </c>
      <c r="J256" s="40"/>
    </row>
    <row r="257" spans="2:10" x14ac:dyDescent="0.25">
      <c r="B257" s="193">
        <v>42587</v>
      </c>
      <c r="C257" s="7">
        <v>4000</v>
      </c>
      <c r="D257" s="79">
        <v>16.158000000000001</v>
      </c>
      <c r="E257" s="40">
        <v>14.52</v>
      </c>
      <c r="F257" s="40">
        <f t="shared" si="53"/>
        <v>-6552.0000000000064</v>
      </c>
      <c r="G257" s="40">
        <f t="shared" si="54"/>
        <v>64632.000000000007</v>
      </c>
      <c r="H257" s="232">
        <f t="shared" si="55"/>
        <v>-0.10137393241737848</v>
      </c>
      <c r="I257" s="40">
        <v>16</v>
      </c>
      <c r="J257" s="40"/>
    </row>
    <row r="258" spans="2:10" x14ac:dyDescent="0.25">
      <c r="B258" s="193">
        <v>42593</v>
      </c>
      <c r="C258" s="10">
        <v>4000</v>
      </c>
      <c r="D258" s="200">
        <v>16.158000000000001</v>
      </c>
      <c r="E258" s="40">
        <v>14.2</v>
      </c>
      <c r="F258" s="40">
        <f t="shared" si="53"/>
        <v>-7832.0000000000082</v>
      </c>
      <c r="G258" s="40">
        <f t="shared" si="54"/>
        <v>64632.000000000007</v>
      </c>
      <c r="H258" s="232">
        <f t="shared" si="55"/>
        <v>-0.12117836365886879</v>
      </c>
      <c r="I258" s="40"/>
      <c r="J258" s="40"/>
    </row>
    <row r="259" spans="2:10" x14ac:dyDescent="0.25">
      <c r="B259" s="193">
        <v>42597</v>
      </c>
      <c r="C259" s="455">
        <v>2000</v>
      </c>
      <c r="D259" s="456">
        <v>17.3687</v>
      </c>
      <c r="E259" s="40">
        <v>15.53</v>
      </c>
      <c r="F259" s="40">
        <f t="shared" ref="F259:F260" si="56">-C259*(D259-E259)</f>
        <v>-3677.4000000000024</v>
      </c>
      <c r="G259" s="40">
        <f t="shared" ref="G259:G260" si="57">IF(C259=0, 0,D259*C259)</f>
        <v>34737.4</v>
      </c>
      <c r="H259" s="232">
        <f t="shared" ref="H259:H260" si="58">IF(C259=0, D259, (E259-D259)/D259)</f>
        <v>-0.10586284523309177</v>
      </c>
      <c r="I259" s="457">
        <v>17</v>
      </c>
      <c r="J259" s="40"/>
    </row>
    <row r="260" spans="2:10" x14ac:dyDescent="0.25">
      <c r="B260" s="193">
        <v>42599</v>
      </c>
      <c r="C260" s="10">
        <v>2000</v>
      </c>
      <c r="D260" s="200">
        <v>17.331299999999999</v>
      </c>
      <c r="E260" s="40">
        <v>15.52</v>
      </c>
      <c r="F260" s="40">
        <f t="shared" si="56"/>
        <v>-3622.5999999999985</v>
      </c>
      <c r="G260" s="40">
        <f t="shared" si="57"/>
        <v>34662.6</v>
      </c>
      <c r="H260" s="232">
        <f t="shared" si="58"/>
        <v>-0.10451033678950797</v>
      </c>
      <c r="I260" s="40"/>
      <c r="J260" s="40"/>
    </row>
    <row r="261" spans="2:10" x14ac:dyDescent="0.25">
      <c r="B261" s="193">
        <v>42600</v>
      </c>
      <c r="C261" s="10">
        <v>2000</v>
      </c>
      <c r="D261" s="200">
        <v>17.331299999999999</v>
      </c>
      <c r="E261" s="40">
        <v>15.77</v>
      </c>
      <c r="F261" s="40">
        <f t="shared" ref="F261" si="59">-C261*(D261-E261)</f>
        <v>-3122.5999999999985</v>
      </c>
      <c r="G261" s="40">
        <f t="shared" ref="G261" si="60">IF(C261=0, 0,D261*C261)</f>
        <v>34662.6</v>
      </c>
      <c r="H261" s="232">
        <f t="shared" ref="H261" si="61">IF(C261=0, D261, (E261-D261)/D261)</f>
        <v>-9.0085567730060601E-2</v>
      </c>
      <c r="I261" s="40"/>
      <c r="J261" s="40"/>
    </row>
    <row r="262" spans="2:10" x14ac:dyDescent="0.25">
      <c r="B262" s="193">
        <v>42601</v>
      </c>
      <c r="C262" s="10">
        <v>2000</v>
      </c>
      <c r="D262" s="200">
        <v>17.331299999999999</v>
      </c>
      <c r="E262" s="40">
        <v>16.25</v>
      </c>
      <c r="F262" s="40">
        <f t="shared" ref="F262" si="62">-C262*(D262-E262)</f>
        <v>-2162.5999999999976</v>
      </c>
      <c r="G262" s="40">
        <f t="shared" ref="G262" si="63">IF(C262=0, 0,D262*C262)</f>
        <v>34662.6</v>
      </c>
      <c r="H262" s="232">
        <f t="shared" ref="H262" si="64">IF(C262=0, D262, (E262-D262)/D262)</f>
        <v>-6.2390011135921651E-2</v>
      </c>
      <c r="I262" s="40"/>
      <c r="J262" s="40"/>
    </row>
    <row r="263" spans="2:10" x14ac:dyDescent="0.25">
      <c r="B263" s="193">
        <v>42604</v>
      </c>
      <c r="C263" s="10">
        <v>2000</v>
      </c>
      <c r="D263" s="200">
        <v>17.331299999999999</v>
      </c>
      <c r="E263" s="40">
        <v>16.190000000000001</v>
      </c>
      <c r="F263" s="40">
        <f t="shared" ref="F263" si="65">-C263*(D263-E263)</f>
        <v>-2282.5999999999949</v>
      </c>
      <c r="G263" s="40">
        <f t="shared" ref="G263" si="66">IF(C263=0, 0,D263*C263)</f>
        <v>34662.6</v>
      </c>
      <c r="H263" s="232">
        <f t="shared" ref="H263" si="67">IF(C263=0, D263, (E263-D263)/D263)</f>
        <v>-6.5851955710188939E-2</v>
      </c>
      <c r="I263" s="40"/>
      <c r="J263" s="40"/>
    </row>
    <row r="264" spans="2:10" x14ac:dyDescent="0.25">
      <c r="B264" s="193">
        <v>42607</v>
      </c>
      <c r="C264" s="10">
        <v>2000</v>
      </c>
      <c r="D264" s="200">
        <v>17.331299999999999</v>
      </c>
      <c r="E264" s="40">
        <v>16.2</v>
      </c>
      <c r="F264" s="40">
        <f t="shared" ref="F264" si="68">-C264*(D264-E264)</f>
        <v>-2262.599999999999</v>
      </c>
      <c r="G264" s="40">
        <f t="shared" ref="G264" si="69">IF(C264=0, 0,D264*C264)</f>
        <v>34662.6</v>
      </c>
      <c r="H264" s="232">
        <f t="shared" ref="H264" si="70">IF(C264=0, D264, (E264-D264)/D264)</f>
        <v>-6.5274964947811168E-2</v>
      </c>
      <c r="I264" s="40"/>
      <c r="J264" s="40"/>
    </row>
    <row r="265" spans="2:10" x14ac:dyDescent="0.25">
      <c r="B265" s="193">
        <v>42609</v>
      </c>
      <c r="C265" s="10">
        <v>2000</v>
      </c>
      <c r="D265" s="200">
        <v>17.331299999999999</v>
      </c>
      <c r="E265" s="40">
        <v>16.91</v>
      </c>
      <c r="F265" s="40">
        <f t="shared" ref="F265" si="71">-C265*(D265-E265)</f>
        <v>-842.59999999999741</v>
      </c>
      <c r="G265" s="40">
        <f t="shared" ref="G265" si="72">IF(C265=0, 0,D265*C265)</f>
        <v>34662.6</v>
      </c>
      <c r="H265" s="232">
        <f t="shared" ref="H265" si="73">IF(C265=0, D265, (E265-D265)/D265)</f>
        <v>-2.4308620818980612E-2</v>
      </c>
      <c r="I265" s="40"/>
      <c r="J265" s="40"/>
    </row>
    <row r="266" spans="2:10" x14ac:dyDescent="0.25">
      <c r="B266" s="193">
        <v>42612</v>
      </c>
      <c r="C266" s="10">
        <v>2000</v>
      </c>
      <c r="D266" s="200">
        <v>17.331299999999999</v>
      </c>
      <c r="E266" s="40">
        <v>16.739999999999998</v>
      </c>
      <c r="F266" s="40">
        <f t="shared" ref="F266" si="74">-C266*(D266-E266)</f>
        <v>-1182.6000000000008</v>
      </c>
      <c r="G266" s="40">
        <f t="shared" ref="G266" si="75">IF(C266=0, 0,D266*C266)</f>
        <v>34662.6</v>
      </c>
      <c r="H266" s="232">
        <f t="shared" ref="H266" si="76">IF(C266=0, D266, (E266-D266)/D266)</f>
        <v>-3.4117463779404916E-2</v>
      </c>
      <c r="I266" s="40"/>
      <c r="J266" s="40"/>
    </row>
    <row r="267" spans="2:10" x14ac:dyDescent="0.25">
      <c r="B267" s="193">
        <v>42615</v>
      </c>
      <c r="C267" s="10">
        <v>2000</v>
      </c>
      <c r="D267" s="200">
        <v>17.331299999999999</v>
      </c>
      <c r="E267" s="40">
        <v>16.7</v>
      </c>
      <c r="F267" s="40">
        <f t="shared" ref="F267:F268" si="77">-C267*(D267-E267)</f>
        <v>-1262.599999999999</v>
      </c>
      <c r="G267" s="40">
        <f t="shared" ref="G267:G268" si="78">IF(C267=0, 0,D267*C267)</f>
        <v>34662.6</v>
      </c>
      <c r="H267" s="232">
        <f t="shared" ref="H267:H268" si="79">IF(C267=0, D267, (E267-D267)/D267)</f>
        <v>-3.6425426828916446E-2</v>
      </c>
      <c r="I267" s="40"/>
      <c r="J267" s="40"/>
    </row>
    <row r="268" spans="2:10" x14ac:dyDescent="0.25">
      <c r="B268" s="193">
        <v>42619</v>
      </c>
      <c r="C268" s="455">
        <v>2000</v>
      </c>
      <c r="D268" s="456">
        <v>17.273900000000001</v>
      </c>
      <c r="E268" s="40">
        <v>17.010000000000002</v>
      </c>
      <c r="F268" s="40">
        <f t="shared" si="77"/>
        <v>-527.79999999999916</v>
      </c>
      <c r="G268" s="40">
        <f t="shared" si="78"/>
        <v>34547.800000000003</v>
      </c>
      <c r="H268" s="232">
        <f t="shared" si="79"/>
        <v>-1.5277383798678906E-2</v>
      </c>
      <c r="I268" s="457">
        <v>17</v>
      </c>
      <c r="J268" s="40"/>
    </row>
    <row r="269" spans="2:10" x14ac:dyDescent="0.25">
      <c r="B269" s="193">
        <v>42620</v>
      </c>
      <c r="C269" s="455">
        <v>2000</v>
      </c>
      <c r="D269" s="456">
        <v>17.234000000000002</v>
      </c>
      <c r="E269" s="40">
        <v>17.16</v>
      </c>
      <c r="F269" s="40">
        <f t="shared" ref="F269:F271" si="80">-C269*(D269-E269)</f>
        <v>-148.00000000000324</v>
      </c>
      <c r="G269" s="40">
        <f t="shared" ref="G269:G271" si="81">IF(C269=0, 0,D269*C269)</f>
        <v>34468</v>
      </c>
      <c r="H269" s="232">
        <f t="shared" ref="H269:H271" si="82">IF(C269=0, D269, (E269-D269)/D269)</f>
        <v>-4.2938377625624706E-3</v>
      </c>
      <c r="I269" s="457">
        <v>17</v>
      </c>
      <c r="J269" s="40"/>
    </row>
    <row r="270" spans="2:10" x14ac:dyDescent="0.25">
      <c r="B270" s="193">
        <v>42621</v>
      </c>
      <c r="C270" s="10">
        <v>1500</v>
      </c>
      <c r="D270" s="200">
        <v>17.168800000000001</v>
      </c>
      <c r="E270" s="40">
        <v>17.45</v>
      </c>
      <c r="F270" s="40">
        <f t="shared" si="80"/>
        <v>421.79999999999751</v>
      </c>
      <c r="G270" s="40">
        <f t="shared" si="81"/>
        <v>25753.200000000001</v>
      </c>
      <c r="H270" s="232">
        <f t="shared" si="82"/>
        <v>1.6378547132006798E-2</v>
      </c>
      <c r="I270" s="40"/>
      <c r="J270" s="40"/>
    </row>
    <row r="271" spans="2:10" x14ac:dyDescent="0.25">
      <c r="B271" s="193">
        <v>42622</v>
      </c>
      <c r="C271" s="455">
        <v>2000</v>
      </c>
      <c r="D271" s="456">
        <v>17.137899999999998</v>
      </c>
      <c r="E271" s="40">
        <v>16.809999999999999</v>
      </c>
      <c r="F271" s="40">
        <f t="shared" si="80"/>
        <v>-655.79999999999927</v>
      </c>
      <c r="G271" s="40">
        <f t="shared" si="81"/>
        <v>34275.799999999996</v>
      </c>
      <c r="H271" s="232">
        <f t="shared" si="82"/>
        <v>-1.9133032635270348E-2</v>
      </c>
      <c r="I271" s="457">
        <v>17</v>
      </c>
      <c r="J271" s="40"/>
    </row>
    <row r="272" spans="2:10" x14ac:dyDescent="0.25">
      <c r="B272" s="193">
        <v>42625</v>
      </c>
      <c r="C272" s="10">
        <v>2000</v>
      </c>
      <c r="D272" s="200">
        <v>17.137899999999998</v>
      </c>
      <c r="E272" s="40">
        <v>17.149999999999999</v>
      </c>
      <c r="F272" s="40">
        <f t="shared" ref="F272:F273" si="83">-C272*(D272-E272)</f>
        <v>24.200000000000443</v>
      </c>
      <c r="G272" s="40">
        <f t="shared" ref="G272:G273" si="84">IF(C272=0, 0,D272*C272)</f>
        <v>34275.799999999996</v>
      </c>
      <c r="H272" s="232">
        <f t="shared" ref="H272:H273" si="85">IF(C272=0, D272, (E272-D272)/D272)</f>
        <v>7.0603749584256077E-4</v>
      </c>
      <c r="I272" s="40"/>
      <c r="J272" s="40"/>
    </row>
    <row r="273" spans="2:10" x14ac:dyDescent="0.25">
      <c r="B273" s="193">
        <v>42626</v>
      </c>
      <c r="C273" s="10">
        <v>2100</v>
      </c>
      <c r="D273" s="200">
        <v>17.1065</v>
      </c>
      <c r="E273" s="40">
        <v>16.75</v>
      </c>
      <c r="F273" s="40">
        <f t="shared" si="83"/>
        <v>-748.650000000001</v>
      </c>
      <c r="G273" s="40">
        <f t="shared" si="84"/>
        <v>35923.65</v>
      </c>
      <c r="H273" s="232">
        <f t="shared" si="85"/>
        <v>-2.0840031566948265E-2</v>
      </c>
      <c r="I273" s="40"/>
      <c r="J273" s="40"/>
    </row>
    <row r="274" spans="2:10" x14ac:dyDescent="0.25">
      <c r="B274" s="193">
        <v>42627</v>
      </c>
      <c r="C274" s="10">
        <v>2100</v>
      </c>
      <c r="D274" s="200">
        <v>17.1065</v>
      </c>
      <c r="E274" s="40">
        <v>16.93</v>
      </c>
      <c r="F274" s="40">
        <f t="shared" ref="F274" si="86">-C274*(D274-E274)</f>
        <v>-370.65000000000163</v>
      </c>
      <c r="G274" s="40">
        <f t="shared" ref="G274" si="87">IF(C274=0, 0,D274*C274)</f>
        <v>35923.65</v>
      </c>
      <c r="H274" s="232">
        <f t="shared" ref="H274" si="88">IF(C274=0, D274, (E274-D274)/D274)</f>
        <v>-1.0317715488264739E-2</v>
      </c>
      <c r="I274" s="40"/>
      <c r="J274" s="40"/>
    </row>
    <row r="275" spans="2:10" x14ac:dyDescent="0.25">
      <c r="B275" s="193">
        <v>42628</v>
      </c>
      <c r="C275" s="10">
        <v>2100</v>
      </c>
      <c r="D275" s="200">
        <v>17.1065</v>
      </c>
      <c r="E275" s="40">
        <v>17.45</v>
      </c>
      <c r="F275" s="40">
        <f t="shared" ref="F275" si="89">-C275*(D275-E275)</f>
        <v>721.34999999999752</v>
      </c>
      <c r="G275" s="40">
        <f t="shared" ref="G275" si="90">IF(C275=0, 0,D275*C275)</f>
        <v>35923.65</v>
      </c>
      <c r="H275" s="232">
        <f t="shared" ref="H275" si="91">IF(C275=0, D275, (E275-D275)/D275)</f>
        <v>2.008008651682102E-2</v>
      </c>
      <c r="I275" s="40"/>
      <c r="J275" s="40"/>
    </row>
    <row r="276" spans="2:10" x14ac:dyDescent="0.25">
      <c r="B276" s="193">
        <v>42629</v>
      </c>
      <c r="C276" s="10">
        <v>2100</v>
      </c>
      <c r="D276" s="200">
        <v>17.1065</v>
      </c>
      <c r="E276" s="40">
        <v>17.48</v>
      </c>
      <c r="F276" s="40">
        <f t="shared" ref="F276" si="92">-C276*(D276-E276)</f>
        <v>784.34999999999991</v>
      </c>
      <c r="G276" s="40">
        <f t="shared" ref="G276" si="93">IF(C276=0, 0,D276*C276)</f>
        <v>35923.65</v>
      </c>
      <c r="H276" s="232">
        <f t="shared" ref="H276" si="94">IF(C276=0, D276, (E276-D276)/D276)</f>
        <v>2.1833805863268343E-2</v>
      </c>
      <c r="I276" s="40"/>
      <c r="J276" s="40"/>
    </row>
    <row r="277" spans="2:10" x14ac:dyDescent="0.25">
      <c r="B277" s="193">
        <v>42632</v>
      </c>
      <c r="C277" s="10">
        <v>2100</v>
      </c>
      <c r="D277" s="200">
        <v>17.106529999999999</v>
      </c>
      <c r="E277" s="40">
        <v>16.95</v>
      </c>
      <c r="F277" s="40">
        <f t="shared" ref="F277:F278" si="95">-C277*(D277-E277)</f>
        <v>-328.71300000000014</v>
      </c>
      <c r="G277" s="40">
        <f t="shared" ref="G277:G278" si="96">IF(C277=0, 0,D277*C277)</f>
        <v>35923.712999999996</v>
      </c>
      <c r="H277" s="232">
        <f t="shared" ref="H277:H278" si="97">IF(C277=0, D277, (E277-D277)/D277)</f>
        <v>-9.150306929576019E-3</v>
      </c>
      <c r="I277" s="40"/>
      <c r="J277" s="40"/>
    </row>
    <row r="278" spans="2:10" x14ac:dyDescent="0.25">
      <c r="B278" s="193">
        <v>42634</v>
      </c>
      <c r="C278" s="10">
        <v>1600</v>
      </c>
      <c r="D278" s="200">
        <v>16.943059999999999</v>
      </c>
      <c r="E278" s="40">
        <v>17.66</v>
      </c>
      <c r="F278" s="40">
        <f t="shared" si="95"/>
        <v>1147.1040000000016</v>
      </c>
      <c r="G278" s="40">
        <f t="shared" si="96"/>
        <v>27108.895999999997</v>
      </c>
      <c r="H278" s="232">
        <f t="shared" si="97"/>
        <v>4.2314670431433346E-2</v>
      </c>
      <c r="I278" s="40"/>
      <c r="J278" s="40"/>
    </row>
    <row r="279" spans="2:10" x14ac:dyDescent="0.25">
      <c r="B279" s="193">
        <v>42635</v>
      </c>
      <c r="C279" s="10">
        <v>1600</v>
      </c>
      <c r="D279" s="200">
        <v>16.943059999999999</v>
      </c>
      <c r="E279" s="40">
        <v>17.59</v>
      </c>
      <c r="F279" s="40">
        <f t="shared" ref="F279" si="98">-C279*(D279-E279)</f>
        <v>1035.1040000000012</v>
      </c>
      <c r="G279" s="40">
        <f t="shared" ref="G279" si="99">IF(C279=0, 0,D279*C279)</f>
        <v>27108.895999999997</v>
      </c>
      <c r="H279" s="232">
        <f t="shared" ref="H279" si="100">IF(C279=0, D279, (E279-D279)/D279)</f>
        <v>3.8183185327797978E-2</v>
      </c>
      <c r="I279" s="40"/>
      <c r="J279" s="40"/>
    </row>
    <row r="280" spans="2:10" x14ac:dyDescent="0.25">
      <c r="B280" s="193">
        <v>42640</v>
      </c>
      <c r="C280" s="10">
        <v>1600</v>
      </c>
      <c r="D280" s="200">
        <v>16.943059999999999</v>
      </c>
      <c r="E280" s="40">
        <v>18</v>
      </c>
      <c r="F280" s="40">
        <f t="shared" ref="F280:F281" si="101">-C280*(D280-E280)</f>
        <v>1691.1040000000014</v>
      </c>
      <c r="G280" s="40">
        <f t="shared" ref="G280:G281" si="102">IF(C280=0, 0,D280*C280)</f>
        <v>27108.895999999997</v>
      </c>
      <c r="H280" s="232">
        <f t="shared" ref="H280:H281" si="103">IF(C280=0, D280, (E280-D280)/D280)</f>
        <v>6.2381883791947909E-2</v>
      </c>
      <c r="I280" s="40"/>
      <c r="J280" s="40"/>
    </row>
    <row r="281" spans="2:10" x14ac:dyDescent="0.25">
      <c r="B281" s="193">
        <v>42641</v>
      </c>
      <c r="C281" s="10">
        <v>1800</v>
      </c>
      <c r="D281" s="200">
        <v>16.979289999999999</v>
      </c>
      <c r="E281" s="40">
        <v>17.440000000000001</v>
      </c>
      <c r="F281" s="40">
        <f t="shared" si="101"/>
        <v>829.27800000000434</v>
      </c>
      <c r="G281" s="40">
        <f t="shared" si="102"/>
        <v>30562.721999999998</v>
      </c>
      <c r="H281" s="232">
        <f t="shared" si="103"/>
        <v>2.71336433973389E-2</v>
      </c>
      <c r="I281" s="40"/>
      <c r="J281" s="40"/>
    </row>
    <row r="282" spans="2:10" x14ac:dyDescent="0.25">
      <c r="B282" s="193">
        <v>42643</v>
      </c>
      <c r="C282" s="10">
        <v>1800</v>
      </c>
      <c r="D282" s="200">
        <v>16.979289999999999</v>
      </c>
      <c r="E282" s="40">
        <v>17.78</v>
      </c>
      <c r="F282" s="40">
        <f t="shared" ref="F282:F283" si="104">-C282*(D282-E282)</f>
        <v>1441.2780000000041</v>
      </c>
      <c r="G282" s="40">
        <f t="shared" ref="G282:G283" si="105">IF(C282=0, 0,D282*C282)</f>
        <v>30562.721999999998</v>
      </c>
      <c r="H282" s="232">
        <f t="shared" ref="H282:H283" si="106">IF(C282=0, D282, (E282-D282)/D282)</f>
        <v>4.7158037821369583E-2</v>
      </c>
      <c r="I282" s="40"/>
      <c r="J282" s="40"/>
    </row>
    <row r="283" spans="2:10" x14ac:dyDescent="0.25">
      <c r="B283" s="193">
        <v>42647</v>
      </c>
      <c r="C283" s="455">
        <v>2000</v>
      </c>
      <c r="D283" s="456">
        <v>16.989360000000001</v>
      </c>
      <c r="E283" s="40">
        <v>17.8</v>
      </c>
      <c r="F283" s="40">
        <f t="shared" si="104"/>
        <v>1621.2799999999988</v>
      </c>
      <c r="G283" s="40">
        <f t="shared" si="105"/>
        <v>33978.720000000001</v>
      </c>
      <c r="H283" s="232">
        <f t="shared" si="106"/>
        <v>4.7714569589437116E-2</v>
      </c>
      <c r="I283" s="580" t="s">
        <v>367</v>
      </c>
      <c r="J283" s="202" t="s">
        <v>365</v>
      </c>
    </row>
    <row r="284" spans="2:10" x14ac:dyDescent="0.25">
      <c r="B284" s="193">
        <v>42648</v>
      </c>
      <c r="C284" s="10">
        <v>2000</v>
      </c>
      <c r="D284" s="200">
        <v>16.989360000000001</v>
      </c>
      <c r="E284" s="40">
        <v>17.7</v>
      </c>
      <c r="F284" s="40">
        <f t="shared" ref="F284:F286" si="107">-C284*(D284-E284)</f>
        <v>1421.2799999999959</v>
      </c>
      <c r="G284" s="40">
        <f t="shared" ref="G284:G286" si="108">IF(C284=0, 0,D284*C284)</f>
        <v>33978.720000000001</v>
      </c>
      <c r="H284" s="232">
        <f t="shared" ref="H284:H286" si="109">IF(C284=0, D284, (E284-D284)/D284)</f>
        <v>4.1828532681631204E-2</v>
      </c>
      <c r="I284" s="40"/>
      <c r="J284" s="40"/>
    </row>
    <row r="285" spans="2:10" x14ac:dyDescent="0.25">
      <c r="B285" s="193">
        <v>42661</v>
      </c>
      <c r="C285" s="10">
        <v>2200</v>
      </c>
      <c r="D285" s="200">
        <v>16.96123</v>
      </c>
      <c r="E285" s="40">
        <v>17.41</v>
      </c>
      <c r="F285" s="40">
        <f t="shared" si="107"/>
        <v>987.2939999999993</v>
      </c>
      <c r="G285" s="40">
        <f t="shared" si="108"/>
        <v>37314.705999999998</v>
      </c>
      <c r="H285" s="232">
        <f t="shared" si="109"/>
        <v>2.6458576412205934E-2</v>
      </c>
      <c r="I285" s="40"/>
      <c r="J285" s="40"/>
    </row>
    <row r="286" spans="2:10" x14ac:dyDescent="0.25">
      <c r="B286" s="193">
        <v>42662</v>
      </c>
      <c r="C286" s="455">
        <v>2000</v>
      </c>
      <c r="D286" s="456">
        <v>16.933399999999999</v>
      </c>
      <c r="E286" s="40">
        <v>17.215</v>
      </c>
      <c r="F286" s="40">
        <f t="shared" si="107"/>
        <v>563.20000000000186</v>
      </c>
      <c r="G286" s="40">
        <f t="shared" si="108"/>
        <v>33866.799999999996</v>
      </c>
      <c r="H286" s="232">
        <f t="shared" si="109"/>
        <v>1.6629855787969397E-2</v>
      </c>
      <c r="I286" s="580">
        <v>16.8</v>
      </c>
      <c r="J286" s="40"/>
    </row>
    <row r="287" spans="2:10" x14ac:dyDescent="0.25">
      <c r="B287" s="193">
        <v>42664</v>
      </c>
      <c r="C287" s="10">
        <v>2000</v>
      </c>
      <c r="D287" s="200">
        <v>16.933399999999999</v>
      </c>
      <c r="E287" s="40">
        <v>16.940000000000001</v>
      </c>
      <c r="F287" s="40">
        <f t="shared" ref="F287:F292" si="110">-C287*(D287-E287)</f>
        <v>13.200000000004763</v>
      </c>
      <c r="G287" s="40">
        <f t="shared" ref="G287:G292" si="111">IF(C287=0, 0,D287*C287)</f>
        <v>33866.799999999996</v>
      </c>
      <c r="H287" s="232">
        <f t="shared" ref="H287:H292" si="112">IF(C287=0, D287, (E287-D287)/D287)</f>
        <v>3.8976224503067206E-4</v>
      </c>
      <c r="I287" s="40"/>
      <c r="J287" s="40"/>
    </row>
    <row r="288" spans="2:10" x14ac:dyDescent="0.25">
      <c r="B288" s="193">
        <v>42668</v>
      </c>
      <c r="C288" s="10">
        <v>1800</v>
      </c>
      <c r="D288" s="200">
        <v>16.864930000000001</v>
      </c>
      <c r="E288" s="40">
        <v>17.54</v>
      </c>
      <c r="F288" s="40">
        <f t="shared" si="110"/>
        <v>1215.1259999999966</v>
      </c>
      <c r="G288" s="40">
        <f t="shared" si="111"/>
        <v>30356.874000000003</v>
      </c>
      <c r="H288" s="232">
        <f t="shared" si="112"/>
        <v>4.0028034507110198E-2</v>
      </c>
      <c r="I288" s="40"/>
      <c r="J288" s="40"/>
    </row>
    <row r="289" spans="2:10" x14ac:dyDescent="0.25">
      <c r="B289" s="193">
        <v>42669</v>
      </c>
      <c r="C289" s="10">
        <v>1000</v>
      </c>
      <c r="D289" s="200">
        <v>16.149180000000001</v>
      </c>
      <c r="E289" s="40">
        <v>17.64</v>
      </c>
      <c r="F289" s="40">
        <f t="shared" si="110"/>
        <v>1490.8199999999993</v>
      </c>
      <c r="G289" s="40">
        <f t="shared" si="111"/>
        <v>16149.18</v>
      </c>
      <c r="H289" s="232">
        <f t="shared" si="112"/>
        <v>9.2315523141113007E-2</v>
      </c>
      <c r="I289" s="40"/>
      <c r="J289" s="40"/>
    </row>
    <row r="290" spans="2:10" x14ac:dyDescent="0.25">
      <c r="B290" s="193">
        <v>42670</v>
      </c>
      <c r="C290" s="10">
        <v>1800</v>
      </c>
      <c r="D290" s="200">
        <v>16.753990000000002</v>
      </c>
      <c r="E290" s="40">
        <v>17.53</v>
      </c>
      <c r="F290" s="40">
        <f t="shared" si="110"/>
        <v>1396.8179999999988</v>
      </c>
      <c r="G290" s="40">
        <f t="shared" si="111"/>
        <v>30157.182000000004</v>
      </c>
      <c r="H290" s="232">
        <f t="shared" si="112"/>
        <v>4.6317921880101358E-2</v>
      </c>
      <c r="I290" s="40"/>
      <c r="J290" s="40"/>
    </row>
    <row r="291" spans="2:10" x14ac:dyDescent="0.25">
      <c r="B291" s="193">
        <v>42670</v>
      </c>
      <c r="C291" s="455">
        <v>2000</v>
      </c>
      <c r="D291" s="456">
        <v>16.820589999999999</v>
      </c>
      <c r="E291" s="40">
        <v>17.53</v>
      </c>
      <c r="F291" s="40">
        <f t="shared" si="110"/>
        <v>1418.8200000000038</v>
      </c>
      <c r="G291" s="40">
        <f t="shared" si="111"/>
        <v>33641.18</v>
      </c>
      <c r="H291" s="232">
        <f t="shared" si="112"/>
        <v>4.2175096117318234E-2</v>
      </c>
      <c r="I291" s="580">
        <v>16.8</v>
      </c>
      <c r="J291" s="40"/>
    </row>
    <row r="292" spans="2:10" x14ac:dyDescent="0.25">
      <c r="B292" s="193">
        <v>42671</v>
      </c>
      <c r="C292" s="455">
        <v>2000</v>
      </c>
      <c r="D292" s="456">
        <v>16.752666999999999</v>
      </c>
      <c r="E292" s="40">
        <v>17.2</v>
      </c>
      <c r="F292" s="40">
        <f t="shared" si="110"/>
        <v>894.66600000000085</v>
      </c>
      <c r="G292" s="40">
        <f t="shared" si="111"/>
        <v>33505.333999999995</v>
      </c>
      <c r="H292" s="232">
        <f t="shared" si="112"/>
        <v>2.6702196133905155E-2</v>
      </c>
      <c r="I292" s="580" t="s">
        <v>412</v>
      </c>
      <c r="J292" s="40"/>
    </row>
    <row r="293" spans="2:10" x14ac:dyDescent="0.25">
      <c r="B293" s="193">
        <v>42672</v>
      </c>
      <c r="C293" s="10">
        <v>2000</v>
      </c>
      <c r="D293" s="200">
        <v>16.752666999999999</v>
      </c>
      <c r="E293" s="40">
        <v>17.16</v>
      </c>
      <c r="F293" s="40">
        <f t="shared" ref="F293:F294" si="113">-C293*(D293-E293)</f>
        <v>814.66600000000255</v>
      </c>
      <c r="G293" s="40">
        <f t="shared" ref="G293:G294" si="114">IF(C293=0, 0,D293*C293)</f>
        <v>33505.333999999995</v>
      </c>
      <c r="H293" s="232">
        <f t="shared" ref="H293:H294" si="115">IF(C293=0, D293, (E293-D293)/D293)</f>
        <v>2.4314516608012402E-2</v>
      </c>
      <c r="I293" s="202" t="s">
        <v>412</v>
      </c>
      <c r="J293" s="40"/>
    </row>
    <row r="294" spans="2:10" x14ac:dyDescent="0.25">
      <c r="B294" s="193">
        <v>42675</v>
      </c>
      <c r="C294" s="455">
        <v>2000</v>
      </c>
      <c r="D294" s="456">
        <v>16.742699999999999</v>
      </c>
      <c r="E294" s="40">
        <v>17.2</v>
      </c>
      <c r="F294" s="40">
        <f t="shared" si="113"/>
        <v>914.60000000000014</v>
      </c>
      <c r="G294" s="40">
        <f t="shared" si="114"/>
        <v>33485.4</v>
      </c>
      <c r="H294" s="232">
        <f t="shared" si="115"/>
        <v>2.731339628614262E-2</v>
      </c>
      <c r="I294" s="580" t="s">
        <v>412</v>
      </c>
      <c r="J294" s="40"/>
    </row>
    <row r="295" spans="2:10" x14ac:dyDescent="0.25">
      <c r="B295" s="193">
        <v>42676</v>
      </c>
      <c r="C295" s="10">
        <v>2000</v>
      </c>
      <c r="D295" s="200">
        <v>16.742699999999999</v>
      </c>
      <c r="E295" s="40">
        <v>16.675000000000001</v>
      </c>
      <c r="F295" s="40">
        <f t="shared" ref="F295" si="116">-C295*(D295-E295)</f>
        <v>-135.39999999999708</v>
      </c>
      <c r="G295" s="40">
        <f t="shared" ref="G295" si="117">IF(C295=0, 0,D295*C295)</f>
        <v>33485.4</v>
      </c>
      <c r="H295" s="232">
        <f t="shared" ref="H295" si="118">IF(C295=0, D295, (E295-D295)/D295)</f>
        <v>-4.0435533098006019E-3</v>
      </c>
      <c r="I295" s="40"/>
      <c r="J295" s="40"/>
    </row>
    <row r="296" spans="2:10" x14ac:dyDescent="0.25">
      <c r="B296" s="193"/>
      <c r="C296" s="10"/>
      <c r="D296" s="200"/>
      <c r="E296" s="40"/>
      <c r="F296" s="40"/>
      <c r="G296" s="40"/>
      <c r="H296" s="232"/>
      <c r="I296" s="40"/>
      <c r="J296" s="40"/>
    </row>
    <row r="297" spans="2:10" x14ac:dyDescent="0.25">
      <c r="B297" s="193"/>
      <c r="C297" s="10"/>
      <c r="D297" s="200"/>
      <c r="E297" s="40"/>
      <c r="F297" s="40"/>
      <c r="G297" s="40"/>
      <c r="H297" s="232"/>
      <c r="I297" s="40"/>
      <c r="J297" s="40"/>
    </row>
    <row r="298" spans="2:10" x14ac:dyDescent="0.25">
      <c r="B298" s="193"/>
      <c r="C298" s="10"/>
      <c r="D298" s="200"/>
      <c r="E298" s="40"/>
      <c r="F298" s="40"/>
      <c r="G298" s="40"/>
      <c r="H298" s="232"/>
      <c r="I298" s="40"/>
      <c r="J298" s="40"/>
    </row>
    <row r="299" spans="2:10" x14ac:dyDescent="0.25">
      <c r="B299" s="193"/>
      <c r="C299" s="10"/>
      <c r="D299" s="200"/>
      <c r="E299" s="40"/>
      <c r="F299" s="40"/>
      <c r="G299" s="40"/>
      <c r="H299" s="232"/>
      <c r="I299" s="40"/>
      <c r="J299" s="40"/>
    </row>
    <row r="300" spans="2:10" x14ac:dyDescent="0.25">
      <c r="B300" s="193"/>
      <c r="C300" s="10"/>
      <c r="D300" s="200"/>
      <c r="E300" s="40"/>
      <c r="F300" s="40"/>
      <c r="G300" s="40"/>
      <c r="H300" s="232"/>
      <c r="I300" s="40"/>
      <c r="J300" s="40"/>
    </row>
    <row r="301" spans="2:10" x14ac:dyDescent="0.25">
      <c r="B301" s="193"/>
      <c r="C301" s="10"/>
      <c r="D301" s="200"/>
      <c r="E301" s="40"/>
      <c r="F301" s="40"/>
      <c r="G301" s="40"/>
      <c r="H301" s="232"/>
      <c r="I301" s="40"/>
      <c r="J301" s="40"/>
    </row>
  </sheetData>
  <mergeCells count="8">
    <mergeCell ref="G13:G14"/>
    <mergeCell ref="B51:B52"/>
    <mergeCell ref="G51:G52"/>
    <mergeCell ref="M126:M129"/>
    <mergeCell ref="A92:A94"/>
    <mergeCell ref="B53:B56"/>
    <mergeCell ref="G37:G39"/>
    <mergeCell ref="O44:P44"/>
  </mergeCells>
  <conditionalFormatting sqref="P16:P28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7">
      <iconSet iconSet="3Arrows">
        <cfvo type="percent" val="0"/>
        <cfvo type="num" val="0"/>
        <cfvo type="num" val="0"/>
      </iconSet>
    </cfRule>
  </conditionalFormatting>
  <conditionalFormatting sqref="F162:F292 H182:H292 H294:H301 F294:F301">
    <cfRule type="expression" dxfId="499" priority="45">
      <formula>F162&gt;0</formula>
    </cfRule>
    <cfRule type="expression" dxfId="498" priority="46">
      <formula>F162&lt;0</formula>
    </cfRule>
  </conditionalFormatting>
  <conditionalFormatting sqref="H162:H173">
    <cfRule type="expression" dxfId="497" priority="37">
      <formula>H162&gt;0</formula>
    </cfRule>
    <cfRule type="expression" dxfId="496" priority="38">
      <formula>H162&lt;0</formula>
    </cfRule>
  </conditionalFormatting>
  <conditionalFormatting sqref="H174">
    <cfRule type="expression" dxfId="495" priority="27">
      <formula>H174&gt;0</formula>
    </cfRule>
    <cfRule type="expression" dxfId="494" priority="28">
      <formula>H174&lt;0</formula>
    </cfRule>
  </conditionalFormatting>
  <conditionalFormatting sqref="H175">
    <cfRule type="expression" dxfId="493" priority="23">
      <formula>H175&gt;0</formula>
    </cfRule>
    <cfRule type="expression" dxfId="492" priority="24">
      <formula>H175&lt;0</formula>
    </cfRule>
  </conditionalFormatting>
  <conditionalFormatting sqref="H176:H181">
    <cfRule type="expression" dxfId="491" priority="19">
      <formula>H176&gt;0</formula>
    </cfRule>
    <cfRule type="expression" dxfId="490" priority="20">
      <formula>H176&lt;0</formula>
    </cfRule>
  </conditionalFormatting>
  <conditionalFormatting sqref="Q8">
    <cfRule type="expression" dxfId="489" priority="3">
      <formula>Q8&gt;0</formula>
    </cfRule>
    <cfRule type="expression" dxfId="488" priority="4">
      <formula>Q8&lt;0</formula>
    </cfRule>
  </conditionalFormatting>
  <conditionalFormatting sqref="Q7">
    <cfRule type="expression" dxfId="487" priority="5">
      <formula>Q7&gt;0</formula>
    </cfRule>
    <cfRule type="expression" dxfId="486" priority="6">
      <formula>Q7&lt;0</formula>
    </cfRule>
  </conditionalFormatting>
  <conditionalFormatting sqref="F293 H293">
    <cfRule type="expression" dxfId="485" priority="1">
      <formula>F293&gt;0</formula>
    </cfRule>
    <cfRule type="expression" dxfId="484" priority="2">
      <formula>F293&lt;0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3.7109375" customWidth="1"/>
    <col min="21" max="21" width="17.2851562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177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42676</v>
      </c>
      <c r="X2" s="103">
        <v>44.06</v>
      </c>
      <c r="Y2" s="103">
        <v>44.45</v>
      </c>
      <c r="Z2" s="103">
        <v>43.9</v>
      </c>
      <c r="AA2" s="103">
        <v>44.18</v>
      </c>
      <c r="AB2" s="101">
        <v>2686000</v>
      </c>
      <c r="AC2" s="100">
        <v>44.18</v>
      </c>
      <c r="AD2" s="2">
        <f>Y2-Z2</f>
        <v>0.55000000000000426</v>
      </c>
      <c r="AE2" s="138">
        <f>AC2/AC3-1</f>
        <v>-9.0456806874716911E-4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44.18</v>
      </c>
      <c r="S3" s="115"/>
      <c r="T3" s="17"/>
      <c r="U3" s="17"/>
      <c r="V3" s="17"/>
      <c r="W3" s="99">
        <v>42675</v>
      </c>
      <c r="X3" s="103">
        <v>45.15</v>
      </c>
      <c r="Y3" s="103">
        <v>45.22</v>
      </c>
      <c r="Z3" s="103">
        <v>43.76</v>
      </c>
      <c r="AA3" s="103">
        <v>44.22</v>
      </c>
      <c r="AB3" s="101">
        <v>3086100</v>
      </c>
      <c r="AC3" s="100">
        <v>44.22</v>
      </c>
      <c r="AD3" s="2">
        <f t="shared" ref="AD3:AD66" si="0">Y3-Z3</f>
        <v>1.4600000000000009</v>
      </c>
      <c r="AE3" s="138">
        <f t="shared" ref="AE3:AE66" si="1">AC3/AC4-1</f>
        <v>-1.7988007994670263E-2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44.18</v>
      </c>
      <c r="R4" s="557">
        <v>-8.9999999999999998E-4</v>
      </c>
      <c r="W4" s="99">
        <v>42674</v>
      </c>
      <c r="X4" s="103">
        <v>44.88</v>
      </c>
      <c r="Y4" s="103">
        <v>45.39</v>
      </c>
      <c r="Z4" s="103">
        <v>44.87</v>
      </c>
      <c r="AA4" s="103">
        <v>45.03</v>
      </c>
      <c r="AB4" s="101">
        <v>2317100</v>
      </c>
      <c r="AC4" s="100">
        <v>45.03</v>
      </c>
      <c r="AD4" s="2">
        <f t="shared" si="0"/>
        <v>0.52000000000000313</v>
      </c>
      <c r="AE4" s="138">
        <f t="shared" si="1"/>
        <v>4.4434570095530646E-4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42671</v>
      </c>
      <c r="X5" s="103">
        <v>45.19</v>
      </c>
      <c r="Y5" s="103">
        <v>45.52</v>
      </c>
      <c r="Z5" s="103">
        <v>44.71</v>
      </c>
      <c r="AA5" s="103">
        <v>45.01</v>
      </c>
      <c r="AB5" s="101">
        <v>2374500</v>
      </c>
      <c r="AC5" s="100">
        <v>45.01</v>
      </c>
      <c r="AD5" s="2">
        <f t="shared" si="0"/>
        <v>0.81000000000000227</v>
      </c>
      <c r="AE5" s="138">
        <f t="shared" si="1"/>
        <v>-2.8799291094373514E-3</v>
      </c>
    </row>
    <row r="6" spans="1:31" x14ac:dyDescent="0.25">
      <c r="O6" s="11" t="s">
        <v>64</v>
      </c>
      <c r="Q6" s="2">
        <f>Q3*Q2</f>
        <v>0</v>
      </c>
      <c r="S6" s="85"/>
      <c r="W6" s="99">
        <v>42670</v>
      </c>
      <c r="X6" s="103">
        <v>45.83</v>
      </c>
      <c r="Y6" s="103">
        <v>46</v>
      </c>
      <c r="Z6" s="103">
        <v>44.66</v>
      </c>
      <c r="AA6" s="103">
        <v>45.14</v>
      </c>
      <c r="AB6" s="101">
        <v>4070100</v>
      </c>
      <c r="AC6" s="100">
        <v>45.14</v>
      </c>
      <c r="AD6" s="2">
        <f t="shared" si="0"/>
        <v>1.3400000000000034</v>
      </c>
      <c r="AE6" s="138">
        <f t="shared" si="1"/>
        <v>-2.2097053726169769E-2</v>
      </c>
    </row>
    <row r="7" spans="1:31" x14ac:dyDescent="0.25">
      <c r="O7" s="11" t="s">
        <v>184</v>
      </c>
      <c r="Q7" s="2">
        <f>Q10+Q8</f>
        <v>119.92000000000053</v>
      </c>
      <c r="R7">
        <v>0</v>
      </c>
      <c r="W7" s="99">
        <v>42669</v>
      </c>
      <c r="X7" s="103">
        <v>46.29</v>
      </c>
      <c r="Y7" s="103">
        <v>46.72</v>
      </c>
      <c r="Z7" s="103">
        <v>46</v>
      </c>
      <c r="AA7" s="103">
        <v>46.16</v>
      </c>
      <c r="AB7" s="101">
        <v>2737500</v>
      </c>
      <c r="AC7" s="100">
        <v>46.16</v>
      </c>
      <c r="AD7" s="2">
        <f t="shared" si="0"/>
        <v>0.71999999999999886</v>
      </c>
      <c r="AE7" s="138">
        <f t="shared" si="1"/>
        <v>-9.442060085837034E-3</v>
      </c>
    </row>
    <row r="8" spans="1:31" x14ac:dyDescent="0.25">
      <c r="O8" s="11" t="s">
        <v>187</v>
      </c>
      <c r="P8" s="34"/>
      <c r="Q8" s="2">
        <f>K18+M18-F18+Q2*Q4</f>
        <v>0</v>
      </c>
      <c r="S8" s="121"/>
      <c r="W8" s="99">
        <v>42668</v>
      </c>
      <c r="X8" s="103">
        <v>46.64</v>
      </c>
      <c r="Y8" s="103">
        <v>46.73</v>
      </c>
      <c r="Z8" s="103">
        <v>46.08</v>
      </c>
      <c r="AA8" s="103">
        <v>46.6</v>
      </c>
      <c r="AB8" s="101">
        <v>2743600</v>
      </c>
      <c r="AC8" s="100">
        <v>46.6</v>
      </c>
      <c r="AD8" s="2">
        <f t="shared" si="0"/>
        <v>0.64999999999999858</v>
      </c>
      <c r="AE8" s="138">
        <f t="shared" si="1"/>
        <v>-2.3549561121815055E-3</v>
      </c>
    </row>
    <row r="9" spans="1:31" x14ac:dyDescent="0.25">
      <c r="O9" s="11" t="s">
        <v>219</v>
      </c>
      <c r="Q9" s="138">
        <f>IF(Q2=0, 0, Q8/Q6)</f>
        <v>0</v>
      </c>
      <c r="W9" s="99">
        <v>42667</v>
      </c>
      <c r="X9" s="103">
        <v>47.49</v>
      </c>
      <c r="Y9" s="103">
        <v>48.08</v>
      </c>
      <c r="Z9" s="103">
        <v>46.54</v>
      </c>
      <c r="AA9" s="103">
        <v>46.71</v>
      </c>
      <c r="AB9" s="101">
        <v>3544700</v>
      </c>
      <c r="AC9" s="100">
        <v>46.71</v>
      </c>
      <c r="AD9" s="2">
        <f t="shared" si="0"/>
        <v>1.5399999999999991</v>
      </c>
      <c r="AE9" s="138">
        <f t="shared" si="1"/>
        <v>-6.1702127659574169E-3</v>
      </c>
    </row>
    <row r="10" spans="1:31" x14ac:dyDescent="0.25">
      <c r="O10" s="11" t="s">
        <v>218</v>
      </c>
      <c r="P10" s="34"/>
      <c r="Q10" s="2">
        <f>M30</f>
        <v>119.92000000000053</v>
      </c>
      <c r="W10" s="99">
        <v>42664</v>
      </c>
      <c r="X10" s="103">
        <v>46.8</v>
      </c>
      <c r="Y10" s="103">
        <v>47.44</v>
      </c>
      <c r="Z10" s="103">
        <v>46.46</v>
      </c>
      <c r="AA10" s="103">
        <v>47</v>
      </c>
      <c r="AB10" s="101">
        <v>2205800</v>
      </c>
      <c r="AC10" s="100">
        <v>47</v>
      </c>
      <c r="AD10" s="2">
        <f t="shared" si="0"/>
        <v>0.97999999999999687</v>
      </c>
      <c r="AE10" s="138">
        <f t="shared" si="1"/>
        <v>-3.8151759220008685E-3</v>
      </c>
    </row>
    <row r="11" spans="1:31" x14ac:dyDescent="0.25">
      <c r="O11" s="11" t="s">
        <v>181</v>
      </c>
      <c r="P11" s="34"/>
      <c r="Q11" s="138">
        <f>VALUE(TRIM(CLEAN(MID(U58, FIND("(", U58)+1, 5))))</f>
        <v>4.1099999999999998E-2</v>
      </c>
      <c r="W11" s="99">
        <v>42663</v>
      </c>
      <c r="X11" s="103">
        <v>47.99</v>
      </c>
      <c r="Y11" s="103">
        <v>48</v>
      </c>
      <c r="Z11" s="103">
        <v>46.61</v>
      </c>
      <c r="AA11" s="103">
        <v>47.18</v>
      </c>
      <c r="AB11" s="101">
        <v>2937200</v>
      </c>
      <c r="AC11" s="100">
        <v>47.18</v>
      </c>
      <c r="AD11" s="2">
        <f t="shared" si="0"/>
        <v>1.3900000000000006</v>
      </c>
      <c r="AE11" s="138">
        <f t="shared" si="1"/>
        <v>-2.2783761391880764E-2</v>
      </c>
    </row>
    <row r="12" spans="1:31" x14ac:dyDescent="0.25">
      <c r="W12" s="99">
        <v>42662</v>
      </c>
      <c r="X12" s="103">
        <v>47.24</v>
      </c>
      <c r="Y12" s="103">
        <v>48.5</v>
      </c>
      <c r="Z12" s="103">
        <v>47.03</v>
      </c>
      <c r="AA12" s="103">
        <v>48.28</v>
      </c>
      <c r="AB12" s="101">
        <v>3521000</v>
      </c>
      <c r="AC12" s="100">
        <v>48.28</v>
      </c>
      <c r="AD12" s="2">
        <f t="shared" si="0"/>
        <v>1.4699999999999989</v>
      </c>
      <c r="AE12" s="138">
        <f t="shared" si="1"/>
        <v>2.6578779502445249E-2</v>
      </c>
    </row>
    <row r="13" spans="1:31" x14ac:dyDescent="0.25">
      <c r="W13" s="99">
        <v>42661</v>
      </c>
      <c r="X13" s="103">
        <v>46.72</v>
      </c>
      <c r="Y13" s="103">
        <v>47.35</v>
      </c>
      <c r="Z13" s="103">
        <v>46.72</v>
      </c>
      <c r="AA13" s="103">
        <v>47.03</v>
      </c>
      <c r="AB13" s="101">
        <v>2625700</v>
      </c>
      <c r="AC13" s="100">
        <v>47.03</v>
      </c>
      <c r="AD13" s="2">
        <f t="shared" si="0"/>
        <v>0.63000000000000256</v>
      </c>
      <c r="AE13" s="138">
        <f t="shared" si="1"/>
        <v>-3.6016949152543054E-3</v>
      </c>
    </row>
    <row r="14" spans="1:31" x14ac:dyDescent="0.25">
      <c r="W14" s="99">
        <v>42660</v>
      </c>
      <c r="X14" s="103">
        <v>46.96</v>
      </c>
      <c r="Y14" s="103">
        <v>47.83</v>
      </c>
      <c r="Z14" s="103">
        <v>46.93</v>
      </c>
      <c r="AA14" s="103">
        <v>47.2</v>
      </c>
      <c r="AB14" s="101">
        <v>2397500</v>
      </c>
      <c r="AC14" s="100">
        <v>47.2</v>
      </c>
      <c r="AD14" s="2">
        <f t="shared" si="0"/>
        <v>0.89999999999999858</v>
      </c>
      <c r="AE14" s="138">
        <f t="shared" si="1"/>
        <v>1.0057778728868039E-2</v>
      </c>
    </row>
    <row r="15" spans="1:31" x14ac:dyDescent="0.25">
      <c r="W15" s="99">
        <v>42657</v>
      </c>
      <c r="X15" s="103">
        <v>46.14</v>
      </c>
      <c r="Y15" s="103">
        <v>47.03</v>
      </c>
      <c r="Z15" s="103">
        <v>46.13</v>
      </c>
      <c r="AA15" s="103">
        <v>46.73</v>
      </c>
      <c r="AB15" s="101">
        <v>3486900</v>
      </c>
      <c r="AC15" s="100">
        <v>46.73</v>
      </c>
      <c r="AD15" s="2">
        <f t="shared" si="0"/>
        <v>0.89999999999999858</v>
      </c>
      <c r="AE15" s="138">
        <f t="shared" si="1"/>
        <v>1.9860323003055402E-2</v>
      </c>
    </row>
    <row r="16" spans="1:31" x14ac:dyDescent="0.25">
      <c r="W16" s="99">
        <v>42656</v>
      </c>
      <c r="X16" s="103">
        <v>45.95</v>
      </c>
      <c r="Y16" s="103">
        <v>46.07</v>
      </c>
      <c r="Z16" s="103">
        <v>45.25</v>
      </c>
      <c r="AA16" s="103">
        <v>45.82</v>
      </c>
      <c r="AB16" s="101">
        <v>2548600</v>
      </c>
      <c r="AC16" s="100">
        <v>45.82</v>
      </c>
      <c r="AD16" s="2">
        <f t="shared" si="0"/>
        <v>0.82000000000000028</v>
      </c>
      <c r="AE16" s="138">
        <f t="shared" si="1"/>
        <v>-1.2287130847165373E-2</v>
      </c>
    </row>
    <row r="17" spans="1:31" x14ac:dyDescent="0.25">
      <c r="W17" s="99">
        <v>42655</v>
      </c>
      <c r="X17" s="103">
        <v>45.95</v>
      </c>
      <c r="Y17" s="103">
        <v>46.52</v>
      </c>
      <c r="Z17" s="103">
        <v>45.95</v>
      </c>
      <c r="AA17" s="103">
        <v>46.39</v>
      </c>
      <c r="AB17" s="101">
        <v>3471600</v>
      </c>
      <c r="AC17" s="100">
        <v>46.39</v>
      </c>
      <c r="AD17" s="2">
        <f t="shared" si="0"/>
        <v>0.57000000000000028</v>
      </c>
      <c r="AE17" s="138">
        <f t="shared" si="1"/>
        <v>1.4654418197725283E-2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42654</v>
      </c>
      <c r="X18" s="103">
        <v>46.56</v>
      </c>
      <c r="Y18" s="103">
        <v>46.56</v>
      </c>
      <c r="Z18" s="103">
        <v>45.4</v>
      </c>
      <c r="AA18" s="103">
        <v>45.72</v>
      </c>
      <c r="AB18" s="101">
        <v>2908200</v>
      </c>
      <c r="AC18" s="100">
        <v>45.72</v>
      </c>
      <c r="AD18" s="2">
        <f t="shared" si="0"/>
        <v>1.1600000000000037</v>
      </c>
      <c r="AE18" s="138">
        <f t="shared" si="1"/>
        <v>-2.2659256092347202E-2</v>
      </c>
    </row>
    <row r="19" spans="1:31" x14ac:dyDescent="0.25">
      <c r="W19" s="99">
        <v>42653</v>
      </c>
      <c r="X19" s="103">
        <v>47.14</v>
      </c>
      <c r="Y19" s="103">
        <v>47.34</v>
      </c>
      <c r="Z19" s="103">
        <v>46.31</v>
      </c>
      <c r="AA19" s="103">
        <v>46.78</v>
      </c>
      <c r="AB19" s="101">
        <v>3148000</v>
      </c>
      <c r="AC19" s="100">
        <v>46.78</v>
      </c>
      <c r="AD19" s="2">
        <f t="shared" si="0"/>
        <v>1.0300000000000011</v>
      </c>
      <c r="AE19" s="138">
        <f t="shared" si="1"/>
        <v>-8.5433575395132966E-4</v>
      </c>
    </row>
    <row r="20" spans="1:31" x14ac:dyDescent="0.25">
      <c r="W20" s="99">
        <v>42650</v>
      </c>
      <c r="X20" s="103">
        <v>47.49</v>
      </c>
      <c r="Y20" s="103">
        <v>47.68</v>
      </c>
      <c r="Z20" s="103">
        <v>46.52</v>
      </c>
      <c r="AA20" s="103">
        <v>46.82</v>
      </c>
      <c r="AB20" s="101">
        <v>3792800</v>
      </c>
      <c r="AC20" s="100">
        <v>46.82</v>
      </c>
      <c r="AD20" s="2">
        <f t="shared" si="0"/>
        <v>1.1599999999999966</v>
      </c>
      <c r="AE20" s="138">
        <f t="shared" si="1"/>
        <v>-1.014799154334034E-2</v>
      </c>
    </row>
    <row r="21" spans="1:31" x14ac:dyDescent="0.25">
      <c r="W21" s="99">
        <v>42649</v>
      </c>
      <c r="X21" s="103">
        <v>46.82</v>
      </c>
      <c r="Y21" s="103">
        <v>47.96</v>
      </c>
      <c r="Z21" s="103">
        <v>46.79</v>
      </c>
      <c r="AA21" s="103">
        <v>47.3</v>
      </c>
      <c r="AB21" s="101">
        <v>3443600</v>
      </c>
      <c r="AC21" s="100">
        <v>47.3</v>
      </c>
      <c r="AD21" s="2">
        <f t="shared" si="0"/>
        <v>1.1700000000000017</v>
      </c>
      <c r="AE21" s="138">
        <f t="shared" si="1"/>
        <v>1.2631128238064671E-2</v>
      </c>
    </row>
    <row r="22" spans="1:31" x14ac:dyDescent="0.25">
      <c r="B22" s="191" t="s">
        <v>114</v>
      </c>
      <c r="C22" s="191" t="s">
        <v>149</v>
      </c>
      <c r="D22" s="192" t="s">
        <v>148</v>
      </c>
      <c r="E22" s="194" t="s">
        <v>150</v>
      </c>
      <c r="F22" s="194" t="s">
        <v>65</v>
      </c>
      <c r="G22" s="229" t="s">
        <v>154</v>
      </c>
      <c r="H22" s="229" t="s">
        <v>88</v>
      </c>
      <c r="I22" s="229" t="s">
        <v>158</v>
      </c>
      <c r="W22" s="99">
        <v>42648</v>
      </c>
      <c r="X22" s="103">
        <v>47.38</v>
      </c>
      <c r="Y22" s="103">
        <v>47.47</v>
      </c>
      <c r="Z22" s="103">
        <v>45.76</v>
      </c>
      <c r="AA22" s="103">
        <v>46.71</v>
      </c>
      <c r="AB22" s="101">
        <v>5612000</v>
      </c>
      <c r="AC22" s="100">
        <v>46.71</v>
      </c>
      <c r="AD22" s="2">
        <f t="shared" si="0"/>
        <v>1.7100000000000009</v>
      </c>
      <c r="AE22" s="138">
        <f t="shared" si="1"/>
        <v>-8.0696538543215679E-3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42647</v>
      </c>
      <c r="X23" s="103">
        <v>47.89</v>
      </c>
      <c r="Y23" s="103">
        <v>48.16</v>
      </c>
      <c r="Z23" s="103">
        <v>46.87</v>
      </c>
      <c r="AA23" s="103">
        <v>47.09</v>
      </c>
      <c r="AB23" s="101">
        <v>2621400</v>
      </c>
      <c r="AC23" s="100">
        <v>47.09</v>
      </c>
      <c r="AD23" s="2">
        <f t="shared" si="0"/>
        <v>1.2899999999999991</v>
      </c>
      <c r="AE23" s="138">
        <f t="shared" si="1"/>
        <v>-1.4853556485355468E-2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42646</v>
      </c>
      <c r="X24" s="103">
        <v>47.98</v>
      </c>
      <c r="Y24" s="103">
        <v>48.24</v>
      </c>
      <c r="Z24" s="103">
        <v>47.62</v>
      </c>
      <c r="AA24" s="103">
        <v>47.8</v>
      </c>
      <c r="AB24" s="101">
        <v>2346000</v>
      </c>
      <c r="AC24" s="100">
        <v>47.8</v>
      </c>
      <c r="AD24" s="2">
        <f t="shared" si="0"/>
        <v>0.62000000000000455</v>
      </c>
      <c r="AE24" s="138">
        <f t="shared" si="1"/>
        <v>-3.7515631513130865E-3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42643</v>
      </c>
      <c r="X25" s="103">
        <v>47.5</v>
      </c>
      <c r="Y25" s="103">
        <v>48.25</v>
      </c>
      <c r="Z25" s="103">
        <v>47.32</v>
      </c>
      <c r="AA25" s="103">
        <v>47.98</v>
      </c>
      <c r="AB25" s="101">
        <v>4253100</v>
      </c>
      <c r="AC25" s="100">
        <v>47.98</v>
      </c>
      <c r="AD25" s="2">
        <f t="shared" si="0"/>
        <v>0.92999999999999972</v>
      </c>
      <c r="AE25" s="138">
        <f t="shared" si="1"/>
        <v>1.3947590870667659E-2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42642</v>
      </c>
      <c r="X26" s="103">
        <v>48</v>
      </c>
      <c r="Y26" s="103">
        <v>48.09</v>
      </c>
      <c r="Z26" s="103">
        <v>47.08</v>
      </c>
      <c r="AA26" s="103">
        <v>47.32</v>
      </c>
      <c r="AB26" s="101">
        <v>2543200</v>
      </c>
      <c r="AC26" s="100">
        <v>47.32</v>
      </c>
      <c r="AD26" s="2">
        <f t="shared" si="0"/>
        <v>1.0100000000000051</v>
      </c>
      <c r="AE26" s="138">
        <f t="shared" si="1"/>
        <v>-1.6420702556640965E-2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42641</v>
      </c>
      <c r="X27" s="103">
        <v>47.63</v>
      </c>
      <c r="Y27" s="103">
        <v>48.14</v>
      </c>
      <c r="Z27" s="103">
        <v>47.3</v>
      </c>
      <c r="AA27" s="103">
        <v>48.11</v>
      </c>
      <c r="AB27" s="101">
        <v>2782800</v>
      </c>
      <c r="AC27" s="100">
        <v>48.11</v>
      </c>
      <c r="AD27" s="2">
        <f t="shared" si="0"/>
        <v>0.84000000000000341</v>
      </c>
      <c r="AE27" s="138">
        <f t="shared" si="1"/>
        <v>1.2842105263157988E-2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189</v>
      </c>
      <c r="W28" s="99">
        <v>42640</v>
      </c>
      <c r="X28" s="103">
        <v>47.36</v>
      </c>
      <c r="Y28" s="103">
        <v>47.69</v>
      </c>
      <c r="Z28" s="103">
        <v>47.08</v>
      </c>
      <c r="AA28" s="103">
        <v>47.5</v>
      </c>
      <c r="AB28" s="101">
        <v>2658100</v>
      </c>
      <c r="AC28" s="100">
        <v>47.5</v>
      </c>
      <c r="AD28" s="2">
        <f t="shared" si="0"/>
        <v>0.60999999999999943</v>
      </c>
      <c r="AE28" s="138">
        <f t="shared" si="1"/>
        <v>2.9560810810811411E-3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42639</v>
      </c>
      <c r="X29" s="103">
        <v>48.25</v>
      </c>
      <c r="Y29" s="103">
        <v>48.3</v>
      </c>
      <c r="Z29" s="103">
        <v>47.32</v>
      </c>
      <c r="AA29" s="103">
        <v>47.36</v>
      </c>
      <c r="AB29" s="101">
        <v>3238900</v>
      </c>
      <c r="AC29" s="100">
        <v>47.36</v>
      </c>
      <c r="AD29" s="2">
        <f t="shared" si="0"/>
        <v>0.97999999999999687</v>
      </c>
      <c r="AE29" s="138">
        <f t="shared" si="1"/>
        <v>-2.1689733526130905E-2</v>
      </c>
    </row>
    <row r="30" spans="1:31" x14ac:dyDescent="0.25">
      <c r="L30" t="s">
        <v>218</v>
      </c>
      <c r="M30" s="2">
        <f>M37+K37-F37</f>
        <v>119.92000000000053</v>
      </c>
      <c r="W30" s="99">
        <v>42636</v>
      </c>
      <c r="X30" s="103">
        <v>47.98</v>
      </c>
      <c r="Y30" s="103">
        <v>48.71</v>
      </c>
      <c r="Z30" s="103">
        <v>47.94</v>
      </c>
      <c r="AA30" s="103">
        <v>48.41</v>
      </c>
      <c r="AB30" s="101">
        <v>3683700</v>
      </c>
      <c r="AC30" s="100">
        <v>48.41</v>
      </c>
      <c r="AD30" s="2">
        <f t="shared" si="0"/>
        <v>0.77000000000000313</v>
      </c>
      <c r="AE30" s="138">
        <f t="shared" si="1"/>
        <v>1.0436234606553851E-2</v>
      </c>
    </row>
    <row r="31" spans="1:31" x14ac:dyDescent="0.25">
      <c r="A31" s="390" t="s">
        <v>1</v>
      </c>
      <c r="B31" s="390" t="s">
        <v>2</v>
      </c>
      <c r="C31" s="390" t="s">
        <v>4</v>
      </c>
      <c r="D31" s="390" t="s">
        <v>5</v>
      </c>
      <c r="E31" s="390" t="s">
        <v>90</v>
      </c>
      <c r="F31" s="390" t="s">
        <v>60</v>
      </c>
      <c r="G31" s="390" t="s">
        <v>3</v>
      </c>
      <c r="H31" s="419" t="s">
        <v>6</v>
      </c>
      <c r="I31" s="390" t="s">
        <v>7</v>
      </c>
      <c r="J31" s="390" t="s">
        <v>89</v>
      </c>
      <c r="K31" s="390" t="s">
        <v>61</v>
      </c>
      <c r="L31" s="390" t="s">
        <v>77</v>
      </c>
      <c r="M31" s="390" t="s">
        <v>38</v>
      </c>
      <c r="W31" s="99">
        <v>42635</v>
      </c>
      <c r="X31" s="103">
        <v>48.77</v>
      </c>
      <c r="Y31" s="103">
        <v>49.04</v>
      </c>
      <c r="Z31" s="103">
        <v>47.72</v>
      </c>
      <c r="AA31" s="103">
        <v>47.91</v>
      </c>
      <c r="AB31" s="101">
        <v>3790800</v>
      </c>
      <c r="AC31" s="100">
        <v>47.91</v>
      </c>
      <c r="AD31" s="2">
        <f t="shared" si="0"/>
        <v>1.3200000000000003</v>
      </c>
      <c r="AE31" s="138">
        <f t="shared" si="1"/>
        <v>-1.1961229119406225E-2</v>
      </c>
    </row>
    <row r="32" spans="1:31" x14ac:dyDescent="0.25">
      <c r="A32" s="393" t="s">
        <v>177</v>
      </c>
      <c r="B32" s="383">
        <v>42376</v>
      </c>
      <c r="C32" s="384">
        <v>100</v>
      </c>
      <c r="D32" s="385">
        <v>36.659999999999997</v>
      </c>
      <c r="E32" s="385">
        <v>0</v>
      </c>
      <c r="F32" s="385">
        <f>C32*D32+E32</f>
        <v>3665.9999999999995</v>
      </c>
      <c r="G32" s="420">
        <v>42432</v>
      </c>
      <c r="H32" s="403">
        <v>100</v>
      </c>
      <c r="I32" s="404">
        <v>37.42</v>
      </c>
      <c r="J32" s="404">
        <v>0.08</v>
      </c>
      <c r="K32" s="405">
        <f>I32*H32-J32</f>
        <v>3741.92</v>
      </c>
      <c r="L32" s="383">
        <v>42444</v>
      </c>
      <c r="M32" s="404">
        <v>44</v>
      </c>
      <c r="W32" s="99">
        <v>42634</v>
      </c>
      <c r="X32" s="103">
        <v>48.31</v>
      </c>
      <c r="Y32" s="103">
        <v>48.73</v>
      </c>
      <c r="Z32" s="103">
        <v>47.89</v>
      </c>
      <c r="AA32" s="103">
        <v>48.49</v>
      </c>
      <c r="AB32" s="101">
        <v>3215100</v>
      </c>
      <c r="AC32" s="100">
        <v>48.49</v>
      </c>
      <c r="AD32" s="2">
        <f t="shared" si="0"/>
        <v>0.83999999999999631</v>
      </c>
      <c r="AE32" s="138">
        <f t="shared" si="1"/>
        <v>9.7875885047895572E-3</v>
      </c>
    </row>
    <row r="33" spans="1:31" x14ac:dyDescent="0.25">
      <c r="A33" s="394" t="s">
        <v>71</v>
      </c>
      <c r="B33" s="383"/>
      <c r="C33" s="384"/>
      <c r="D33" s="385"/>
      <c r="E33" s="385"/>
      <c r="F33" s="385"/>
      <c r="G33" s="383"/>
      <c r="H33" s="388"/>
      <c r="I33" s="384"/>
      <c r="J33" s="384"/>
      <c r="K33" s="405"/>
      <c r="L33" s="383"/>
      <c r="M33" s="384"/>
      <c r="W33" s="99">
        <v>42633</v>
      </c>
      <c r="X33" s="103">
        <v>49.18</v>
      </c>
      <c r="Y33" s="103">
        <v>49.47</v>
      </c>
      <c r="Z33" s="103">
        <v>48.02</v>
      </c>
      <c r="AA33" s="103">
        <v>48.02</v>
      </c>
      <c r="AB33" s="101">
        <v>3893700</v>
      </c>
      <c r="AC33" s="100">
        <v>48.02</v>
      </c>
      <c r="AD33" s="2">
        <f t="shared" si="0"/>
        <v>1.4499999999999957</v>
      </c>
      <c r="AE33" s="138">
        <f t="shared" si="1"/>
        <v>-1.979995917534183E-2</v>
      </c>
    </row>
    <row r="34" spans="1:31" x14ac:dyDescent="0.25">
      <c r="A34" s="384"/>
      <c r="B34" s="383"/>
      <c r="C34" s="384"/>
      <c r="D34" s="385"/>
      <c r="E34" s="385"/>
      <c r="F34" s="385"/>
      <c r="G34" s="383"/>
      <c r="H34" s="388"/>
      <c r="I34" s="384"/>
      <c r="J34" s="385"/>
      <c r="K34" s="404"/>
      <c r="L34" s="384"/>
      <c r="M34" s="384"/>
      <c r="W34" s="99">
        <v>42632</v>
      </c>
      <c r="X34" s="103">
        <v>49.31</v>
      </c>
      <c r="Y34" s="103">
        <v>49.9</v>
      </c>
      <c r="Z34" s="103">
        <v>48.99</v>
      </c>
      <c r="AA34" s="103">
        <v>48.99</v>
      </c>
      <c r="AB34" s="101">
        <v>2611800</v>
      </c>
      <c r="AC34" s="100">
        <v>48.99</v>
      </c>
      <c r="AD34" s="2">
        <f t="shared" si="0"/>
        <v>0.90999999999999659</v>
      </c>
      <c r="AE34" s="138">
        <f t="shared" si="1"/>
        <v>-4.065867046147531E-3</v>
      </c>
    </row>
    <row r="35" spans="1:31" x14ac:dyDescent="0.25">
      <c r="A35" s="384"/>
      <c r="B35" s="383"/>
      <c r="C35" s="384"/>
      <c r="D35" s="385"/>
      <c r="E35" s="385"/>
      <c r="F35" s="385"/>
      <c r="G35" s="383"/>
      <c r="H35" s="388"/>
      <c r="I35" s="384"/>
      <c r="J35" s="385"/>
      <c r="K35" s="404"/>
      <c r="L35" s="384"/>
      <c r="M35" s="384"/>
      <c r="W35" s="99">
        <v>42629</v>
      </c>
      <c r="X35" s="103">
        <v>49.04</v>
      </c>
      <c r="Y35" s="103">
        <v>49.86</v>
      </c>
      <c r="Z35" s="103">
        <v>48.71</v>
      </c>
      <c r="AA35" s="103">
        <v>49.19</v>
      </c>
      <c r="AB35" s="101">
        <v>5135200</v>
      </c>
      <c r="AC35" s="100">
        <v>49.19</v>
      </c>
      <c r="AD35" s="2">
        <f t="shared" si="0"/>
        <v>1.1499999999999986</v>
      </c>
      <c r="AE35" s="138">
        <f t="shared" si="1"/>
        <v>1.9481865284973976E-2</v>
      </c>
    </row>
    <row r="36" spans="1:31" x14ac:dyDescent="0.25">
      <c r="A36" s="384"/>
      <c r="B36" s="384"/>
      <c r="C36" s="384"/>
      <c r="D36" s="384"/>
      <c r="E36" s="384"/>
      <c r="F36" s="384"/>
      <c r="G36" s="384"/>
      <c r="H36" s="388"/>
      <c r="I36" s="384"/>
      <c r="J36" s="384"/>
      <c r="K36" s="384"/>
      <c r="L36" s="384"/>
      <c r="M36" s="384"/>
      <c r="W36" s="99">
        <v>42628</v>
      </c>
      <c r="X36" s="103">
        <v>47.52</v>
      </c>
      <c r="Y36" s="103">
        <v>48.41</v>
      </c>
      <c r="Z36" s="103">
        <v>47.44</v>
      </c>
      <c r="AA36" s="103">
        <v>48.25</v>
      </c>
      <c r="AB36" s="101">
        <v>2450200</v>
      </c>
      <c r="AC36" s="100">
        <v>48.25</v>
      </c>
      <c r="AD36" s="2">
        <f t="shared" si="0"/>
        <v>0.96999999999999886</v>
      </c>
      <c r="AE36" s="138">
        <f t="shared" si="1"/>
        <v>1.5148327372185966E-2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42627</v>
      </c>
      <c r="X37" s="103">
        <v>47.57</v>
      </c>
      <c r="Y37" s="103">
        <v>47.96</v>
      </c>
      <c r="Z37" s="103">
        <v>47.3</v>
      </c>
      <c r="AA37" s="103">
        <v>47.53</v>
      </c>
      <c r="AB37" s="101">
        <v>1707600</v>
      </c>
      <c r="AC37" s="100">
        <v>47.53</v>
      </c>
      <c r="AD37" s="2">
        <f t="shared" si="0"/>
        <v>0.66000000000000369</v>
      </c>
      <c r="AE37" s="138">
        <f t="shared" si="1"/>
        <v>-4.1902367483761527E-3</v>
      </c>
    </row>
    <row r="38" spans="1:31" x14ac:dyDescent="0.25">
      <c r="A38" s="384"/>
      <c r="B38" s="384"/>
      <c r="C38" s="384"/>
      <c r="D38" s="384"/>
      <c r="E38" s="384"/>
      <c r="F38" s="384"/>
      <c r="G38" s="384"/>
      <c r="H38" s="388"/>
      <c r="I38" s="384"/>
      <c r="J38" s="384"/>
      <c r="K38" s="384"/>
      <c r="L38" s="384"/>
      <c r="M38" s="384"/>
      <c r="W38" s="99">
        <v>42626</v>
      </c>
      <c r="X38" s="103">
        <v>47.88</v>
      </c>
      <c r="Y38" s="103">
        <v>48.39</v>
      </c>
      <c r="Z38" s="103">
        <v>47.39</v>
      </c>
      <c r="AA38" s="103">
        <v>47.73</v>
      </c>
      <c r="AB38" s="101">
        <v>2342500</v>
      </c>
      <c r="AC38" s="100">
        <v>47.73</v>
      </c>
      <c r="AD38" s="2">
        <f t="shared" si="0"/>
        <v>1</v>
      </c>
      <c r="AE38" s="138">
        <f t="shared" si="1"/>
        <v>-9.9564405724954508E-3</v>
      </c>
    </row>
    <row r="39" spans="1:31" x14ac:dyDescent="0.25">
      <c r="W39" s="99">
        <v>42625</v>
      </c>
      <c r="X39" s="103">
        <v>47.3</v>
      </c>
      <c r="Y39" s="103">
        <v>48.44</v>
      </c>
      <c r="Z39" s="103">
        <v>47.17</v>
      </c>
      <c r="AA39" s="103">
        <v>48.21</v>
      </c>
      <c r="AB39" s="101">
        <v>2940600</v>
      </c>
      <c r="AC39" s="100">
        <v>48.21</v>
      </c>
      <c r="AD39" s="2">
        <f t="shared" si="0"/>
        <v>1.269999999999996</v>
      </c>
      <c r="AE39" s="138">
        <f t="shared" si="1"/>
        <v>1.0479983232026813E-2</v>
      </c>
    </row>
    <row r="40" spans="1:31" ht="20.25" thickBot="1" x14ac:dyDescent="0.35">
      <c r="O40" s="588" t="s">
        <v>78</v>
      </c>
      <c r="P40" s="588"/>
      <c r="W40" s="99">
        <v>42622</v>
      </c>
      <c r="X40" s="103">
        <v>48.77</v>
      </c>
      <c r="Y40" s="103">
        <v>48.88</v>
      </c>
      <c r="Z40" s="103">
        <v>47.65</v>
      </c>
      <c r="AA40" s="103">
        <v>47.71</v>
      </c>
      <c r="AB40" s="101">
        <v>2476100</v>
      </c>
      <c r="AC40" s="100">
        <v>47.71</v>
      </c>
      <c r="AD40" s="2">
        <f t="shared" si="0"/>
        <v>1.230000000000004</v>
      </c>
      <c r="AE40" s="138">
        <f t="shared" si="1"/>
        <v>-2.771550845730586E-2</v>
      </c>
    </row>
    <row r="41" spans="1:31" ht="15.75" thickTop="1" x14ac:dyDescent="0.25">
      <c r="O41" s="83">
        <v>1.1000000000000001</v>
      </c>
      <c r="P41" s="83">
        <f>O41*$Q$4</f>
        <v>48.598000000000006</v>
      </c>
      <c r="Q41" s="2"/>
      <c r="W41" s="99">
        <v>42621</v>
      </c>
      <c r="X41" s="103">
        <v>49.26</v>
      </c>
      <c r="Y41" s="103">
        <v>49.46</v>
      </c>
      <c r="Z41" s="103">
        <v>48.96</v>
      </c>
      <c r="AA41" s="103">
        <v>49.07</v>
      </c>
      <c r="AB41" s="101">
        <v>2251400</v>
      </c>
      <c r="AC41" s="100">
        <v>49.07</v>
      </c>
      <c r="AD41" s="2">
        <f t="shared" si="0"/>
        <v>0.5</v>
      </c>
      <c r="AE41" s="138">
        <f t="shared" si="1"/>
        <v>-8.2861762328212407E-3</v>
      </c>
    </row>
    <row r="42" spans="1:31" ht="20.25" thickBot="1" x14ac:dyDescent="0.35">
      <c r="O42" s="83">
        <v>1.0900000000000001</v>
      </c>
      <c r="P42" s="83">
        <f t="shared" ref="P42:P61" si="2">O42*$Q$4</f>
        <v>48.156200000000005</v>
      </c>
      <c r="Q42" s="2"/>
      <c r="T42" s="91" t="s">
        <v>113</v>
      </c>
      <c r="W42" s="99">
        <v>42620</v>
      </c>
      <c r="X42" s="103">
        <v>49.15</v>
      </c>
      <c r="Y42" s="103">
        <v>49.63</v>
      </c>
      <c r="Z42" s="103">
        <v>49.05</v>
      </c>
      <c r="AA42" s="103">
        <v>49.48</v>
      </c>
      <c r="AB42" s="101">
        <v>2037500</v>
      </c>
      <c r="AC42" s="100">
        <v>49.48</v>
      </c>
      <c r="AD42" s="2">
        <f t="shared" si="0"/>
        <v>0.5800000000000054</v>
      </c>
      <c r="AE42" s="138">
        <f t="shared" si="1"/>
        <v>2.6342451874366013E-3</v>
      </c>
    </row>
    <row r="43" spans="1:31" ht="15.75" thickTop="1" x14ac:dyDescent="0.25">
      <c r="O43" s="83">
        <v>1.08</v>
      </c>
      <c r="P43" s="83">
        <f t="shared" si="2"/>
        <v>47.714400000000005</v>
      </c>
      <c r="Q43" s="2"/>
      <c r="T43" s="97" t="s">
        <v>98</v>
      </c>
      <c r="U43" s="98">
        <v>44.22</v>
      </c>
      <c r="W43" s="99">
        <v>42619</v>
      </c>
      <c r="X43" s="103">
        <v>49.25</v>
      </c>
      <c r="Y43" s="103">
        <v>49.48</v>
      </c>
      <c r="Z43" s="103">
        <v>48.92</v>
      </c>
      <c r="AA43" s="103">
        <v>49.35</v>
      </c>
      <c r="AB43" s="101">
        <v>2544200</v>
      </c>
      <c r="AC43" s="100">
        <v>49.35</v>
      </c>
      <c r="AD43" s="2">
        <f t="shared" si="0"/>
        <v>0.55999999999999517</v>
      </c>
      <c r="AE43" s="138">
        <f t="shared" si="1"/>
        <v>4.6824104234528541E-3</v>
      </c>
    </row>
    <row r="44" spans="1:31" x14ac:dyDescent="0.25">
      <c r="O44" s="83">
        <v>1.07</v>
      </c>
      <c r="P44" s="83">
        <f t="shared" si="2"/>
        <v>47.272600000000004</v>
      </c>
      <c r="Q44" s="2"/>
      <c r="T44" s="87" t="s">
        <v>99</v>
      </c>
      <c r="U44" s="88">
        <v>44.06</v>
      </c>
      <c r="W44" s="99">
        <v>42615</v>
      </c>
      <c r="X44" s="103">
        <v>49</v>
      </c>
      <c r="Y44" s="103">
        <v>49.23</v>
      </c>
      <c r="Z44" s="103">
        <v>48.77</v>
      </c>
      <c r="AA44" s="103">
        <v>49.12</v>
      </c>
      <c r="AB44" s="101">
        <v>1657000</v>
      </c>
      <c r="AC44" s="100">
        <v>49.12</v>
      </c>
      <c r="AD44" s="2">
        <f t="shared" si="0"/>
        <v>0.45999999999999375</v>
      </c>
      <c r="AE44" s="138">
        <f t="shared" si="1"/>
        <v>8.4171628002462917E-3</v>
      </c>
    </row>
    <row r="45" spans="1:31" x14ac:dyDescent="0.25">
      <c r="O45" s="83">
        <v>1.06</v>
      </c>
      <c r="P45" s="83">
        <f t="shared" si="2"/>
        <v>46.830800000000004</v>
      </c>
      <c r="Q45" s="2"/>
      <c r="T45" s="87" t="s">
        <v>100</v>
      </c>
      <c r="U45" s="88" t="s">
        <v>477</v>
      </c>
      <c r="W45" s="99">
        <v>42614</v>
      </c>
      <c r="X45" s="103">
        <v>48.59</v>
      </c>
      <c r="Y45" s="103">
        <v>48.99</v>
      </c>
      <c r="Z45" s="103">
        <v>48.3</v>
      </c>
      <c r="AA45" s="103">
        <v>48.71</v>
      </c>
      <c r="AB45" s="101">
        <v>2112700</v>
      </c>
      <c r="AC45" s="100">
        <v>48.71</v>
      </c>
      <c r="AD45" s="2">
        <f t="shared" si="0"/>
        <v>0.69000000000000483</v>
      </c>
      <c r="AE45" s="138">
        <f t="shared" si="1"/>
        <v>4.5370179418435796E-3</v>
      </c>
    </row>
    <row r="46" spans="1:31" x14ac:dyDescent="0.25">
      <c r="O46" s="83">
        <v>1.05</v>
      </c>
      <c r="P46" s="83">
        <f t="shared" si="2"/>
        <v>46.389000000000003</v>
      </c>
      <c r="Q46" s="2"/>
      <c r="T46" s="87" t="s">
        <v>101</v>
      </c>
      <c r="U46" s="88" t="s">
        <v>478</v>
      </c>
      <c r="W46" s="99">
        <v>42613</v>
      </c>
      <c r="X46" s="103">
        <v>48.8</v>
      </c>
      <c r="Y46" s="103">
        <v>48.89</v>
      </c>
      <c r="Z46" s="103">
        <v>48.17</v>
      </c>
      <c r="AA46" s="103">
        <v>48.49</v>
      </c>
      <c r="AB46" s="101">
        <v>2229200</v>
      </c>
      <c r="AC46" s="100">
        <v>48.49</v>
      </c>
      <c r="AD46" s="2">
        <f t="shared" si="0"/>
        <v>0.71999999999999886</v>
      </c>
      <c r="AE46" s="138">
        <f t="shared" si="1"/>
        <v>-1.0206164523372085E-2</v>
      </c>
    </row>
    <row r="47" spans="1:31" x14ac:dyDescent="0.25">
      <c r="O47" s="83">
        <v>1.04</v>
      </c>
      <c r="P47" s="83">
        <f t="shared" si="2"/>
        <v>45.947200000000002</v>
      </c>
      <c r="Q47" s="2"/>
      <c r="T47" s="87" t="s">
        <v>102</v>
      </c>
      <c r="U47" s="88">
        <v>51</v>
      </c>
      <c r="W47" s="99">
        <v>42612</v>
      </c>
      <c r="X47" s="103">
        <v>48.9</v>
      </c>
      <c r="Y47" s="103">
        <v>49.33</v>
      </c>
      <c r="Z47" s="103">
        <v>48.8</v>
      </c>
      <c r="AA47" s="103">
        <v>48.99</v>
      </c>
      <c r="AB47" s="101">
        <v>2473500</v>
      </c>
      <c r="AC47" s="100">
        <v>48.99</v>
      </c>
      <c r="AD47" s="2">
        <f t="shared" si="0"/>
        <v>0.53000000000000114</v>
      </c>
      <c r="AE47" s="138">
        <f t="shared" si="1"/>
        <v>1.8404907975460016E-3</v>
      </c>
    </row>
    <row r="48" spans="1:31" x14ac:dyDescent="0.25">
      <c r="O48" s="83">
        <v>1.03</v>
      </c>
      <c r="P48" s="83">
        <f t="shared" si="2"/>
        <v>45.505400000000002</v>
      </c>
      <c r="Q48" s="2"/>
      <c r="T48" s="87" t="s">
        <v>103</v>
      </c>
      <c r="U48" s="88">
        <v>1.5950899999999999</v>
      </c>
      <c r="W48" s="99">
        <v>42611</v>
      </c>
      <c r="X48" s="103">
        <v>48.8</v>
      </c>
      <c r="Y48" s="103">
        <v>49.43</v>
      </c>
      <c r="Z48" s="103">
        <v>48.77</v>
      </c>
      <c r="AA48" s="103">
        <v>48.9</v>
      </c>
      <c r="AB48" s="101">
        <v>2744000</v>
      </c>
      <c r="AC48" s="100">
        <v>48.9</v>
      </c>
      <c r="AD48" s="2">
        <f t="shared" si="0"/>
        <v>0.65999999999999659</v>
      </c>
      <c r="AE48" s="138">
        <f t="shared" si="1"/>
        <v>2.0454080589082935E-4</v>
      </c>
    </row>
    <row r="49" spans="15:31" x14ac:dyDescent="0.25">
      <c r="O49" s="83">
        <v>1.02</v>
      </c>
      <c r="P49" s="83">
        <f t="shared" si="2"/>
        <v>45.063600000000001</v>
      </c>
      <c r="Q49" s="2"/>
      <c r="T49" s="87" t="s">
        <v>122</v>
      </c>
      <c r="U49" s="89" t="s">
        <v>479</v>
      </c>
      <c r="W49" s="99">
        <v>42608</v>
      </c>
      <c r="X49" s="103">
        <v>48.64</v>
      </c>
      <c r="Y49" s="103">
        <v>49.7</v>
      </c>
      <c r="Z49" s="103">
        <v>48.55</v>
      </c>
      <c r="AA49" s="103">
        <v>48.89</v>
      </c>
      <c r="AB49" s="101">
        <v>5442800</v>
      </c>
      <c r="AC49" s="100">
        <v>48.89</v>
      </c>
      <c r="AD49" s="2">
        <f t="shared" si="0"/>
        <v>1.1500000000000057</v>
      </c>
      <c r="AE49" s="138">
        <f t="shared" si="1"/>
        <v>1.0332713370531099E-2</v>
      </c>
    </row>
    <row r="50" spans="15:31" x14ac:dyDescent="0.25">
      <c r="O50" s="83">
        <v>1.01</v>
      </c>
      <c r="P50" s="83">
        <f t="shared" si="2"/>
        <v>44.6218</v>
      </c>
      <c r="Q50" s="2"/>
      <c r="T50" s="87"/>
      <c r="U50" s="88"/>
      <c r="W50" s="99">
        <v>42607</v>
      </c>
      <c r="X50" s="103">
        <v>46.54</v>
      </c>
      <c r="Y50" s="103">
        <v>48.71</v>
      </c>
      <c r="Z50" s="103">
        <v>46.35</v>
      </c>
      <c r="AA50" s="103">
        <v>48.39</v>
      </c>
      <c r="AB50" s="101">
        <v>6974500</v>
      </c>
      <c r="AC50" s="100">
        <v>48.39</v>
      </c>
      <c r="AD50" s="2">
        <f t="shared" si="0"/>
        <v>2.3599999999999994</v>
      </c>
      <c r="AE50" s="138">
        <f t="shared" si="1"/>
        <v>3.9304123711340067E-2</v>
      </c>
    </row>
    <row r="51" spans="15:31" x14ac:dyDescent="0.25">
      <c r="O51" s="83">
        <v>1</v>
      </c>
      <c r="P51" s="83">
        <f t="shared" si="2"/>
        <v>44.18</v>
      </c>
      <c r="Q51" s="2"/>
      <c r="T51" s="87" t="s">
        <v>105</v>
      </c>
      <c r="U51" s="88" t="s">
        <v>480</v>
      </c>
      <c r="W51" s="99">
        <v>42606</v>
      </c>
      <c r="X51" s="103">
        <v>47</v>
      </c>
      <c r="Y51" s="103">
        <v>47</v>
      </c>
      <c r="Z51" s="103">
        <v>46.48</v>
      </c>
      <c r="AA51" s="103">
        <v>46.56</v>
      </c>
      <c r="AB51" s="101">
        <v>1478500</v>
      </c>
      <c r="AC51" s="100">
        <v>46.56</v>
      </c>
      <c r="AD51" s="2">
        <f t="shared" si="0"/>
        <v>0.52000000000000313</v>
      </c>
      <c r="AE51" s="138">
        <f t="shared" si="1"/>
        <v>-8.5178875638841633E-3</v>
      </c>
    </row>
    <row r="52" spans="15:31" x14ac:dyDescent="0.25">
      <c r="O52" s="83">
        <v>0.99</v>
      </c>
      <c r="P52" s="83">
        <f t="shared" si="2"/>
        <v>43.738199999999999</v>
      </c>
      <c r="Q52" s="2"/>
      <c r="T52" s="87" t="s">
        <v>106</v>
      </c>
      <c r="U52" s="88" t="s">
        <v>348</v>
      </c>
      <c r="W52" s="99">
        <v>42605</v>
      </c>
      <c r="X52" s="103">
        <v>46.98</v>
      </c>
      <c r="Y52" s="103">
        <v>47.23</v>
      </c>
      <c r="Z52" s="103">
        <v>46.7</v>
      </c>
      <c r="AA52" s="103">
        <v>46.96</v>
      </c>
      <c r="AB52" s="101">
        <v>1837900</v>
      </c>
      <c r="AC52" s="100">
        <v>46.96</v>
      </c>
      <c r="AD52" s="2">
        <f t="shared" si="0"/>
        <v>0.52999999999999403</v>
      </c>
      <c r="AE52" s="138">
        <f t="shared" si="1"/>
        <v>8.5910652920961894E-3</v>
      </c>
    </row>
    <row r="53" spans="15:31" x14ac:dyDescent="0.25">
      <c r="O53" s="83">
        <v>0.98</v>
      </c>
      <c r="P53" s="83">
        <f t="shared" si="2"/>
        <v>43.296399999999998</v>
      </c>
      <c r="Q53" s="2"/>
      <c r="T53" s="87" t="s">
        <v>107</v>
      </c>
      <c r="U53" s="90">
        <v>2687256</v>
      </c>
      <c r="W53" s="99">
        <v>42604</v>
      </c>
      <c r="X53" s="103">
        <v>47.14</v>
      </c>
      <c r="Y53" s="103">
        <v>47.14</v>
      </c>
      <c r="Z53" s="103">
        <v>46.08</v>
      </c>
      <c r="AA53" s="103">
        <v>46.56</v>
      </c>
      <c r="AB53" s="101">
        <v>3461400</v>
      </c>
      <c r="AC53" s="100">
        <v>46.56</v>
      </c>
      <c r="AD53" s="2">
        <f t="shared" si="0"/>
        <v>1.0600000000000023</v>
      </c>
      <c r="AE53" s="138">
        <f t="shared" si="1"/>
        <v>-1.896333754740831E-2</v>
      </c>
    </row>
    <row r="54" spans="15:31" x14ac:dyDescent="0.25">
      <c r="O54" s="83">
        <v>0.97</v>
      </c>
      <c r="P54" s="83">
        <f t="shared" si="2"/>
        <v>42.854599999999998</v>
      </c>
      <c r="T54" s="87" t="s">
        <v>110</v>
      </c>
      <c r="U54" s="90">
        <v>2858340</v>
      </c>
      <c r="W54" s="99">
        <v>42601</v>
      </c>
      <c r="X54" s="103">
        <v>47.33</v>
      </c>
      <c r="Y54" s="103">
        <v>47.58</v>
      </c>
      <c r="Z54" s="103">
        <v>46.86</v>
      </c>
      <c r="AA54" s="103">
        <v>47.46</v>
      </c>
      <c r="AB54" s="101">
        <v>1750100</v>
      </c>
      <c r="AC54" s="100">
        <v>47.46</v>
      </c>
      <c r="AD54" s="2">
        <f t="shared" si="0"/>
        <v>0.71999999999999886</v>
      </c>
      <c r="AE54" s="138">
        <f t="shared" si="1"/>
        <v>-3.150598613736566E-3</v>
      </c>
    </row>
    <row r="55" spans="15:31" x14ac:dyDescent="0.25">
      <c r="O55" s="83">
        <v>0.96</v>
      </c>
      <c r="P55" s="83">
        <f t="shared" si="2"/>
        <v>42.412799999999997</v>
      </c>
      <c r="T55" s="87" t="s">
        <v>108</v>
      </c>
      <c r="U55" s="88" t="s">
        <v>481</v>
      </c>
      <c r="W55" s="99">
        <v>42600</v>
      </c>
      <c r="X55" s="103">
        <v>47.29</v>
      </c>
      <c r="Y55" s="103">
        <v>47.7</v>
      </c>
      <c r="Z55" s="103">
        <v>47.25</v>
      </c>
      <c r="AA55" s="103">
        <v>47.61</v>
      </c>
      <c r="AB55" s="101">
        <v>2252300</v>
      </c>
      <c r="AC55" s="100">
        <v>47.61</v>
      </c>
      <c r="AD55" s="2">
        <f t="shared" si="0"/>
        <v>0.45000000000000284</v>
      </c>
      <c r="AE55" s="138">
        <f t="shared" si="1"/>
        <v>6.3411540900444319E-3</v>
      </c>
    </row>
    <row r="56" spans="15:31" x14ac:dyDescent="0.25">
      <c r="O56" s="83">
        <v>0.95</v>
      </c>
      <c r="P56" s="83">
        <f t="shared" si="2"/>
        <v>41.970999999999997</v>
      </c>
      <c r="T56" s="87" t="s">
        <v>111</v>
      </c>
      <c r="U56" s="88">
        <v>21.28</v>
      </c>
      <c r="W56" s="99">
        <v>42599</v>
      </c>
      <c r="X56" s="103">
        <v>46.76</v>
      </c>
      <c r="Y56" s="103">
        <v>47.33</v>
      </c>
      <c r="Z56" s="103">
        <v>46.72</v>
      </c>
      <c r="AA56" s="103">
        <v>47.31</v>
      </c>
      <c r="AB56" s="101">
        <v>2454400</v>
      </c>
      <c r="AC56" s="100">
        <v>47.31</v>
      </c>
      <c r="AD56" s="2">
        <f t="shared" si="0"/>
        <v>0.60999999999999943</v>
      </c>
      <c r="AE56" s="138">
        <f t="shared" si="1"/>
        <v>1.393056150878702E-2</v>
      </c>
    </row>
    <row r="57" spans="15:31" x14ac:dyDescent="0.25">
      <c r="O57" s="83">
        <v>0.94</v>
      </c>
      <c r="P57" s="83">
        <f t="shared" si="2"/>
        <v>41.529199999999996</v>
      </c>
      <c r="T57" s="87" t="s">
        <v>112</v>
      </c>
      <c r="U57" s="88">
        <v>2.08</v>
      </c>
      <c r="W57" s="99">
        <v>42598</v>
      </c>
      <c r="X57" s="103">
        <v>46.45</v>
      </c>
      <c r="Y57" s="103">
        <v>47.48</v>
      </c>
      <c r="Z57" s="103">
        <v>46.43</v>
      </c>
      <c r="AA57" s="103">
        <v>46.66</v>
      </c>
      <c r="AB57" s="101">
        <v>2900600</v>
      </c>
      <c r="AC57" s="100">
        <v>46.66</v>
      </c>
      <c r="AD57" s="2">
        <f t="shared" si="0"/>
        <v>1.0499999999999972</v>
      </c>
      <c r="AE57" s="138">
        <f t="shared" si="1"/>
        <v>7.3402417962002975E-3</v>
      </c>
    </row>
    <row r="58" spans="15:31" x14ac:dyDescent="0.25">
      <c r="O58" s="83">
        <v>0.93</v>
      </c>
      <c r="P58" s="83">
        <f t="shared" si="2"/>
        <v>41.087400000000002</v>
      </c>
      <c r="T58" s="87" t="s">
        <v>109</v>
      </c>
      <c r="U58" s="88" t="s">
        <v>425</v>
      </c>
      <c r="W58" s="99">
        <v>42597</v>
      </c>
      <c r="X58" s="103">
        <v>46.5</v>
      </c>
      <c r="Y58" s="103">
        <v>46.88</v>
      </c>
      <c r="Z58" s="103">
        <v>46.32</v>
      </c>
      <c r="AA58" s="103">
        <v>46.32</v>
      </c>
      <c r="AB58" s="101">
        <v>2086300</v>
      </c>
      <c r="AC58" s="100">
        <v>46.32</v>
      </c>
      <c r="AD58" s="2">
        <f t="shared" si="0"/>
        <v>0.56000000000000227</v>
      </c>
      <c r="AE58" s="138">
        <f t="shared" si="1"/>
        <v>-3.870967741935516E-3</v>
      </c>
    </row>
    <row r="59" spans="15:31" x14ac:dyDescent="0.25">
      <c r="O59" s="83">
        <v>0.92</v>
      </c>
      <c r="P59" s="83">
        <f t="shared" si="2"/>
        <v>40.645600000000002</v>
      </c>
      <c r="W59" s="99">
        <v>42594</v>
      </c>
      <c r="X59" s="103">
        <v>46.84</v>
      </c>
      <c r="Y59" s="103">
        <v>47.02</v>
      </c>
      <c r="Z59" s="103">
        <v>46.3</v>
      </c>
      <c r="AA59" s="103">
        <v>46.5</v>
      </c>
      <c r="AB59" s="101">
        <v>2170100</v>
      </c>
      <c r="AC59" s="100">
        <v>46.5</v>
      </c>
      <c r="AD59" s="2">
        <f t="shared" si="0"/>
        <v>0.72000000000000597</v>
      </c>
      <c r="AE59" s="138">
        <f t="shared" si="1"/>
        <v>-9.1625825697847496E-3</v>
      </c>
    </row>
    <row r="60" spans="15:31" x14ac:dyDescent="0.25">
      <c r="O60" s="83">
        <v>0.91</v>
      </c>
      <c r="P60" s="83">
        <f t="shared" si="2"/>
        <v>40.203800000000001</v>
      </c>
      <c r="W60" s="99">
        <v>42593</v>
      </c>
      <c r="X60" s="103">
        <v>46.46</v>
      </c>
      <c r="Y60" s="103">
        <v>47.02</v>
      </c>
      <c r="Z60" s="103">
        <v>46.46</v>
      </c>
      <c r="AA60" s="103">
        <v>46.93</v>
      </c>
      <c r="AB60" s="101">
        <v>2688100</v>
      </c>
      <c r="AC60" s="100">
        <v>46.93</v>
      </c>
      <c r="AD60" s="2">
        <f t="shared" si="0"/>
        <v>0.56000000000000227</v>
      </c>
      <c r="AE60" s="138" t="e">
        <f t="shared" si="1"/>
        <v>#DIV/0!</v>
      </c>
    </row>
    <row r="61" spans="15:31" x14ac:dyDescent="0.25">
      <c r="O61" s="83">
        <v>0.9</v>
      </c>
      <c r="P61" s="83">
        <f t="shared" si="2"/>
        <v>39.762</v>
      </c>
      <c r="W61" s="99">
        <v>42593</v>
      </c>
      <c r="X61" s="103" t="s">
        <v>225</v>
      </c>
      <c r="Y61" s="103"/>
      <c r="Z61" s="103"/>
      <c r="AA61" s="103"/>
      <c r="AB61" s="101"/>
      <c r="AC61" s="100"/>
      <c r="AD61" s="2">
        <f t="shared" si="0"/>
        <v>0</v>
      </c>
      <c r="AE61" s="138">
        <f t="shared" si="1"/>
        <v>-1</v>
      </c>
    </row>
    <row r="62" spans="15:31" x14ac:dyDescent="0.25">
      <c r="W62" s="99">
        <v>42592</v>
      </c>
      <c r="X62" s="103">
        <v>46.07</v>
      </c>
      <c r="Y62" s="103">
        <v>47.39</v>
      </c>
      <c r="Z62" s="103">
        <v>46.07</v>
      </c>
      <c r="AA62" s="103">
        <v>46.79</v>
      </c>
      <c r="AB62" s="101">
        <v>4054400</v>
      </c>
      <c r="AC62" s="100">
        <v>46.35</v>
      </c>
      <c r="AD62" s="2">
        <f t="shared" si="0"/>
        <v>1.3200000000000003</v>
      </c>
      <c r="AE62" s="138">
        <f t="shared" si="1"/>
        <v>1.5779092702169706E-2</v>
      </c>
    </row>
    <row r="63" spans="15:31" x14ac:dyDescent="0.25">
      <c r="W63" s="99">
        <v>42591</v>
      </c>
      <c r="X63" s="103">
        <v>46.2</v>
      </c>
      <c r="Y63" s="103">
        <v>46.5</v>
      </c>
      <c r="Z63" s="103">
        <v>46.02</v>
      </c>
      <c r="AA63" s="103">
        <v>46.06</v>
      </c>
      <c r="AB63" s="101">
        <v>1175100</v>
      </c>
      <c r="AC63" s="100">
        <v>45.63</v>
      </c>
      <c r="AD63" s="2">
        <f t="shared" si="0"/>
        <v>0.47999999999999687</v>
      </c>
      <c r="AE63" s="138">
        <f t="shared" si="1"/>
        <v>-2.6229508196721207E-3</v>
      </c>
    </row>
    <row r="64" spans="15:31" x14ac:dyDescent="0.25">
      <c r="W64" s="99">
        <v>42590</v>
      </c>
      <c r="X64" s="103">
        <v>45.93</v>
      </c>
      <c r="Y64" s="103">
        <v>46.34</v>
      </c>
      <c r="Z64" s="103">
        <v>45.84</v>
      </c>
      <c r="AA64" s="103">
        <v>46.18</v>
      </c>
      <c r="AB64" s="101">
        <v>2112900</v>
      </c>
      <c r="AC64" s="100">
        <v>45.75</v>
      </c>
      <c r="AD64" s="2">
        <f t="shared" si="0"/>
        <v>0.5</v>
      </c>
      <c r="AE64" s="138">
        <f t="shared" si="1"/>
        <v>4.390779363337094E-3</v>
      </c>
    </row>
    <row r="65" spans="23:31" x14ac:dyDescent="0.25">
      <c r="W65" s="99">
        <v>42587</v>
      </c>
      <c r="X65" s="103">
        <v>46.11</v>
      </c>
      <c r="Y65" s="103">
        <v>46.47</v>
      </c>
      <c r="Z65" s="103">
        <v>45.89</v>
      </c>
      <c r="AA65" s="103">
        <v>45.98</v>
      </c>
      <c r="AB65" s="101">
        <v>1748900</v>
      </c>
      <c r="AC65" s="100">
        <v>45.55</v>
      </c>
      <c r="AD65" s="2">
        <f t="shared" si="0"/>
        <v>0.57999999999999829</v>
      </c>
      <c r="AE65" s="138">
        <f t="shared" si="1"/>
        <v>3.5250055078210885E-3</v>
      </c>
    </row>
    <row r="66" spans="23:31" x14ac:dyDescent="0.25">
      <c r="W66" s="99">
        <v>42586</v>
      </c>
      <c r="X66" s="103">
        <v>45.85</v>
      </c>
      <c r="Y66" s="103">
        <v>46.38</v>
      </c>
      <c r="Z66" s="103">
        <v>45.73</v>
      </c>
      <c r="AA66" s="103">
        <v>45.82</v>
      </c>
      <c r="AB66" s="101">
        <v>2061300</v>
      </c>
      <c r="AC66" s="100">
        <v>45.39</v>
      </c>
      <c r="AD66" s="2">
        <f t="shared" si="0"/>
        <v>0.65000000000000568</v>
      </c>
      <c r="AE66" s="138">
        <f t="shared" si="1"/>
        <v>1.7656146546016771E-3</v>
      </c>
    </row>
    <row r="67" spans="23:31" x14ac:dyDescent="0.25">
      <c r="W67" s="99">
        <v>42585</v>
      </c>
      <c r="X67" s="103">
        <v>45.38</v>
      </c>
      <c r="Y67" s="103">
        <v>45.82</v>
      </c>
      <c r="Z67" s="103">
        <v>45.17</v>
      </c>
      <c r="AA67" s="103">
        <v>45.74</v>
      </c>
      <c r="AB67" s="101">
        <v>1425800</v>
      </c>
      <c r="AC67" s="100">
        <v>45.31</v>
      </c>
      <c r="AD67" s="2">
        <f>Y67-Z67</f>
        <v>0.64999999999999858</v>
      </c>
      <c r="AE67" s="138" t="e">
        <f>AC67/#REF!-1</f>
        <v>#REF!</v>
      </c>
    </row>
    <row r="68" spans="23:31" x14ac:dyDescent="0.25">
      <c r="W68" s="99">
        <v>42584</v>
      </c>
      <c r="X68" s="103">
        <v>45.39</v>
      </c>
      <c r="Y68" s="103">
        <v>45.65</v>
      </c>
      <c r="Z68" s="103">
        <v>45.22</v>
      </c>
      <c r="AA68" s="103">
        <v>45.39</v>
      </c>
      <c r="AB68" s="101">
        <v>2004000</v>
      </c>
      <c r="AC68" s="100">
        <v>44.96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83" priority="11">
      <formula>F27&gt;0</formula>
    </cfRule>
    <cfRule type="expression" dxfId="482" priority="12">
      <formula>F27&lt;0</formula>
    </cfRule>
  </conditionalFormatting>
  <conditionalFormatting sqref="H27:H29">
    <cfRule type="expression" dxfId="481" priority="9">
      <formula>H27&gt;0</formula>
    </cfRule>
    <cfRule type="expression" dxfId="480" priority="10">
      <formula>H27&lt;0</formula>
    </cfRule>
  </conditionalFormatting>
  <conditionalFormatting sqref="F23:F26">
    <cfRule type="expression" dxfId="479" priority="7">
      <formula>F23&gt;0</formula>
    </cfRule>
    <cfRule type="expression" dxfId="478" priority="8">
      <formula>F23&lt;0</formula>
    </cfRule>
  </conditionalFormatting>
  <conditionalFormatting sqref="H23:H26">
    <cfRule type="expression" dxfId="477" priority="5">
      <formula>H23&gt;0</formula>
    </cfRule>
    <cfRule type="expression" dxfId="476" priority="6">
      <formula>H23&lt;0</formula>
    </cfRule>
  </conditionalFormatting>
  <conditionalFormatting sqref="Q8">
    <cfRule type="expression" dxfId="475" priority="1">
      <formula>Q8&gt;0</formula>
    </cfRule>
    <cfRule type="expression" dxfId="474" priority="2">
      <formula>Q8&lt;0</formula>
    </cfRule>
  </conditionalFormatting>
  <conditionalFormatting sqref="Q7">
    <cfRule type="expression" dxfId="473" priority="3">
      <formula>Q7&gt;0</formula>
    </cfRule>
    <cfRule type="expression" dxfId="472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3.7109375" customWidth="1"/>
    <col min="21" max="21" width="18.425781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42676</v>
      </c>
      <c r="X2" s="103">
        <v>34.6</v>
      </c>
      <c r="Y2" s="103">
        <v>34.9</v>
      </c>
      <c r="Z2" s="103">
        <v>34.47</v>
      </c>
      <c r="AA2" s="103">
        <v>34.6</v>
      </c>
      <c r="AB2" s="101">
        <v>21350100</v>
      </c>
      <c r="AC2" s="100">
        <v>34.6</v>
      </c>
      <c r="AD2" s="2">
        <f>Y2-Z2</f>
        <v>0.42999999999999972</v>
      </c>
      <c r="AE2" s="138">
        <f>AC2/AC3-1</f>
        <v>2.3174971031285629E-3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34.6</v>
      </c>
      <c r="S3" s="115"/>
      <c r="T3" s="17"/>
      <c r="U3" s="17"/>
      <c r="V3" s="17"/>
      <c r="W3" s="99">
        <v>42675</v>
      </c>
      <c r="X3" s="103">
        <v>34.9</v>
      </c>
      <c r="Y3" s="103">
        <v>35.159999999999997</v>
      </c>
      <c r="Z3" s="103">
        <v>34.270000000000003</v>
      </c>
      <c r="AA3" s="103">
        <v>34.520000000000003</v>
      </c>
      <c r="AB3" s="101">
        <v>25352400</v>
      </c>
      <c r="AC3" s="100">
        <v>34.520000000000003</v>
      </c>
      <c r="AD3" s="2">
        <f t="shared" ref="AD3:AD66" si="0">Y3-Z3</f>
        <v>0.88999999999999346</v>
      </c>
      <c r="AE3" s="138">
        <f t="shared" ref="AE3:AE66" si="1">AC3/AC4-1</f>
        <v>-1.0037281330656511E-2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34.6</v>
      </c>
      <c r="R4" s="557">
        <v>2.3E-3</v>
      </c>
      <c r="W4" s="99">
        <v>42674</v>
      </c>
      <c r="X4" s="103">
        <v>34.92</v>
      </c>
      <c r="Y4" s="103">
        <v>35.08</v>
      </c>
      <c r="Z4" s="103">
        <v>34.840000000000003</v>
      </c>
      <c r="AA4" s="103">
        <v>34.869999999999997</v>
      </c>
      <c r="AB4" s="101">
        <v>19188600</v>
      </c>
      <c r="AC4" s="100">
        <v>34.869999999999997</v>
      </c>
      <c r="AD4" s="2">
        <f t="shared" si="0"/>
        <v>0.23999999999999488</v>
      </c>
      <c r="AE4" s="138">
        <f t="shared" si="1"/>
        <v>3.7420840529647226E-3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42671</v>
      </c>
      <c r="X5" s="103">
        <v>34.869999999999997</v>
      </c>
      <c r="Y5" s="103">
        <v>35.17</v>
      </c>
      <c r="Z5" s="103">
        <v>34.71</v>
      </c>
      <c r="AA5" s="103">
        <v>34.74</v>
      </c>
      <c r="AB5" s="101">
        <v>22296400</v>
      </c>
      <c r="AC5" s="100">
        <v>34.74</v>
      </c>
      <c r="AD5" s="2">
        <f t="shared" si="0"/>
        <v>0.46000000000000085</v>
      </c>
      <c r="AE5" s="138">
        <f t="shared" si="1"/>
        <v>-2.0109164033323967E-3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42670</v>
      </c>
      <c r="X6" s="103">
        <v>35.1</v>
      </c>
      <c r="Y6" s="103">
        <v>35.229999999999997</v>
      </c>
      <c r="Z6" s="103">
        <v>34.75</v>
      </c>
      <c r="AA6" s="103">
        <v>34.81</v>
      </c>
      <c r="AB6" s="101">
        <v>14634700</v>
      </c>
      <c r="AC6" s="100">
        <v>34.81</v>
      </c>
      <c r="AD6" s="2">
        <f t="shared" si="0"/>
        <v>0.47999999999999687</v>
      </c>
      <c r="AE6" s="138">
        <f t="shared" si="1"/>
        <v>-3.1500572737686028E-3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184</v>
      </c>
      <c r="Q7" s="2">
        <f>Q10+Q8</f>
        <v>1407.5400000000009</v>
      </c>
      <c r="R7">
        <v>0</v>
      </c>
      <c r="W7" s="99">
        <v>42669</v>
      </c>
      <c r="X7" s="103">
        <v>35.04</v>
      </c>
      <c r="Y7" s="103">
        <v>35.21</v>
      </c>
      <c r="Z7" s="103">
        <v>34.74</v>
      </c>
      <c r="AA7" s="103">
        <v>34.92</v>
      </c>
      <c r="AB7" s="101">
        <v>19977600</v>
      </c>
      <c r="AC7" s="100">
        <v>34.92</v>
      </c>
      <c r="AD7" s="2">
        <f t="shared" si="0"/>
        <v>0.46999999999999886</v>
      </c>
      <c r="AE7" s="138">
        <f t="shared" si="1"/>
        <v>-5.12820512820511E-3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187</v>
      </c>
      <c r="P8" s="34"/>
      <c r="Q8" s="2">
        <f>K18+M18-F18+Q2*Q4</f>
        <v>0</v>
      </c>
      <c r="S8" s="121"/>
      <c r="W8" s="99">
        <v>42668</v>
      </c>
      <c r="X8" s="103">
        <v>35.14</v>
      </c>
      <c r="Y8" s="103">
        <v>35.25</v>
      </c>
      <c r="Z8" s="103">
        <v>35.01</v>
      </c>
      <c r="AA8" s="103">
        <v>35.1</v>
      </c>
      <c r="AB8" s="101">
        <v>17860300</v>
      </c>
      <c r="AC8" s="100">
        <v>35.1</v>
      </c>
      <c r="AD8" s="2">
        <f t="shared" si="0"/>
        <v>0.24000000000000199</v>
      </c>
      <c r="AE8" s="138">
        <f t="shared" si="1"/>
        <v>-4.5377197958025306E-3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219</v>
      </c>
      <c r="Q9" s="138">
        <f>IF(Q2=0, 0, Q8/Q6)</f>
        <v>0</v>
      </c>
      <c r="W9" s="99">
        <v>42667</v>
      </c>
      <c r="X9" s="103">
        <v>35.43</v>
      </c>
      <c r="Y9" s="103">
        <v>35.49</v>
      </c>
      <c r="Z9" s="103">
        <v>35.11</v>
      </c>
      <c r="AA9" s="103">
        <v>35.26</v>
      </c>
      <c r="AB9" s="101">
        <v>21524700</v>
      </c>
      <c r="AC9" s="100">
        <v>35.26</v>
      </c>
      <c r="AD9" s="2">
        <f t="shared" si="0"/>
        <v>0.38000000000000256</v>
      </c>
      <c r="AE9" s="138">
        <f t="shared" si="1"/>
        <v>3.1294452347083723E-3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218</v>
      </c>
      <c r="P10" s="34"/>
      <c r="Q10" s="2">
        <f>M33</f>
        <v>1407.5400000000009</v>
      </c>
      <c r="W10" s="99">
        <v>42664</v>
      </c>
      <c r="X10" s="103">
        <v>35.21</v>
      </c>
      <c r="Y10" s="103">
        <v>35.4</v>
      </c>
      <c r="Z10" s="103">
        <v>34.81</v>
      </c>
      <c r="AA10" s="103">
        <v>35.15</v>
      </c>
      <c r="AB10" s="101">
        <v>20813200</v>
      </c>
      <c r="AC10" s="100">
        <v>35.15</v>
      </c>
      <c r="AD10" s="2">
        <f t="shared" si="0"/>
        <v>0.58999999999999631</v>
      </c>
      <c r="AE10" s="138">
        <f t="shared" si="1"/>
        <v>-7.9029071408410756E-3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181</v>
      </c>
      <c r="P11" s="34"/>
      <c r="Q11" s="138">
        <f>VALUE(TRIM(CLEAN(MID(U58, FIND("(", U58)+1, 5))))</f>
        <v>2.9899999999999999E-2</v>
      </c>
      <c r="W11" s="99">
        <v>42663</v>
      </c>
      <c r="X11" s="103">
        <v>35.409999999999997</v>
      </c>
      <c r="Y11" s="103">
        <v>35.67</v>
      </c>
      <c r="Z11" s="103">
        <v>35.1</v>
      </c>
      <c r="AA11" s="103">
        <v>35.43</v>
      </c>
      <c r="AB11" s="101">
        <v>25669500</v>
      </c>
      <c r="AC11" s="100">
        <v>35.43</v>
      </c>
      <c r="AD11" s="2">
        <f t="shared" si="0"/>
        <v>0.57000000000000028</v>
      </c>
      <c r="AE11" s="138">
        <f t="shared" si="1"/>
        <v>-2.2528865108419893E-3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42662</v>
      </c>
      <c r="X12" s="103">
        <v>36.07</v>
      </c>
      <c r="Y12" s="103">
        <v>36.090000000000003</v>
      </c>
      <c r="Z12" s="103">
        <v>35.229999999999997</v>
      </c>
      <c r="AA12" s="103">
        <v>35.51</v>
      </c>
      <c r="AB12" s="101">
        <v>75229000</v>
      </c>
      <c r="AC12" s="100">
        <v>35.51</v>
      </c>
      <c r="AD12" s="2">
        <f t="shared" si="0"/>
        <v>0.86000000000000654</v>
      </c>
      <c r="AE12" s="138">
        <f t="shared" si="1"/>
        <v>-5.9337748344370889E-2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42661</v>
      </c>
      <c r="X13" s="103">
        <v>37.97</v>
      </c>
      <c r="Y13" s="103">
        <v>38.049999999999997</v>
      </c>
      <c r="Z13" s="103">
        <v>37.53</v>
      </c>
      <c r="AA13" s="103">
        <v>37.75</v>
      </c>
      <c r="AB13" s="101">
        <v>42907800</v>
      </c>
      <c r="AC13" s="100">
        <v>37.75</v>
      </c>
      <c r="AD13" s="2">
        <f t="shared" si="0"/>
        <v>0.51999999999999602</v>
      </c>
      <c r="AE13" s="138">
        <f t="shared" si="1"/>
        <v>1.2335746849021278E-2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42660</v>
      </c>
      <c r="X14" s="103">
        <v>37.549999999999997</v>
      </c>
      <c r="Y14" s="103">
        <v>37.72</v>
      </c>
      <c r="Z14" s="103">
        <v>37.24</v>
      </c>
      <c r="AA14" s="103">
        <v>37.29</v>
      </c>
      <c r="AB14" s="101">
        <v>15788100</v>
      </c>
      <c r="AC14" s="100">
        <v>37.29</v>
      </c>
      <c r="AD14" s="2">
        <f t="shared" si="0"/>
        <v>0.47999999999999687</v>
      </c>
      <c r="AE14" s="138">
        <f t="shared" si="1"/>
        <v>-4.272363150867875E-3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42657</v>
      </c>
      <c r="X15" s="103">
        <v>37.19</v>
      </c>
      <c r="Y15" s="103">
        <v>37.700000000000003</v>
      </c>
      <c r="Z15" s="103">
        <v>37.159999999999997</v>
      </c>
      <c r="AA15" s="103">
        <v>37.450000000000003</v>
      </c>
      <c r="AB15" s="101">
        <v>19123900</v>
      </c>
      <c r="AC15" s="100">
        <v>37.450000000000003</v>
      </c>
      <c r="AD15" s="2">
        <f t="shared" si="0"/>
        <v>0.54000000000000625</v>
      </c>
      <c r="AE15" s="138">
        <f t="shared" si="1"/>
        <v>1.2983500135244963E-2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42656</v>
      </c>
      <c r="X16" s="103">
        <v>36.85</v>
      </c>
      <c r="Y16" s="103">
        <v>37.130000000000003</v>
      </c>
      <c r="Z16" s="103">
        <v>36.46</v>
      </c>
      <c r="AA16" s="103">
        <v>36.97</v>
      </c>
      <c r="AB16" s="101">
        <v>16936000</v>
      </c>
      <c r="AC16" s="100">
        <v>36.97</v>
      </c>
      <c r="AD16" s="2">
        <f t="shared" si="0"/>
        <v>0.67000000000000171</v>
      </c>
      <c r="AE16" s="138">
        <f t="shared" si="1"/>
        <v>-4.3091839482899408E-3</v>
      </c>
    </row>
    <row r="17" spans="1:31" x14ac:dyDescent="0.25">
      <c r="W17" s="99">
        <v>42655</v>
      </c>
      <c r="X17" s="103">
        <v>37.200000000000003</v>
      </c>
      <c r="Y17" s="103">
        <v>37.25</v>
      </c>
      <c r="Z17" s="103">
        <v>36.81</v>
      </c>
      <c r="AA17" s="103">
        <v>37.130000000000003</v>
      </c>
      <c r="AB17" s="101">
        <v>14053900</v>
      </c>
      <c r="AC17" s="100">
        <v>37.130000000000003</v>
      </c>
      <c r="AD17" s="2">
        <f t="shared" si="0"/>
        <v>0.43999999999999773</v>
      </c>
      <c r="AE17" s="138">
        <f t="shared" si="1"/>
        <v>-3.7563724174939361E-3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42654</v>
      </c>
      <c r="X18" s="103">
        <v>37.909999999999997</v>
      </c>
      <c r="Y18" s="103">
        <v>38</v>
      </c>
      <c r="Z18" s="103">
        <v>36.82</v>
      </c>
      <c r="AA18" s="103">
        <v>37.270000000000003</v>
      </c>
      <c r="AB18" s="101">
        <v>27650500</v>
      </c>
      <c r="AC18" s="100">
        <v>37.270000000000003</v>
      </c>
      <c r="AD18" s="2">
        <f t="shared" si="0"/>
        <v>1.1799999999999997</v>
      </c>
      <c r="AE18" s="138">
        <f t="shared" si="1"/>
        <v>-1.9726459758022119E-2</v>
      </c>
    </row>
    <row r="19" spans="1:31" x14ac:dyDescent="0.25">
      <c r="W19" s="99">
        <v>42653</v>
      </c>
      <c r="X19" s="103">
        <v>38.25</v>
      </c>
      <c r="Y19" s="103">
        <v>38.36</v>
      </c>
      <c r="Z19" s="103">
        <v>37.9</v>
      </c>
      <c r="AA19" s="103">
        <v>38.020000000000003</v>
      </c>
      <c r="AB19" s="101">
        <v>14954300</v>
      </c>
      <c r="AC19" s="100">
        <v>38.020000000000003</v>
      </c>
      <c r="AD19" s="2">
        <f t="shared" si="0"/>
        <v>0.46000000000000085</v>
      </c>
      <c r="AE19" s="138">
        <f t="shared" si="1"/>
        <v>-2.0997375328083434E-3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W20" s="99">
        <v>42650</v>
      </c>
      <c r="X20" s="103">
        <v>38.08</v>
      </c>
      <c r="Y20" s="103">
        <v>38.22</v>
      </c>
      <c r="Z20" s="103">
        <v>37.78</v>
      </c>
      <c r="AA20" s="103">
        <v>38.1</v>
      </c>
      <c r="AB20" s="101">
        <v>16942500</v>
      </c>
      <c r="AC20" s="100">
        <v>38.1</v>
      </c>
      <c r="AD20" s="2">
        <f t="shared" si="0"/>
        <v>0.43999999999999773</v>
      </c>
      <c r="AE20" s="138">
        <f t="shared" si="1"/>
        <v>7.8802206461792146E-4</v>
      </c>
    </row>
    <row r="21" spans="1:31" x14ac:dyDescent="0.25">
      <c r="B21" s="193"/>
      <c r="C21" s="10"/>
      <c r="D21" s="40"/>
      <c r="E21" s="40"/>
      <c r="F21" s="40"/>
      <c r="G21" s="40"/>
      <c r="W21" s="99">
        <v>42649</v>
      </c>
      <c r="X21" s="103">
        <v>37.840000000000003</v>
      </c>
      <c r="Y21" s="103">
        <v>38.159999999999997</v>
      </c>
      <c r="Z21" s="103">
        <v>37.58</v>
      </c>
      <c r="AA21" s="103">
        <v>38.07</v>
      </c>
      <c r="AB21" s="101">
        <v>15171400</v>
      </c>
      <c r="AC21" s="100">
        <v>38.07</v>
      </c>
      <c r="AD21" s="2">
        <f t="shared" si="0"/>
        <v>0.57999999999999829</v>
      </c>
      <c r="AE21" s="138">
        <f t="shared" si="1"/>
        <v>2.1058173203474251E-3</v>
      </c>
    </row>
    <row r="22" spans="1:31" x14ac:dyDescent="0.25">
      <c r="B22" s="193"/>
      <c r="C22" s="10"/>
      <c r="D22" s="40"/>
      <c r="E22" s="40"/>
      <c r="F22" s="40"/>
      <c r="G22" s="40"/>
      <c r="W22" s="99">
        <v>42648</v>
      </c>
      <c r="X22" s="103">
        <v>37.75</v>
      </c>
      <c r="Y22" s="103">
        <v>38.31</v>
      </c>
      <c r="Z22" s="103">
        <v>37.64</v>
      </c>
      <c r="AA22" s="103">
        <v>37.99</v>
      </c>
      <c r="AB22" s="101">
        <v>22420800</v>
      </c>
      <c r="AC22" s="100">
        <v>37.99</v>
      </c>
      <c r="AD22" s="2">
        <f t="shared" si="0"/>
        <v>0.67000000000000171</v>
      </c>
      <c r="AE22" s="138">
        <f t="shared" si="1"/>
        <v>1.1987213638785299E-2</v>
      </c>
    </row>
    <row r="23" spans="1:31" x14ac:dyDescent="0.25">
      <c r="B23" s="10"/>
      <c r="C23" s="10"/>
      <c r="D23" s="40"/>
      <c r="E23" s="40"/>
      <c r="F23" s="40"/>
      <c r="G23" s="40"/>
      <c r="W23" s="99">
        <v>42647</v>
      </c>
      <c r="X23" s="103">
        <v>37.770000000000003</v>
      </c>
      <c r="Y23" s="103">
        <v>37.94</v>
      </c>
      <c r="Z23" s="103">
        <v>37.33</v>
      </c>
      <c r="AA23" s="103">
        <v>37.54</v>
      </c>
      <c r="AB23" s="101">
        <v>14393100</v>
      </c>
      <c r="AC23" s="100">
        <v>37.54</v>
      </c>
      <c r="AD23" s="2">
        <f t="shared" si="0"/>
        <v>0.60999999999999943</v>
      </c>
      <c r="AE23" s="138">
        <f t="shared" si="1"/>
        <v>-3.1864046733934837E-3</v>
      </c>
    </row>
    <row r="24" spans="1:31" x14ac:dyDescent="0.25">
      <c r="B24" s="10"/>
      <c r="C24" s="10"/>
      <c r="D24" s="40"/>
      <c r="E24" s="40"/>
      <c r="F24" s="40"/>
      <c r="G24" s="40"/>
      <c r="W24" s="99">
        <v>42646</v>
      </c>
      <c r="X24" s="103">
        <v>37.69</v>
      </c>
      <c r="Y24" s="103">
        <v>37.950000000000003</v>
      </c>
      <c r="Z24" s="103">
        <v>37.53</v>
      </c>
      <c r="AA24" s="103">
        <v>37.659999999999997</v>
      </c>
      <c r="AB24" s="101">
        <v>14113600</v>
      </c>
      <c r="AC24" s="100">
        <v>37.659999999999997</v>
      </c>
      <c r="AD24" s="2">
        <f t="shared" si="0"/>
        <v>0.42000000000000171</v>
      </c>
      <c r="AE24" s="138">
        <f t="shared" si="1"/>
        <v>-2.3841059602649484E-3</v>
      </c>
    </row>
    <row r="25" spans="1:31" x14ac:dyDescent="0.25">
      <c r="B25" s="10"/>
      <c r="C25" s="10"/>
      <c r="D25" s="40"/>
      <c r="E25" s="40"/>
      <c r="F25" s="40"/>
      <c r="G25" s="40"/>
      <c r="W25" s="99">
        <v>42643</v>
      </c>
      <c r="X25" s="103">
        <v>37.47</v>
      </c>
      <c r="Y25" s="103">
        <v>37.92</v>
      </c>
      <c r="Z25" s="103">
        <v>37.44</v>
      </c>
      <c r="AA25" s="103">
        <v>37.75</v>
      </c>
      <c r="AB25" s="101">
        <v>24279300</v>
      </c>
      <c r="AC25" s="100">
        <v>37.75</v>
      </c>
      <c r="AD25" s="2">
        <f t="shared" si="0"/>
        <v>0.48000000000000398</v>
      </c>
      <c r="AE25" s="138">
        <f t="shared" si="1"/>
        <v>1.1521972132904512E-2</v>
      </c>
    </row>
    <row r="26" spans="1:31" x14ac:dyDescent="0.25">
      <c r="B26" s="10"/>
      <c r="C26" s="10"/>
      <c r="D26" s="40"/>
      <c r="E26" s="40"/>
      <c r="F26" s="40"/>
      <c r="G26" s="40"/>
      <c r="W26" s="99">
        <v>42642</v>
      </c>
      <c r="X26" s="103">
        <v>37.49</v>
      </c>
      <c r="Y26" s="103">
        <v>37.53</v>
      </c>
      <c r="Z26" s="103">
        <v>37</v>
      </c>
      <c r="AA26" s="103">
        <v>37.32</v>
      </c>
      <c r="AB26" s="101">
        <v>17675000</v>
      </c>
      <c r="AC26" s="100">
        <v>37.32</v>
      </c>
      <c r="AD26" s="2">
        <f t="shared" si="0"/>
        <v>0.53000000000000114</v>
      </c>
      <c r="AE26" s="138">
        <f t="shared" si="1"/>
        <v>-3.2051282051280827E-3</v>
      </c>
    </row>
    <row r="27" spans="1:31" x14ac:dyDescent="0.25">
      <c r="B27" s="10"/>
      <c r="C27" s="10"/>
      <c r="D27" s="40"/>
      <c r="E27" s="40"/>
      <c r="F27" s="40"/>
      <c r="G27" s="40"/>
      <c r="W27" s="99">
        <v>42641</v>
      </c>
      <c r="X27" s="103">
        <v>37.31</v>
      </c>
      <c r="Y27" s="103">
        <v>37.5</v>
      </c>
      <c r="Z27" s="103">
        <v>37.15</v>
      </c>
      <c r="AA27" s="103">
        <v>37.44</v>
      </c>
      <c r="AB27" s="101">
        <v>19020800</v>
      </c>
      <c r="AC27" s="100">
        <v>37.44</v>
      </c>
      <c r="AD27" s="2">
        <f t="shared" si="0"/>
        <v>0.35000000000000142</v>
      </c>
      <c r="AE27" s="138">
        <f t="shared" si="1"/>
        <v>6.9930069930068672E-3</v>
      </c>
    </row>
    <row r="28" spans="1:31" x14ac:dyDescent="0.25">
      <c r="B28" s="10"/>
      <c r="C28" s="10"/>
      <c r="D28" s="40"/>
      <c r="E28" s="40"/>
      <c r="F28" s="40"/>
      <c r="G28" s="40"/>
      <c r="W28" s="99">
        <v>42640</v>
      </c>
      <c r="X28" s="103">
        <v>36.9</v>
      </c>
      <c r="Y28" s="103">
        <v>37.22</v>
      </c>
      <c r="Z28" s="103">
        <v>36.630000000000003</v>
      </c>
      <c r="AA28" s="103">
        <v>37.18</v>
      </c>
      <c r="AB28" s="101">
        <v>22391600</v>
      </c>
      <c r="AC28" s="100">
        <v>37.18</v>
      </c>
      <c r="AD28" s="2">
        <f t="shared" si="0"/>
        <v>0.58999999999999631</v>
      </c>
      <c r="AE28" s="138">
        <f t="shared" si="1"/>
        <v>1.4461118690313857E-2</v>
      </c>
    </row>
    <row r="29" spans="1:31" x14ac:dyDescent="0.25">
      <c r="B29" s="10"/>
      <c r="C29" s="10"/>
      <c r="D29" s="40"/>
      <c r="E29" s="40"/>
      <c r="F29" s="40"/>
      <c r="G29" s="40"/>
      <c r="W29" s="99">
        <v>42639</v>
      </c>
      <c r="X29" s="103">
        <v>36.92</v>
      </c>
      <c r="Y29" s="103">
        <v>36.94</v>
      </c>
      <c r="Z29" s="103">
        <v>36.6</v>
      </c>
      <c r="AA29" s="103">
        <v>36.65</v>
      </c>
      <c r="AB29" s="101">
        <v>25518800</v>
      </c>
      <c r="AC29" s="100">
        <v>36.65</v>
      </c>
      <c r="AD29" s="2">
        <f t="shared" si="0"/>
        <v>0.33999999999999631</v>
      </c>
      <c r="AE29" s="138">
        <f t="shared" si="1"/>
        <v>-1.452003226673837E-2</v>
      </c>
    </row>
    <row r="30" spans="1:31" x14ac:dyDescent="0.25">
      <c r="B30" s="10"/>
      <c r="C30" s="10"/>
      <c r="D30" s="40"/>
      <c r="E30" s="40"/>
      <c r="F30" s="40"/>
      <c r="G30" s="40"/>
      <c r="W30" s="99">
        <v>42636</v>
      </c>
      <c r="X30" s="103">
        <v>37.450000000000003</v>
      </c>
      <c r="Y30" s="103">
        <v>37.65</v>
      </c>
      <c r="Z30" s="103">
        <v>37.119999999999997</v>
      </c>
      <c r="AA30" s="103">
        <v>37.19</v>
      </c>
      <c r="AB30" s="101">
        <v>18062500</v>
      </c>
      <c r="AC30" s="100">
        <v>37.19</v>
      </c>
      <c r="AD30" s="2">
        <f t="shared" si="0"/>
        <v>0.53000000000000114</v>
      </c>
      <c r="AE30" s="138">
        <f t="shared" si="1"/>
        <v>-9.5872170439413873E-3</v>
      </c>
    </row>
    <row r="31" spans="1:31" x14ac:dyDescent="0.25">
      <c r="W31" s="99">
        <v>42635</v>
      </c>
      <c r="X31" s="103">
        <v>37.6</v>
      </c>
      <c r="Y31" s="103">
        <v>37.83</v>
      </c>
      <c r="Z31" s="103">
        <v>37.44</v>
      </c>
      <c r="AA31" s="103">
        <v>37.549999999999997</v>
      </c>
      <c r="AB31" s="101">
        <v>17013400</v>
      </c>
      <c r="AC31" s="100">
        <v>37.549999999999997</v>
      </c>
      <c r="AD31" s="2">
        <f t="shared" si="0"/>
        <v>0.39000000000000057</v>
      </c>
      <c r="AE31" s="138">
        <f t="shared" si="1"/>
        <v>2.6702269692921998E-3</v>
      </c>
    </row>
    <row r="32" spans="1:31" x14ac:dyDescent="0.25">
      <c r="W32" s="99">
        <v>42634</v>
      </c>
      <c r="X32" s="103">
        <v>37.21</v>
      </c>
      <c r="Y32" s="103">
        <v>37.46</v>
      </c>
      <c r="Z32" s="103">
        <v>36.86</v>
      </c>
      <c r="AA32" s="103">
        <v>37.450000000000003</v>
      </c>
      <c r="AB32" s="101">
        <v>21233700</v>
      </c>
      <c r="AC32" s="100">
        <v>37.450000000000003</v>
      </c>
      <c r="AD32" s="2">
        <f t="shared" si="0"/>
        <v>0.60000000000000142</v>
      </c>
      <c r="AE32" s="138">
        <f t="shared" si="1"/>
        <v>8.3467959073775244E-3</v>
      </c>
    </row>
    <row r="33" spans="1:31" x14ac:dyDescent="0.25">
      <c r="L33" t="s">
        <v>218</v>
      </c>
      <c r="M33" s="2">
        <f>M56+K56-F56</f>
        <v>1407.5400000000009</v>
      </c>
      <c r="W33" s="99">
        <v>42633</v>
      </c>
      <c r="X33" s="103">
        <v>37.42</v>
      </c>
      <c r="Y33" s="103">
        <v>37.43</v>
      </c>
      <c r="Z33" s="103">
        <v>36.94</v>
      </c>
      <c r="AA33" s="103">
        <v>37.14</v>
      </c>
      <c r="AB33" s="101">
        <v>24796900</v>
      </c>
      <c r="AC33" s="100">
        <v>37.14</v>
      </c>
      <c r="AD33" s="2">
        <f t="shared" si="0"/>
        <v>0.49000000000000199</v>
      </c>
      <c r="AE33" s="138">
        <f t="shared" si="1"/>
        <v>-5.3821313240032254E-4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12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42632</v>
      </c>
      <c r="X34" s="103">
        <v>37.69</v>
      </c>
      <c r="Y34" s="103">
        <v>38.020000000000003</v>
      </c>
      <c r="Z34" s="103">
        <v>37.090000000000003</v>
      </c>
      <c r="AA34" s="103">
        <v>37.159999999999997</v>
      </c>
      <c r="AB34" s="101">
        <v>30531700</v>
      </c>
      <c r="AC34" s="100">
        <v>37.159999999999997</v>
      </c>
      <c r="AD34" s="2">
        <f t="shared" si="0"/>
        <v>0.92999999999999972</v>
      </c>
      <c r="AE34" s="138">
        <f t="shared" si="1"/>
        <v>-1.3538624900451435E-2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13">
        <v>42247</v>
      </c>
      <c r="H35" s="414">
        <v>100</v>
      </c>
      <c r="I35" s="373">
        <v>27.15</v>
      </c>
      <c r="J35" s="373">
        <v>0.05</v>
      </c>
      <c r="K35" s="275">
        <f t="shared" ref="K35:K43" si="2">H35*I35-J35</f>
        <v>2714.95</v>
      </c>
      <c r="L35" s="266">
        <v>42248</v>
      </c>
      <c r="M35" s="373">
        <v>156</v>
      </c>
      <c r="W35" s="99">
        <v>42629</v>
      </c>
      <c r="X35" s="103">
        <v>37.72</v>
      </c>
      <c r="Y35" s="103">
        <v>38.049999999999997</v>
      </c>
      <c r="Z35" s="103">
        <v>37.25</v>
      </c>
      <c r="AA35" s="103">
        <v>37.67</v>
      </c>
      <c r="AB35" s="101">
        <v>74577900</v>
      </c>
      <c r="AC35" s="100">
        <v>37.67</v>
      </c>
      <c r="AD35" s="2">
        <f t="shared" si="0"/>
        <v>0.79999999999999716</v>
      </c>
      <c r="AE35" s="138">
        <f t="shared" si="1"/>
        <v>3.0361050328227446E-2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42628</v>
      </c>
      <c r="X36" s="103">
        <v>35.74</v>
      </c>
      <c r="Y36" s="103">
        <v>36.65</v>
      </c>
      <c r="Z36" s="103">
        <v>35.54</v>
      </c>
      <c r="AA36" s="103">
        <v>36.56</v>
      </c>
      <c r="AB36" s="101">
        <v>23736000</v>
      </c>
      <c r="AC36" s="100">
        <v>36.56</v>
      </c>
      <c r="AD36" s="2">
        <f t="shared" si="0"/>
        <v>1.1099999999999994</v>
      </c>
      <c r="AE36" s="138">
        <f t="shared" si="1"/>
        <v>2.6389668725435245E-2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73">
        <f t="shared" si="2"/>
        <v>5308.11</v>
      </c>
      <c r="L37" s="261"/>
      <c r="M37" s="261"/>
      <c r="W37" s="99">
        <v>42627</v>
      </c>
      <c r="X37" s="103">
        <v>35.51</v>
      </c>
      <c r="Y37" s="103">
        <v>35.82</v>
      </c>
      <c r="Z37" s="103">
        <v>35.4</v>
      </c>
      <c r="AA37" s="103">
        <v>35.619999999999997</v>
      </c>
      <c r="AB37" s="101">
        <v>14074500</v>
      </c>
      <c r="AC37" s="100">
        <v>35.619999999999997</v>
      </c>
      <c r="AD37" s="2">
        <f t="shared" si="0"/>
        <v>0.42000000000000171</v>
      </c>
      <c r="AE37" s="138">
        <f t="shared" si="1"/>
        <v>2.808199943835632E-4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73">
        <f t="shared" si="2"/>
        <v>21335.11</v>
      </c>
      <c r="L38" s="261"/>
      <c r="M38" s="261"/>
      <c r="W38" s="99">
        <v>42626</v>
      </c>
      <c r="X38" s="103">
        <v>35.75</v>
      </c>
      <c r="Y38" s="103">
        <v>35.880000000000003</v>
      </c>
      <c r="Z38" s="103">
        <v>35.32</v>
      </c>
      <c r="AA38" s="103">
        <v>35.61</v>
      </c>
      <c r="AB38" s="101">
        <v>23591300</v>
      </c>
      <c r="AC38" s="100">
        <v>35.61</v>
      </c>
      <c r="AD38" s="2">
        <f t="shared" si="0"/>
        <v>0.56000000000000227</v>
      </c>
      <c r="AE38" s="138">
        <f t="shared" si="1"/>
        <v>-1.3026607538802581E-2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73">
        <f t="shared" si="2"/>
        <v>1946.9600000000003</v>
      </c>
      <c r="L39" s="261"/>
      <c r="M39" s="261"/>
      <c r="W39" s="99">
        <v>42625</v>
      </c>
      <c r="X39" s="103">
        <v>35.19</v>
      </c>
      <c r="Y39" s="103">
        <v>36.119999999999997</v>
      </c>
      <c r="Z39" s="103">
        <v>35.06</v>
      </c>
      <c r="AA39" s="103">
        <v>36.08</v>
      </c>
      <c r="AB39" s="101">
        <v>22796600</v>
      </c>
      <c r="AC39" s="100">
        <v>36.08</v>
      </c>
      <c r="AD39" s="2">
        <f t="shared" si="0"/>
        <v>1.0599999999999952</v>
      </c>
      <c r="AE39" s="138">
        <f t="shared" si="1"/>
        <v>1.8058690744920947E-2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73">
        <f t="shared" si="2"/>
        <v>6563.88</v>
      </c>
      <c r="L40" s="261"/>
      <c r="M40" s="261"/>
      <c r="O40" s="588" t="s">
        <v>78</v>
      </c>
      <c r="P40" s="588"/>
      <c r="W40" s="99">
        <v>42622</v>
      </c>
      <c r="X40" s="103">
        <v>36.1</v>
      </c>
      <c r="Y40" s="103">
        <v>36.39</v>
      </c>
      <c r="Z40" s="103">
        <v>35.44</v>
      </c>
      <c r="AA40" s="103">
        <v>35.44</v>
      </c>
      <c r="AB40" s="101">
        <v>29457900</v>
      </c>
      <c r="AC40" s="100">
        <v>35.44</v>
      </c>
      <c r="AD40" s="2">
        <f t="shared" si="0"/>
        <v>0.95000000000000284</v>
      </c>
      <c r="AE40" s="138">
        <f t="shared" si="1"/>
        <v>-2.7442371020856227E-2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73">
        <f t="shared" si="2"/>
        <v>2683.95</v>
      </c>
      <c r="L41" s="261"/>
      <c r="M41" s="261"/>
      <c r="O41" s="83">
        <v>1.1000000000000001</v>
      </c>
      <c r="P41" s="83">
        <f>O41*$Q$4</f>
        <v>38.06</v>
      </c>
      <c r="Q41" s="2"/>
      <c r="W41" s="99">
        <v>42621</v>
      </c>
      <c r="X41" s="103">
        <v>36.35</v>
      </c>
      <c r="Y41" s="103">
        <v>36.590000000000003</v>
      </c>
      <c r="Z41" s="103">
        <v>36.119999999999997</v>
      </c>
      <c r="AA41" s="103">
        <v>36.44</v>
      </c>
      <c r="AB41" s="101">
        <v>20356500</v>
      </c>
      <c r="AC41" s="100">
        <v>36.44</v>
      </c>
      <c r="AD41" s="2">
        <f t="shared" si="0"/>
        <v>0.47000000000000597</v>
      </c>
      <c r="AE41" s="138">
        <f t="shared" si="1"/>
        <v>-5.4854635216683434E-4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73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37.714000000000006</v>
      </c>
      <c r="Q42" s="2"/>
      <c r="T42" s="91" t="s">
        <v>113</v>
      </c>
      <c r="W42" s="99">
        <v>42620</v>
      </c>
      <c r="X42" s="103">
        <v>36.65</v>
      </c>
      <c r="Y42" s="103">
        <v>36.65</v>
      </c>
      <c r="Z42" s="103">
        <v>36.380000000000003</v>
      </c>
      <c r="AA42" s="103">
        <v>36.46</v>
      </c>
      <c r="AB42" s="101">
        <v>18495600</v>
      </c>
      <c r="AC42" s="100">
        <v>36.46</v>
      </c>
      <c r="AD42" s="2">
        <f t="shared" si="0"/>
        <v>0.26999999999999602</v>
      </c>
      <c r="AE42" s="138">
        <f t="shared" si="1"/>
        <v>-3.0079299972655127E-3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73">
        <f t="shared" si="2"/>
        <v>3789.4300000000003</v>
      </c>
      <c r="L43" s="261"/>
      <c r="M43" s="261"/>
      <c r="O43" s="83">
        <v>1.08</v>
      </c>
      <c r="P43" s="83">
        <f t="shared" si="4"/>
        <v>37.368000000000002</v>
      </c>
      <c r="Q43" s="2"/>
      <c r="T43" s="97" t="s">
        <v>98</v>
      </c>
      <c r="U43" s="98">
        <v>34.520000000000003</v>
      </c>
      <c r="V43" s="415"/>
      <c r="W43" s="99">
        <v>42619</v>
      </c>
      <c r="X43" s="103">
        <v>36.380000000000003</v>
      </c>
      <c r="Y43" s="103">
        <v>36.6</v>
      </c>
      <c r="Z43" s="103">
        <v>36.17</v>
      </c>
      <c r="AA43" s="103">
        <v>36.57</v>
      </c>
      <c r="AB43" s="101">
        <v>22337800</v>
      </c>
      <c r="AC43" s="100">
        <v>36.57</v>
      </c>
      <c r="AD43" s="2">
        <f t="shared" si="0"/>
        <v>0.42999999999999972</v>
      </c>
      <c r="AE43" s="138">
        <f t="shared" si="1"/>
        <v>1.3580931263858176E-2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37.022000000000006</v>
      </c>
      <c r="Q44" s="2"/>
      <c r="T44" s="87" t="s">
        <v>99</v>
      </c>
      <c r="U44" s="88">
        <v>34.6</v>
      </c>
      <c r="V44" s="416"/>
      <c r="W44" s="99">
        <v>42615</v>
      </c>
      <c r="X44" s="103">
        <v>36.21</v>
      </c>
      <c r="Y44" s="103">
        <v>36.33</v>
      </c>
      <c r="Z44" s="103">
        <v>35.950000000000003</v>
      </c>
      <c r="AA44" s="103">
        <v>36.08</v>
      </c>
      <c r="AB44" s="101">
        <v>16726700</v>
      </c>
      <c r="AC44" s="100">
        <v>36.08</v>
      </c>
      <c r="AD44" s="2">
        <f t="shared" si="0"/>
        <v>0.37999999999999545</v>
      </c>
      <c r="AE44" s="138">
        <f t="shared" si="1"/>
        <v>1.6657412548581885E-3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36.676000000000002</v>
      </c>
      <c r="Q45" s="2"/>
      <c r="T45" s="87" t="s">
        <v>100</v>
      </c>
      <c r="U45" s="88" t="s">
        <v>482</v>
      </c>
      <c r="V45" s="416"/>
      <c r="W45" s="99">
        <v>42614</v>
      </c>
      <c r="X45" s="103">
        <v>35.99</v>
      </c>
      <c r="Y45" s="103">
        <v>36.04</v>
      </c>
      <c r="Z45" s="103">
        <v>35.58</v>
      </c>
      <c r="AA45" s="103">
        <v>36.020000000000003</v>
      </c>
      <c r="AB45" s="101">
        <v>18925800</v>
      </c>
      <c r="AC45" s="100">
        <v>36.020000000000003</v>
      </c>
      <c r="AD45" s="2">
        <f t="shared" si="0"/>
        <v>0.46000000000000085</v>
      </c>
      <c r="AE45" s="138">
        <f t="shared" si="1"/>
        <v>3.6221788799108978E-3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36.330000000000005</v>
      </c>
      <c r="Q46" s="2"/>
      <c r="T46" s="87" t="s">
        <v>101</v>
      </c>
      <c r="U46" s="88" t="s">
        <v>483</v>
      </c>
      <c r="V46" s="416"/>
      <c r="W46" s="99">
        <v>42613</v>
      </c>
      <c r="X46" s="103">
        <v>35.619999999999997</v>
      </c>
      <c r="Y46" s="103">
        <v>35.9</v>
      </c>
      <c r="Z46" s="103">
        <v>35.58</v>
      </c>
      <c r="AA46" s="103">
        <v>35.89</v>
      </c>
      <c r="AB46" s="101">
        <v>20562700</v>
      </c>
      <c r="AC46" s="100">
        <v>35.89</v>
      </c>
      <c r="AD46" s="2">
        <f t="shared" si="0"/>
        <v>0.32000000000000028</v>
      </c>
      <c r="AE46" s="138">
        <f t="shared" si="1"/>
        <v>5.3221288515405973E-3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35.984000000000002</v>
      </c>
      <c r="Q47" s="2"/>
      <c r="T47" s="87" t="s">
        <v>102</v>
      </c>
      <c r="U47" s="88">
        <v>40.19</v>
      </c>
      <c r="V47" s="416"/>
      <c r="W47" s="99">
        <v>42612</v>
      </c>
      <c r="X47" s="103">
        <v>35.590000000000003</v>
      </c>
      <c r="Y47" s="103">
        <v>35.74</v>
      </c>
      <c r="Z47" s="103">
        <v>35.520000000000003</v>
      </c>
      <c r="AA47" s="103">
        <v>35.700000000000003</v>
      </c>
      <c r="AB47" s="101">
        <v>15183200</v>
      </c>
      <c r="AC47" s="100">
        <v>35.700000000000003</v>
      </c>
      <c r="AD47" s="2">
        <f t="shared" si="0"/>
        <v>0.21999999999999886</v>
      </c>
      <c r="AE47" s="138">
        <f t="shared" si="1"/>
        <v>4.2194092827005925E-3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35.638000000000005</v>
      </c>
      <c r="Q48" s="2"/>
      <c r="T48" s="87" t="s">
        <v>103</v>
      </c>
      <c r="U48" s="88">
        <v>1.1395500000000001</v>
      </c>
      <c r="V48" s="416"/>
      <c r="W48" s="99">
        <v>42611</v>
      </c>
      <c r="X48" s="103">
        <v>35.479999999999997</v>
      </c>
      <c r="Y48" s="103">
        <v>35.67</v>
      </c>
      <c r="Z48" s="103">
        <v>35.15</v>
      </c>
      <c r="AA48" s="103">
        <v>35.549999999999997</v>
      </c>
      <c r="AB48" s="101">
        <v>15264300</v>
      </c>
      <c r="AC48" s="100">
        <v>35.549999999999997</v>
      </c>
      <c r="AD48" s="2">
        <f t="shared" si="0"/>
        <v>0.52000000000000313</v>
      </c>
      <c r="AE48" s="138">
        <f t="shared" si="1"/>
        <v>8.2246171298923088E-3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35.292000000000002</v>
      </c>
      <c r="Q49" s="2"/>
      <c r="T49" s="87" t="s">
        <v>122</v>
      </c>
      <c r="U49" s="89" t="s">
        <v>400</v>
      </c>
      <c r="V49" s="417"/>
      <c r="W49" s="99">
        <v>42608</v>
      </c>
      <c r="X49" s="103">
        <v>35.11</v>
      </c>
      <c r="Y49" s="103">
        <v>35.58</v>
      </c>
      <c r="Z49" s="103">
        <v>35.049999999999997</v>
      </c>
      <c r="AA49" s="103">
        <v>35.26</v>
      </c>
      <c r="AB49" s="101">
        <v>14469900</v>
      </c>
      <c r="AC49" s="100">
        <v>35.26</v>
      </c>
      <c r="AD49" s="2">
        <f t="shared" si="0"/>
        <v>0.53000000000000114</v>
      </c>
      <c r="AE49" s="138">
        <f t="shared" si="1"/>
        <v>4.8446850954686482E-3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34.946000000000005</v>
      </c>
      <c r="Q50" s="2"/>
      <c r="T50" s="87"/>
      <c r="U50" s="88"/>
      <c r="V50" s="416"/>
      <c r="W50" s="99">
        <v>42607</v>
      </c>
      <c r="X50" s="103">
        <v>35.049999999999997</v>
      </c>
      <c r="Y50" s="103">
        <v>35.22</v>
      </c>
      <c r="Z50" s="103">
        <v>34.9</v>
      </c>
      <c r="AA50" s="103">
        <v>35.090000000000003</v>
      </c>
      <c r="AB50" s="101">
        <v>12428000</v>
      </c>
      <c r="AC50" s="100">
        <v>35.090000000000003</v>
      </c>
      <c r="AD50" s="2">
        <f t="shared" si="0"/>
        <v>0.32000000000000028</v>
      </c>
      <c r="AE50" s="138">
        <f t="shared" si="1"/>
        <v>-1.7069701280225669E-3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34.6</v>
      </c>
      <c r="Q51" s="2"/>
      <c r="T51" s="87" t="s">
        <v>105</v>
      </c>
      <c r="U51" s="88" t="s">
        <v>484</v>
      </c>
      <c r="V51" s="416"/>
      <c r="W51" s="99">
        <v>42606</v>
      </c>
      <c r="X51" s="103">
        <v>35.32</v>
      </c>
      <c r="Y51" s="103">
        <v>35.409999999999997</v>
      </c>
      <c r="Z51" s="103">
        <v>35.020000000000003</v>
      </c>
      <c r="AA51" s="103">
        <v>35.15</v>
      </c>
      <c r="AB51" s="101">
        <v>16343500</v>
      </c>
      <c r="AC51" s="100">
        <v>35.15</v>
      </c>
      <c r="AD51" s="2">
        <f t="shared" si="0"/>
        <v>0.38999999999999346</v>
      </c>
      <c r="AE51" s="138">
        <f t="shared" si="1"/>
        <v>-7.0621468926553854E-3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34.253999999999998</v>
      </c>
      <c r="Q52" s="2"/>
      <c r="T52" s="87" t="s">
        <v>106</v>
      </c>
      <c r="U52" s="88" t="s">
        <v>381</v>
      </c>
      <c r="V52" s="416"/>
      <c r="W52" s="99">
        <v>42605</v>
      </c>
      <c r="X52" s="103">
        <v>35.5</v>
      </c>
      <c r="Y52" s="103">
        <v>35.69</v>
      </c>
      <c r="Z52" s="103">
        <v>35.299999999999997</v>
      </c>
      <c r="AA52" s="103">
        <v>35.4</v>
      </c>
      <c r="AB52" s="101">
        <v>18316000</v>
      </c>
      <c r="AC52" s="100">
        <v>35.4</v>
      </c>
      <c r="AD52" s="2">
        <f t="shared" si="0"/>
        <v>0.39000000000000057</v>
      </c>
      <c r="AE52" s="138">
        <f t="shared" si="1"/>
        <v>1.1312217194570096E-3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33.908000000000001</v>
      </c>
      <c r="Q53" s="2"/>
      <c r="T53" s="87" t="s">
        <v>107</v>
      </c>
      <c r="U53" s="90">
        <v>21416408</v>
      </c>
      <c r="V53" s="418"/>
      <c r="W53" s="99">
        <v>42604</v>
      </c>
      <c r="X53" s="103">
        <v>35.200000000000003</v>
      </c>
      <c r="Y53" s="103">
        <v>35.450000000000003</v>
      </c>
      <c r="Z53" s="103">
        <v>35.119999999999997</v>
      </c>
      <c r="AA53" s="103">
        <v>35.36</v>
      </c>
      <c r="AB53" s="101">
        <v>14941400</v>
      </c>
      <c r="AC53" s="100">
        <v>35.36</v>
      </c>
      <c r="AD53" s="2">
        <f t="shared" si="0"/>
        <v>0.3300000000000054</v>
      </c>
      <c r="AE53" s="138">
        <f t="shared" si="1"/>
        <v>3.4052213393869213E-3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33.561999999999998</v>
      </c>
      <c r="T54" s="87" t="s">
        <v>110</v>
      </c>
      <c r="U54" s="90">
        <v>21166100</v>
      </c>
      <c r="V54" s="418"/>
      <c r="W54" s="99">
        <v>42601</v>
      </c>
      <c r="X54" s="103">
        <v>34.840000000000003</v>
      </c>
      <c r="Y54" s="103">
        <v>35.270000000000003</v>
      </c>
      <c r="Z54" s="103">
        <v>34.74</v>
      </c>
      <c r="AA54" s="103">
        <v>35.24</v>
      </c>
      <c r="AB54" s="101">
        <v>16417600</v>
      </c>
      <c r="AC54" s="100">
        <v>35.24</v>
      </c>
      <c r="AD54" s="2">
        <f t="shared" si="0"/>
        <v>0.53000000000000114</v>
      </c>
      <c r="AE54" s="138">
        <f t="shared" si="1"/>
        <v>7.7209036316843171E-3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33.216000000000001</v>
      </c>
      <c r="T55" s="87" t="s">
        <v>108</v>
      </c>
      <c r="U55" s="88" t="s">
        <v>485</v>
      </c>
      <c r="V55" s="416"/>
      <c r="W55" s="99">
        <v>42600</v>
      </c>
      <c r="X55" s="103">
        <v>34.96</v>
      </c>
      <c r="Y55" s="103">
        <v>35.090000000000003</v>
      </c>
      <c r="Z55" s="103">
        <v>34.75</v>
      </c>
      <c r="AA55" s="103">
        <v>34.97</v>
      </c>
      <c r="AB55" s="101">
        <v>16085200</v>
      </c>
      <c r="AC55" s="100">
        <v>34.97</v>
      </c>
      <c r="AD55" s="2">
        <f t="shared" si="0"/>
        <v>0.34000000000000341</v>
      </c>
      <c r="AE55" s="138">
        <f t="shared" si="1"/>
        <v>-1.4277555682468135E-3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32.869999999999997</v>
      </c>
      <c r="T56" s="87" t="s">
        <v>111</v>
      </c>
      <c r="U56" s="88">
        <v>16.239999999999998</v>
      </c>
      <c r="V56" s="416"/>
      <c r="W56" s="99">
        <v>42599</v>
      </c>
      <c r="X56" s="103">
        <v>35.17</v>
      </c>
      <c r="Y56" s="103">
        <v>35.21</v>
      </c>
      <c r="Z56" s="103">
        <v>34.770000000000003</v>
      </c>
      <c r="AA56" s="103">
        <v>35.020000000000003</v>
      </c>
      <c r="AB56" s="101">
        <v>18221600</v>
      </c>
      <c r="AC56" s="100">
        <v>35.020000000000003</v>
      </c>
      <c r="AD56" s="2">
        <f t="shared" si="0"/>
        <v>0.43999999999999773</v>
      </c>
      <c r="AE56" s="138">
        <f t="shared" si="1"/>
        <v>-5.3961942629934256E-3</v>
      </c>
    </row>
    <row r="57" spans="1:31" x14ac:dyDescent="0.25">
      <c r="O57" s="83">
        <v>0.94</v>
      </c>
      <c r="P57" s="83">
        <f t="shared" si="4"/>
        <v>32.524000000000001</v>
      </c>
      <c r="T57" s="87" t="s">
        <v>112</v>
      </c>
      <c r="U57" s="88">
        <v>2.13</v>
      </c>
      <c r="V57" s="416"/>
      <c r="W57" s="99">
        <v>42598</v>
      </c>
      <c r="X57" s="103">
        <v>34.770000000000003</v>
      </c>
      <c r="Y57" s="103">
        <v>35.21</v>
      </c>
      <c r="Z57" s="103">
        <v>34.770000000000003</v>
      </c>
      <c r="AA57" s="103">
        <v>35.21</v>
      </c>
      <c r="AB57" s="101">
        <v>16320900</v>
      </c>
      <c r="AC57" s="100">
        <v>35.21</v>
      </c>
      <c r="AD57" s="2">
        <f t="shared" si="0"/>
        <v>0.43999999999999773</v>
      </c>
      <c r="AE57" s="138">
        <f t="shared" si="1"/>
        <v>8.5935262102549981E-3</v>
      </c>
    </row>
    <row r="58" spans="1:31" x14ac:dyDescent="0.25">
      <c r="O58" s="83">
        <v>0.93</v>
      </c>
      <c r="P58" s="83">
        <f t="shared" si="4"/>
        <v>32.178000000000004</v>
      </c>
      <c r="T58" s="87" t="s">
        <v>109</v>
      </c>
      <c r="U58" s="88" t="s">
        <v>426</v>
      </c>
      <c r="V58" s="416"/>
      <c r="W58" s="99">
        <v>42597</v>
      </c>
      <c r="X58" s="103">
        <v>34.700000000000003</v>
      </c>
      <c r="Y58" s="103">
        <v>35.159999999999997</v>
      </c>
      <c r="Z58" s="103">
        <v>34.630000000000003</v>
      </c>
      <c r="AA58" s="103">
        <v>34.909999999999997</v>
      </c>
      <c r="AB58" s="101">
        <v>18931100</v>
      </c>
      <c r="AC58" s="100">
        <v>34.909999999999997</v>
      </c>
      <c r="AD58" s="2">
        <f t="shared" si="0"/>
        <v>0.52999999999999403</v>
      </c>
      <c r="AE58" s="138">
        <f t="shared" si="1"/>
        <v>9.8351171536013027E-3</v>
      </c>
    </row>
    <row r="59" spans="1:31" x14ac:dyDescent="0.25">
      <c r="O59" s="83">
        <v>0.92</v>
      </c>
      <c r="P59" s="83">
        <f t="shared" si="4"/>
        <v>31.832000000000004</v>
      </c>
      <c r="W59" s="99">
        <v>42594</v>
      </c>
      <c r="X59" s="103">
        <v>34.520000000000003</v>
      </c>
      <c r="Y59" s="103">
        <v>34.76</v>
      </c>
      <c r="Z59" s="103">
        <v>34.44</v>
      </c>
      <c r="AA59" s="103">
        <v>34.57</v>
      </c>
      <c r="AB59" s="101">
        <v>15708300</v>
      </c>
      <c r="AC59" s="100">
        <v>34.57</v>
      </c>
      <c r="AD59" s="2">
        <f t="shared" si="0"/>
        <v>0.32000000000000028</v>
      </c>
      <c r="AE59" s="138">
        <f t="shared" si="1"/>
        <v>-3.1718569780853079E-3</v>
      </c>
    </row>
    <row r="60" spans="1:31" x14ac:dyDescent="0.25">
      <c r="O60" s="83">
        <v>0.91</v>
      </c>
      <c r="P60" s="83">
        <f t="shared" si="4"/>
        <v>31.486000000000001</v>
      </c>
      <c r="W60" s="99">
        <v>42593</v>
      </c>
      <c r="X60" s="103">
        <v>34.659999999999997</v>
      </c>
      <c r="Y60" s="103">
        <v>34.74</v>
      </c>
      <c r="Z60" s="103">
        <v>34.49</v>
      </c>
      <c r="AA60" s="103">
        <v>34.68</v>
      </c>
      <c r="AB60" s="101">
        <v>16364100</v>
      </c>
      <c r="AC60" s="100">
        <v>34.68</v>
      </c>
      <c r="AD60" s="2">
        <f t="shared" si="0"/>
        <v>0.25</v>
      </c>
      <c r="AE60" s="138">
        <f t="shared" si="1"/>
        <v>4.3440486533448119E-3</v>
      </c>
    </row>
    <row r="61" spans="1:31" x14ac:dyDescent="0.25">
      <c r="O61" s="83">
        <v>0.9</v>
      </c>
      <c r="P61" s="83">
        <f t="shared" si="4"/>
        <v>31.14</v>
      </c>
      <c r="W61" s="99">
        <v>42592</v>
      </c>
      <c r="X61" s="103">
        <v>35</v>
      </c>
      <c r="Y61" s="103">
        <v>35</v>
      </c>
      <c r="Z61" s="103">
        <v>34.5</v>
      </c>
      <c r="AA61" s="103">
        <v>34.53</v>
      </c>
      <c r="AB61" s="101">
        <v>19579000</v>
      </c>
      <c r="AC61" s="100">
        <v>34.53</v>
      </c>
      <c r="AD61" s="2">
        <f t="shared" si="0"/>
        <v>0.5</v>
      </c>
      <c r="AE61" s="138">
        <f t="shared" si="1"/>
        <v>-1.1168384879725046E-2</v>
      </c>
    </row>
    <row r="62" spans="1:31" x14ac:dyDescent="0.25">
      <c r="W62" s="99">
        <v>42591</v>
      </c>
      <c r="X62" s="103">
        <v>35.04</v>
      </c>
      <c r="Y62" s="103">
        <v>35.159999999999997</v>
      </c>
      <c r="Z62" s="103">
        <v>34.840000000000003</v>
      </c>
      <c r="AA62" s="103">
        <v>34.92</v>
      </c>
      <c r="AB62" s="101">
        <v>12578900</v>
      </c>
      <c r="AC62" s="100">
        <v>34.92</v>
      </c>
      <c r="AD62" s="2">
        <f t="shared" si="0"/>
        <v>0.31999999999999318</v>
      </c>
      <c r="AE62" s="138">
        <f t="shared" si="1"/>
        <v>-3.424657534246478E-3</v>
      </c>
    </row>
    <row r="63" spans="1:31" x14ac:dyDescent="0.25">
      <c r="W63" s="99">
        <v>42590</v>
      </c>
      <c r="X63" s="103">
        <v>34.9</v>
      </c>
      <c r="Y63" s="103">
        <v>35.17</v>
      </c>
      <c r="Z63" s="103">
        <v>34.86</v>
      </c>
      <c r="AA63" s="103">
        <v>35.04</v>
      </c>
      <c r="AB63" s="101">
        <v>19497300</v>
      </c>
      <c r="AC63" s="100">
        <v>35.04</v>
      </c>
      <c r="AD63" s="2">
        <f t="shared" si="0"/>
        <v>0.31000000000000227</v>
      </c>
      <c r="AE63" s="138">
        <f t="shared" si="1"/>
        <v>1.7152658662094034E-3</v>
      </c>
    </row>
    <row r="64" spans="1:31" x14ac:dyDescent="0.25">
      <c r="W64" s="99">
        <v>42587</v>
      </c>
      <c r="X64" s="103">
        <v>34.799999999999997</v>
      </c>
      <c r="Y64" s="103">
        <v>35.130000000000003</v>
      </c>
      <c r="Z64" s="103">
        <v>34.700000000000003</v>
      </c>
      <c r="AA64" s="103">
        <v>34.979999999999997</v>
      </c>
      <c r="AB64" s="101">
        <v>20046200</v>
      </c>
      <c r="AC64" s="100">
        <v>34.979999999999997</v>
      </c>
      <c r="AD64" s="2">
        <f t="shared" si="0"/>
        <v>0.42999999999999972</v>
      </c>
      <c r="AE64" s="138">
        <f t="shared" si="1"/>
        <v>1.1567379988432602E-2</v>
      </c>
    </row>
    <row r="65" spans="23:31" x14ac:dyDescent="0.25">
      <c r="W65" s="99">
        <v>42586</v>
      </c>
      <c r="X65" s="103">
        <v>34.29</v>
      </c>
      <c r="Y65" s="103">
        <v>34.619999999999997</v>
      </c>
      <c r="Z65" s="103">
        <v>34.22</v>
      </c>
      <c r="AA65" s="103">
        <v>34.58</v>
      </c>
      <c r="AB65" s="101">
        <v>16362600</v>
      </c>
      <c r="AC65" s="100">
        <v>34.58</v>
      </c>
      <c r="AD65" s="2">
        <f t="shared" si="0"/>
        <v>0.39999999999999858</v>
      </c>
      <c r="AE65" s="138">
        <f t="shared" si="1"/>
        <v>9.6350364963502244E-3</v>
      </c>
    </row>
    <row r="66" spans="23:31" x14ac:dyDescent="0.25">
      <c r="W66" s="99">
        <v>42585</v>
      </c>
      <c r="X66" s="103">
        <v>34.1</v>
      </c>
      <c r="Y66" s="103">
        <v>34.28</v>
      </c>
      <c r="Z66" s="103">
        <v>33.99</v>
      </c>
      <c r="AA66" s="103">
        <v>34.25</v>
      </c>
      <c r="AB66" s="101">
        <v>18388800</v>
      </c>
      <c r="AC66" s="100">
        <v>34.25</v>
      </c>
      <c r="AD66" s="2">
        <f t="shared" si="0"/>
        <v>0.28999999999999915</v>
      </c>
      <c r="AE66" s="138" t="e">
        <f t="shared" si="1"/>
        <v>#DIV/0!</v>
      </c>
    </row>
    <row r="67" spans="23:31" x14ac:dyDescent="0.25">
      <c r="W67" s="99">
        <v>42585</v>
      </c>
      <c r="X67" s="103" t="s">
        <v>141</v>
      </c>
      <c r="Y67" s="103"/>
      <c r="Z67" s="103"/>
      <c r="AA67" s="103"/>
      <c r="AB67" s="101"/>
      <c r="AC67" s="100"/>
      <c r="AD67" s="2">
        <f>Y67-Z67</f>
        <v>0</v>
      </c>
      <c r="AE67" s="138">
        <f>AC67/AC68-1</f>
        <v>-1</v>
      </c>
    </row>
    <row r="68" spans="23:31" x14ac:dyDescent="0.25">
      <c r="W68" s="99">
        <v>42584</v>
      </c>
      <c r="X68" s="103">
        <v>34.81</v>
      </c>
      <c r="Y68" s="103">
        <v>34.869999999999997</v>
      </c>
      <c r="Z68" s="103">
        <v>34.33</v>
      </c>
      <c r="AA68" s="103">
        <v>34.56</v>
      </c>
      <c r="AB68" s="101">
        <v>20057300</v>
      </c>
      <c r="AC68" s="100">
        <v>34.299999999999997</v>
      </c>
      <c r="AD68" s="2">
        <f>Y68-Z68</f>
        <v>0.53999999999999915</v>
      </c>
      <c r="AE68" s="138" t="e">
        <f>AC68/AC69-1</f>
        <v>#DIV/0!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71" priority="7">
      <formula>F21&gt;0</formula>
    </cfRule>
    <cfRule type="expression" dxfId="470" priority="8">
      <formula>F21&lt;0</formula>
    </cfRule>
  </conditionalFormatting>
  <conditionalFormatting sqref="F22">
    <cfRule type="expression" dxfId="469" priority="5">
      <formula>F22&gt;0</formula>
    </cfRule>
    <cfRule type="expression" dxfId="468" priority="6">
      <formula>F22&lt;0</formula>
    </cfRule>
  </conditionalFormatting>
  <conditionalFormatting sqref="Q8">
    <cfRule type="expression" dxfId="467" priority="1">
      <formula>Q8&gt;0</formula>
    </cfRule>
    <cfRule type="expression" dxfId="466" priority="2">
      <formula>Q8&lt;0</formula>
    </cfRule>
  </conditionalFormatting>
  <conditionalFormatting sqref="Q7">
    <cfRule type="expression" dxfId="465" priority="3">
      <formula>Q7&gt;0</formula>
    </cfRule>
    <cfRule type="expression" dxfId="4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42578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6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42676</v>
      </c>
      <c r="X2" s="41">
        <v>47.01</v>
      </c>
      <c r="Y2" s="41">
        <v>47.45</v>
      </c>
      <c r="Z2" s="41">
        <v>46.06</v>
      </c>
      <c r="AA2" s="41">
        <v>47.09</v>
      </c>
      <c r="AB2" s="104">
        <v>4800700</v>
      </c>
      <c r="AC2" s="41">
        <v>47.09</v>
      </c>
      <c r="AD2" s="2">
        <f>Y2-Z2</f>
        <v>1.3900000000000006</v>
      </c>
      <c r="AE2" s="138">
        <f>AC2/AC3-1</f>
        <v>-1.5882967607105503E-2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6"/>
      <c r="I3" s="75"/>
      <c r="J3" s="75"/>
      <c r="K3" s="75"/>
      <c r="L3" s="74"/>
      <c r="M3" s="3"/>
      <c r="O3" s="11" t="s">
        <v>58</v>
      </c>
      <c r="Q3" s="80">
        <f>IF(Q2=0, Q4, (F18-K18-M18)/Q2)</f>
        <v>47.09</v>
      </c>
      <c r="W3" s="110">
        <v>42675</v>
      </c>
      <c r="X3" s="41">
        <v>48.52</v>
      </c>
      <c r="Y3" s="41">
        <v>48.76</v>
      </c>
      <c r="Z3" s="41">
        <v>46.81</v>
      </c>
      <c r="AA3" s="41">
        <v>47.85</v>
      </c>
      <c r="AB3" s="104">
        <v>4069800</v>
      </c>
      <c r="AC3" s="41">
        <v>47.85</v>
      </c>
      <c r="AD3" s="2">
        <f t="shared" ref="AD3:AD66" si="0">Y3-Z3</f>
        <v>1.9499999999999957</v>
      </c>
      <c r="AE3" s="138">
        <f t="shared" ref="AE3:AE66" si="1">AC3/AC4-1</f>
        <v>-2.5015634771732298E-3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47.09</v>
      </c>
      <c r="R4" s="527">
        <v>-1.5900000000000001E-2</v>
      </c>
      <c r="T4" s="124"/>
      <c r="U4" s="30"/>
      <c r="V4" s="35"/>
      <c r="W4" s="110">
        <v>42674</v>
      </c>
      <c r="X4" s="41">
        <v>50.08</v>
      </c>
      <c r="Y4" s="41">
        <v>50.25</v>
      </c>
      <c r="Z4" s="41">
        <v>47.81</v>
      </c>
      <c r="AA4" s="41">
        <v>47.97</v>
      </c>
      <c r="AB4" s="104">
        <v>4938200</v>
      </c>
      <c r="AC4" s="41">
        <v>47.97</v>
      </c>
      <c r="AD4" s="2">
        <f t="shared" si="0"/>
        <v>2.4399999999999977</v>
      </c>
      <c r="AE4" s="138">
        <f t="shared" si="1"/>
        <v>-4.6322067594433358E-2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42671</v>
      </c>
      <c r="X5" s="41">
        <v>50.39</v>
      </c>
      <c r="Y5" s="41">
        <v>51.67</v>
      </c>
      <c r="Z5" s="41">
        <v>50.02</v>
      </c>
      <c r="AA5" s="41">
        <v>50.3</v>
      </c>
      <c r="AB5" s="104">
        <v>3224000</v>
      </c>
      <c r="AC5" s="41">
        <v>50.3</v>
      </c>
      <c r="AD5" s="2">
        <f t="shared" si="0"/>
        <v>1.6499999999999986</v>
      </c>
      <c r="AE5" s="138">
        <f t="shared" si="1"/>
        <v>-2.3800079333599067E-3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42670</v>
      </c>
      <c r="X6" s="41">
        <v>50.7</v>
      </c>
      <c r="Y6" s="41">
        <v>51.28</v>
      </c>
      <c r="Z6" s="41">
        <v>49.88</v>
      </c>
      <c r="AA6" s="41">
        <v>50.42</v>
      </c>
      <c r="AB6" s="104">
        <v>4812700</v>
      </c>
      <c r="AC6" s="41">
        <v>50.42</v>
      </c>
      <c r="AD6" s="2">
        <f t="shared" si="0"/>
        <v>1.3999999999999986</v>
      </c>
      <c r="AE6" s="138">
        <f t="shared" si="1"/>
        <v>3.1834460803821241E-3</v>
      </c>
      <c r="AK6" s="234"/>
      <c r="AN6" s="234"/>
    </row>
    <row r="7" spans="1:40" x14ac:dyDescent="0.25">
      <c r="O7" s="11" t="s">
        <v>184</v>
      </c>
      <c r="Q7" s="2">
        <f>Q10+Q8</f>
        <v>3178.8000000000466</v>
      </c>
      <c r="R7">
        <v>0</v>
      </c>
      <c r="W7" s="110">
        <v>42669</v>
      </c>
      <c r="X7" s="41">
        <v>52.05</v>
      </c>
      <c r="Y7" s="41">
        <v>53.01</v>
      </c>
      <c r="Z7" s="41">
        <v>48.67</v>
      </c>
      <c r="AA7" s="41">
        <v>50.26</v>
      </c>
      <c r="AB7" s="104">
        <v>8766100</v>
      </c>
      <c r="AC7" s="41">
        <v>50.26</v>
      </c>
      <c r="AD7" s="2">
        <f t="shared" si="0"/>
        <v>4.3399999999999963</v>
      </c>
      <c r="AE7" s="138">
        <f t="shared" si="1"/>
        <v>-1.2573673870334034E-2</v>
      </c>
    </row>
    <row r="8" spans="1:40" x14ac:dyDescent="0.25">
      <c r="O8" s="11" t="s">
        <v>187</v>
      </c>
      <c r="P8" s="34"/>
      <c r="Q8" s="2">
        <f>K18+M18-F18+Q2*Q4</f>
        <v>0</v>
      </c>
      <c r="W8" s="110">
        <v>42668</v>
      </c>
      <c r="X8" s="41">
        <v>52.42</v>
      </c>
      <c r="Y8" s="41">
        <v>52.8</v>
      </c>
      <c r="Z8" s="41">
        <v>50.8</v>
      </c>
      <c r="AA8" s="41">
        <v>50.9</v>
      </c>
      <c r="AB8" s="104">
        <v>4509400</v>
      </c>
      <c r="AC8" s="41">
        <v>50.9</v>
      </c>
      <c r="AD8" s="2">
        <f t="shared" si="0"/>
        <v>2</v>
      </c>
      <c r="AE8" s="138">
        <f t="shared" si="1"/>
        <v>-2.5277671390271927E-2</v>
      </c>
    </row>
    <row r="9" spans="1:40" x14ac:dyDescent="0.25">
      <c r="O9" s="11" t="s">
        <v>219</v>
      </c>
      <c r="Q9" s="138">
        <f>IF(Q2=0, 0, Q8/Q6)</f>
        <v>0</v>
      </c>
      <c r="W9" s="110">
        <v>42667</v>
      </c>
      <c r="X9" s="41">
        <v>52.76</v>
      </c>
      <c r="Y9" s="41">
        <v>53.38</v>
      </c>
      <c r="Z9" s="41">
        <v>51.38</v>
      </c>
      <c r="AA9" s="41">
        <v>52.22</v>
      </c>
      <c r="AB9" s="104">
        <v>3239700</v>
      </c>
      <c r="AC9" s="41">
        <v>52.22</v>
      </c>
      <c r="AD9" s="2">
        <f t="shared" si="0"/>
        <v>2</v>
      </c>
      <c r="AE9" s="138">
        <f t="shared" si="1"/>
        <v>-1.0235026535253988E-2</v>
      </c>
    </row>
    <row r="10" spans="1:40" x14ac:dyDescent="0.25">
      <c r="O10" s="11" t="s">
        <v>218</v>
      </c>
      <c r="P10" s="34"/>
      <c r="Q10" s="2">
        <f>M75</f>
        <v>3178.8000000000466</v>
      </c>
      <c r="W10" s="110">
        <v>42664</v>
      </c>
      <c r="X10" s="41">
        <v>52.14</v>
      </c>
      <c r="Y10" s="41">
        <v>52.78</v>
      </c>
      <c r="Z10" s="41">
        <v>51.93</v>
      </c>
      <c r="AA10" s="41">
        <v>52.76</v>
      </c>
      <c r="AB10" s="104">
        <v>2488000</v>
      </c>
      <c r="AC10" s="41">
        <v>52.76</v>
      </c>
      <c r="AD10" s="2">
        <f t="shared" si="0"/>
        <v>0.85000000000000142</v>
      </c>
      <c r="AE10" s="138">
        <f t="shared" si="1"/>
        <v>2.0892687559355139E-3</v>
      </c>
    </row>
    <row r="11" spans="1:40" x14ac:dyDescent="0.25">
      <c r="O11" s="11" t="s">
        <v>181</v>
      </c>
      <c r="P11" s="34"/>
      <c r="Q11" s="138">
        <f>VALUE(TRIM(CLEAN(MID(U58, FIND("(", U58)+1, 5))))</f>
        <v>1.9900000000000001E-2</v>
      </c>
      <c r="T11" s="19"/>
      <c r="W11" s="110">
        <v>42663</v>
      </c>
      <c r="X11" s="41">
        <v>51.74</v>
      </c>
      <c r="Y11" s="41">
        <v>52.77</v>
      </c>
      <c r="Z11" s="41">
        <v>51.54</v>
      </c>
      <c r="AA11" s="41">
        <v>52.65</v>
      </c>
      <c r="AB11" s="104">
        <v>2248100</v>
      </c>
      <c r="AC11" s="41">
        <v>52.65</v>
      </c>
      <c r="AD11" s="2">
        <f t="shared" si="0"/>
        <v>1.230000000000004</v>
      </c>
      <c r="AE11" s="138">
        <f t="shared" si="1"/>
        <v>5.3465724651517998E-3</v>
      </c>
    </row>
    <row r="12" spans="1:40" x14ac:dyDescent="0.25">
      <c r="T12" s="19"/>
      <c r="W12" s="110">
        <v>42662</v>
      </c>
      <c r="X12" s="41">
        <v>51.62</v>
      </c>
      <c r="Y12" s="41">
        <v>53.24</v>
      </c>
      <c r="Z12" s="41">
        <v>51.28</v>
      </c>
      <c r="AA12" s="41">
        <v>52.37</v>
      </c>
      <c r="AB12" s="104">
        <v>3695200</v>
      </c>
      <c r="AC12" s="41">
        <v>52.37</v>
      </c>
      <c r="AD12" s="2">
        <f t="shared" si="0"/>
        <v>1.9600000000000009</v>
      </c>
      <c r="AE12" s="138">
        <f t="shared" si="1"/>
        <v>2.7265594350725841E-2</v>
      </c>
    </row>
    <row r="13" spans="1:40" x14ac:dyDescent="0.25">
      <c r="W13" s="110">
        <v>42661</v>
      </c>
      <c r="X13" s="41">
        <v>51.68</v>
      </c>
      <c r="Y13" s="41">
        <v>51.72</v>
      </c>
      <c r="Z13" s="41">
        <v>50.79</v>
      </c>
      <c r="AA13" s="41">
        <v>50.98</v>
      </c>
      <c r="AB13" s="104">
        <v>2453500</v>
      </c>
      <c r="AC13" s="41">
        <v>50.98</v>
      </c>
      <c r="AD13" s="2">
        <f t="shared" si="0"/>
        <v>0.92999999999999972</v>
      </c>
      <c r="AE13" s="138">
        <f t="shared" si="1"/>
        <v>3.1483667847302943E-3</v>
      </c>
    </row>
    <row r="14" spans="1:40" x14ac:dyDescent="0.25">
      <c r="W14" s="110">
        <v>42660</v>
      </c>
      <c r="X14" s="41">
        <v>51.48</v>
      </c>
      <c r="Y14" s="41">
        <v>51.81</v>
      </c>
      <c r="Z14" s="41">
        <v>50.3</v>
      </c>
      <c r="AA14" s="41">
        <v>50.82</v>
      </c>
      <c r="AB14" s="104">
        <v>2656700</v>
      </c>
      <c r="AC14" s="41">
        <v>50.82</v>
      </c>
      <c r="AD14" s="2">
        <f t="shared" si="0"/>
        <v>1.5100000000000051</v>
      </c>
      <c r="AE14" s="138">
        <f t="shared" si="1"/>
        <v>-1.7021276595744705E-2</v>
      </c>
    </row>
    <row r="15" spans="1:40" x14ac:dyDescent="0.25">
      <c r="W15" s="110">
        <v>42657</v>
      </c>
      <c r="X15" s="41">
        <v>51.89</v>
      </c>
      <c r="Y15" s="41">
        <v>52.51</v>
      </c>
      <c r="Z15" s="41">
        <v>51.02</v>
      </c>
      <c r="AA15" s="41">
        <v>51.7</v>
      </c>
      <c r="AB15" s="104">
        <v>3858900</v>
      </c>
      <c r="AC15" s="41">
        <v>51.7</v>
      </c>
      <c r="AD15" s="2">
        <f t="shared" si="0"/>
        <v>1.4899999999999949</v>
      </c>
      <c r="AE15" s="138">
        <f t="shared" si="1"/>
        <v>3.4937888198758316E-3</v>
      </c>
    </row>
    <row r="16" spans="1:40" x14ac:dyDescent="0.25">
      <c r="W16" s="110">
        <v>42656</v>
      </c>
      <c r="X16" s="41">
        <v>51.43</v>
      </c>
      <c r="Y16" s="41">
        <v>51.73</v>
      </c>
      <c r="Z16" s="41">
        <v>50.66</v>
      </c>
      <c r="AA16" s="41">
        <v>51.52</v>
      </c>
      <c r="AB16" s="104">
        <v>3104500</v>
      </c>
      <c r="AC16" s="41">
        <v>51.52</v>
      </c>
      <c r="AD16" s="2">
        <f t="shared" si="0"/>
        <v>1.0700000000000003</v>
      </c>
      <c r="AE16" s="138">
        <f t="shared" si="1"/>
        <v>-8.4680523479598868E-3</v>
      </c>
    </row>
    <row r="17" spans="1:31" x14ac:dyDescent="0.25">
      <c r="C17" s="4"/>
      <c r="D17" s="240"/>
      <c r="E17" s="3"/>
      <c r="F17" s="3"/>
      <c r="W17" s="110">
        <v>42655</v>
      </c>
      <c r="X17" s="41">
        <v>52.24</v>
      </c>
      <c r="Y17" s="41">
        <v>52.33</v>
      </c>
      <c r="Z17" s="41">
        <v>51.35</v>
      </c>
      <c r="AA17" s="41">
        <v>51.96</v>
      </c>
      <c r="AB17" s="104">
        <v>3311900</v>
      </c>
      <c r="AC17" s="41">
        <v>51.96</v>
      </c>
      <c r="AD17" s="2">
        <f t="shared" si="0"/>
        <v>0.97999999999999687</v>
      </c>
      <c r="AE17" s="138">
        <f t="shared" si="1"/>
        <v>-1.1603576184135433E-2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42654</v>
      </c>
      <c r="X18" s="41">
        <v>53.78</v>
      </c>
      <c r="Y18" s="41">
        <v>53.84</v>
      </c>
      <c r="Z18" s="41">
        <v>52.52</v>
      </c>
      <c r="AA18" s="41">
        <v>52.57</v>
      </c>
      <c r="AB18" s="104">
        <v>3006800</v>
      </c>
      <c r="AC18" s="41">
        <v>52.57</v>
      </c>
      <c r="AD18" s="2">
        <f t="shared" si="0"/>
        <v>1.3200000000000003</v>
      </c>
      <c r="AE18" s="138">
        <f t="shared" si="1"/>
        <v>-2.557924003707146E-2</v>
      </c>
    </row>
    <row r="19" spans="1:31" x14ac:dyDescent="0.25">
      <c r="W19" s="110">
        <v>42653</v>
      </c>
      <c r="X19" s="41">
        <v>53.61</v>
      </c>
      <c r="Y19" s="41">
        <v>54.67</v>
      </c>
      <c r="Z19" s="41">
        <v>53.55</v>
      </c>
      <c r="AA19" s="41">
        <v>53.95</v>
      </c>
      <c r="AB19" s="104">
        <v>3298100</v>
      </c>
      <c r="AC19" s="41">
        <v>53.95</v>
      </c>
      <c r="AD19" s="2">
        <f t="shared" si="0"/>
        <v>1.1200000000000045</v>
      </c>
      <c r="AE19" s="138">
        <f t="shared" si="1"/>
        <v>1.6581872997927238E-2</v>
      </c>
    </row>
    <row r="20" spans="1:31" x14ac:dyDescent="0.25">
      <c r="B20" s="191" t="s">
        <v>114</v>
      </c>
      <c r="C20" s="191" t="s">
        <v>149</v>
      </c>
      <c r="D20" s="199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5" t="s">
        <v>158</v>
      </c>
      <c r="J20" s="2" t="s">
        <v>124</v>
      </c>
      <c r="W20" s="110">
        <v>42650</v>
      </c>
      <c r="X20" s="41">
        <v>53.55</v>
      </c>
      <c r="Y20" s="41">
        <v>54.16</v>
      </c>
      <c r="Z20" s="41">
        <v>53.05</v>
      </c>
      <c r="AA20" s="41">
        <v>53.07</v>
      </c>
      <c r="AB20" s="104">
        <v>4025200</v>
      </c>
      <c r="AC20" s="41">
        <v>53.07</v>
      </c>
      <c r="AD20" s="2">
        <f t="shared" si="0"/>
        <v>1.1099999999999994</v>
      </c>
      <c r="AE20" s="138">
        <f t="shared" si="1"/>
        <v>-1.0995154677599595E-2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42649</v>
      </c>
      <c r="X21" s="41">
        <v>53.73</v>
      </c>
      <c r="Y21" s="41">
        <v>54.03</v>
      </c>
      <c r="Z21" s="41">
        <v>52.7</v>
      </c>
      <c r="AA21" s="41">
        <v>53.66</v>
      </c>
      <c r="AB21" s="104">
        <v>2982300</v>
      </c>
      <c r="AC21" s="41">
        <v>53.66</v>
      </c>
      <c r="AD21" s="2">
        <f t="shared" si="0"/>
        <v>1.3299999999999983</v>
      </c>
      <c r="AE21" s="138">
        <f t="shared" si="1"/>
        <v>3.3657442034404905E-3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42648</v>
      </c>
      <c r="X22" s="41">
        <v>53.04</v>
      </c>
      <c r="Y22" s="41">
        <v>53.87</v>
      </c>
      <c r="Z22" s="41">
        <v>52.82</v>
      </c>
      <c r="AA22" s="41">
        <v>53.48</v>
      </c>
      <c r="AB22" s="104">
        <v>3427500</v>
      </c>
      <c r="AC22" s="41">
        <v>53.48</v>
      </c>
      <c r="AD22" s="2">
        <f t="shared" si="0"/>
        <v>1.0499999999999972</v>
      </c>
      <c r="AE22" s="138">
        <f t="shared" si="1"/>
        <v>2.3540669856459306E-2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42647</v>
      </c>
      <c r="X23" s="41">
        <v>54.07</v>
      </c>
      <c r="Y23" s="41">
        <v>54.23</v>
      </c>
      <c r="Z23" s="41">
        <v>51.93</v>
      </c>
      <c r="AA23" s="41">
        <v>52.25</v>
      </c>
      <c r="AB23" s="104">
        <v>4734900</v>
      </c>
      <c r="AC23" s="41">
        <v>52.25</v>
      </c>
      <c r="AD23" s="2">
        <f t="shared" si="0"/>
        <v>2.2999999999999972</v>
      </c>
      <c r="AE23" s="138">
        <f t="shared" si="1"/>
        <v>-3.0612244897959107E-2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42646</v>
      </c>
      <c r="X24" s="41">
        <v>53.57</v>
      </c>
      <c r="Y24" s="41">
        <v>54.63</v>
      </c>
      <c r="Z24" s="41">
        <v>52.75</v>
      </c>
      <c r="AA24" s="41">
        <v>53.9</v>
      </c>
      <c r="AB24" s="104">
        <v>4112600</v>
      </c>
      <c r="AC24" s="41">
        <v>53.9</v>
      </c>
      <c r="AD24" s="2">
        <f t="shared" si="0"/>
        <v>1.8800000000000026</v>
      </c>
      <c r="AE24" s="138">
        <f t="shared" si="1"/>
        <v>5.2219321148825326E-3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42643</v>
      </c>
      <c r="X25" s="41">
        <v>52.67</v>
      </c>
      <c r="Y25" s="41">
        <v>53.96</v>
      </c>
      <c r="Z25" s="41">
        <v>52.25</v>
      </c>
      <c r="AA25" s="41">
        <v>53.62</v>
      </c>
      <c r="AB25" s="104">
        <v>6963100</v>
      </c>
      <c r="AC25" s="41">
        <v>53.62</v>
      </c>
      <c r="AD25" s="2">
        <f t="shared" si="0"/>
        <v>1.7100000000000009</v>
      </c>
      <c r="AE25" s="138">
        <f t="shared" si="1"/>
        <v>2.8187919463087185E-2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42642</v>
      </c>
      <c r="X26" s="41">
        <v>49.52</v>
      </c>
      <c r="Y26" s="41">
        <v>53.39</v>
      </c>
      <c r="Z26" s="41">
        <v>49.52</v>
      </c>
      <c r="AA26" s="41">
        <v>52.15</v>
      </c>
      <c r="AB26" s="104">
        <v>9295500</v>
      </c>
      <c r="AC26" s="41">
        <v>52.15</v>
      </c>
      <c r="AD26" s="2">
        <f t="shared" si="0"/>
        <v>3.8699999999999974</v>
      </c>
      <c r="AE26" s="138">
        <f t="shared" si="1"/>
        <v>4.6348314606741381E-2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42641</v>
      </c>
      <c r="X27" s="41">
        <v>47.19</v>
      </c>
      <c r="Y27" s="41">
        <v>49.98</v>
      </c>
      <c r="Z27" s="41">
        <v>46.41</v>
      </c>
      <c r="AA27" s="41">
        <v>49.84</v>
      </c>
      <c r="AB27" s="104">
        <v>6643800</v>
      </c>
      <c r="AC27" s="41">
        <v>49.84</v>
      </c>
      <c r="AD27" s="2">
        <f t="shared" si="0"/>
        <v>3.5700000000000003</v>
      </c>
      <c r="AE27" s="138">
        <f t="shared" si="1"/>
        <v>6.4729758598589981E-2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42640</v>
      </c>
      <c r="X28" s="41">
        <v>47.09</v>
      </c>
      <c r="Y28" s="41">
        <v>47.25</v>
      </c>
      <c r="Z28" s="41">
        <v>46.33</v>
      </c>
      <c r="AA28" s="41">
        <v>46.81</v>
      </c>
      <c r="AB28" s="104">
        <v>3834500</v>
      </c>
      <c r="AC28" s="41">
        <v>46.81</v>
      </c>
      <c r="AD28" s="2">
        <f t="shared" si="0"/>
        <v>0.92000000000000171</v>
      </c>
      <c r="AE28" s="138">
        <f t="shared" si="1"/>
        <v>-1.7216040310728542E-2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42639</v>
      </c>
      <c r="X29" s="41">
        <v>47.13</v>
      </c>
      <c r="Y29" s="41">
        <v>48.22</v>
      </c>
      <c r="Z29" s="41">
        <v>47.01</v>
      </c>
      <c r="AA29" s="41">
        <v>47.63</v>
      </c>
      <c r="AB29" s="104">
        <v>5256300</v>
      </c>
      <c r="AC29" s="41">
        <v>47.63</v>
      </c>
      <c r="AD29" s="2">
        <f t="shared" si="0"/>
        <v>1.2100000000000009</v>
      </c>
      <c r="AE29" s="138">
        <f t="shared" si="1"/>
        <v>1.5348539756981472E-2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42636</v>
      </c>
      <c r="X30" s="41">
        <v>47.36</v>
      </c>
      <c r="Y30" s="41">
        <v>48.17</v>
      </c>
      <c r="Z30" s="41">
        <v>46.51</v>
      </c>
      <c r="AA30" s="41">
        <v>46.91</v>
      </c>
      <c r="AB30" s="104">
        <v>4682300</v>
      </c>
      <c r="AC30" s="41">
        <v>46.91</v>
      </c>
      <c r="AD30" s="2">
        <f t="shared" si="0"/>
        <v>1.6600000000000037</v>
      </c>
      <c r="AE30" s="138">
        <f t="shared" si="1"/>
        <v>-1.8208455420678171E-2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42635</v>
      </c>
      <c r="X31" s="197">
        <v>47.84</v>
      </c>
      <c r="Y31" s="41">
        <v>48.59</v>
      </c>
      <c r="Z31" s="41">
        <v>47.57</v>
      </c>
      <c r="AA31" s="41">
        <v>47.78</v>
      </c>
      <c r="AB31" s="104">
        <v>5406400</v>
      </c>
      <c r="AC31" s="41">
        <v>47.78</v>
      </c>
      <c r="AD31" s="2">
        <f t="shared" si="0"/>
        <v>1.0200000000000031</v>
      </c>
      <c r="AE31" s="138">
        <f t="shared" si="1"/>
        <v>1.6595744680851121E-2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42634</v>
      </c>
      <c r="X32" s="41">
        <v>46.33</v>
      </c>
      <c r="Y32" s="41">
        <v>47.01</v>
      </c>
      <c r="Z32" s="41">
        <v>45.8</v>
      </c>
      <c r="AA32" s="41">
        <v>47</v>
      </c>
      <c r="AB32" s="104">
        <v>6456400</v>
      </c>
      <c r="AC32" s="41">
        <v>47</v>
      </c>
      <c r="AD32" s="2">
        <f t="shared" si="0"/>
        <v>1.2100000000000009</v>
      </c>
      <c r="AE32" s="138">
        <f t="shared" si="1"/>
        <v>2.9121961900591131E-2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42633</v>
      </c>
      <c r="X33" s="41">
        <v>45.98</v>
      </c>
      <c r="Y33" s="41">
        <v>46.43</v>
      </c>
      <c r="Z33" s="41">
        <v>45.37</v>
      </c>
      <c r="AA33" s="41">
        <v>45.67</v>
      </c>
      <c r="AB33" s="104">
        <v>5156400</v>
      </c>
      <c r="AC33" s="41">
        <v>45.67</v>
      </c>
      <c r="AD33" s="2">
        <f t="shared" si="0"/>
        <v>1.0600000000000023</v>
      </c>
      <c r="AE33" s="138">
        <f t="shared" si="1"/>
        <v>-6.3098346388162918E-3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42632</v>
      </c>
      <c r="X34" s="41">
        <v>47</v>
      </c>
      <c r="Y34" s="41">
        <v>47.27</v>
      </c>
      <c r="Z34" s="41">
        <v>45.95</v>
      </c>
      <c r="AA34" s="41">
        <v>45.96</v>
      </c>
      <c r="AB34" s="104">
        <v>3652600</v>
      </c>
      <c r="AC34" s="41">
        <v>45.96</v>
      </c>
      <c r="AD34" s="2">
        <f t="shared" si="0"/>
        <v>1.3200000000000003</v>
      </c>
      <c r="AE34" s="138">
        <f t="shared" si="1"/>
        <v>-1.1187607573149627E-2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42629</v>
      </c>
      <c r="X35" s="41">
        <v>45.79</v>
      </c>
      <c r="Y35" s="41">
        <v>46.79</v>
      </c>
      <c r="Z35" s="41">
        <v>45.66</v>
      </c>
      <c r="AA35" s="41">
        <v>46.48</v>
      </c>
      <c r="AB35" s="104">
        <v>5518800</v>
      </c>
      <c r="AC35" s="41">
        <v>46.48</v>
      </c>
      <c r="AD35" s="2">
        <f t="shared" si="0"/>
        <v>1.1300000000000026</v>
      </c>
      <c r="AE35" s="138">
        <f t="shared" si="1"/>
        <v>-3.6441586280815397E-3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42628</v>
      </c>
      <c r="X36" s="41">
        <v>46.91</v>
      </c>
      <c r="Y36" s="41">
        <v>47.27</v>
      </c>
      <c r="Z36" s="41">
        <v>46.34</v>
      </c>
      <c r="AA36" s="41">
        <v>46.65</v>
      </c>
      <c r="AB36" s="104">
        <v>5591300</v>
      </c>
      <c r="AC36" s="41">
        <v>46.65</v>
      </c>
      <c r="AD36" s="2">
        <f t="shared" si="0"/>
        <v>0.92999999999999972</v>
      </c>
      <c r="AE36" s="138" t="e">
        <f t="shared" si="1"/>
        <v>#DIV/0!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42628</v>
      </c>
      <c r="X37" s="41" t="s">
        <v>125</v>
      </c>
      <c r="Y37" s="41"/>
      <c r="Z37" s="41"/>
      <c r="AA37" s="41"/>
      <c r="AB37" s="104"/>
      <c r="AC37" s="41"/>
      <c r="AD37" s="2">
        <f t="shared" si="0"/>
        <v>0</v>
      </c>
      <c r="AE37" s="138">
        <f t="shared" si="1"/>
        <v>-1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42627</v>
      </c>
      <c r="X38" s="41">
        <v>47.62</v>
      </c>
      <c r="Y38" s="41">
        <v>48.02</v>
      </c>
      <c r="Z38" s="41">
        <v>46.58</v>
      </c>
      <c r="AA38" s="41">
        <v>46.91</v>
      </c>
      <c r="AB38" s="104">
        <v>5682700</v>
      </c>
      <c r="AC38" s="41">
        <v>46.66</v>
      </c>
      <c r="AD38" s="2">
        <f t="shared" si="0"/>
        <v>1.4400000000000048</v>
      </c>
      <c r="AE38" s="138">
        <f t="shared" si="1"/>
        <v>-1.8097643097643279E-2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42626</v>
      </c>
      <c r="X39" s="41">
        <v>48.95</v>
      </c>
      <c r="Y39" s="41">
        <v>49.02</v>
      </c>
      <c r="Z39" s="41">
        <v>47.22</v>
      </c>
      <c r="AA39" s="41">
        <v>47.77</v>
      </c>
      <c r="AB39" s="104">
        <v>6418500</v>
      </c>
      <c r="AC39" s="41">
        <v>47.52</v>
      </c>
      <c r="AD39" s="2">
        <f t="shared" si="0"/>
        <v>1.8000000000000043</v>
      </c>
      <c r="AE39" s="138">
        <f t="shared" si="1"/>
        <v>-4.2128603104212736E-2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42625</v>
      </c>
      <c r="X40" s="41">
        <v>49.58</v>
      </c>
      <c r="Y40" s="41">
        <v>50.56</v>
      </c>
      <c r="Z40" s="41">
        <v>49.08</v>
      </c>
      <c r="AA40" s="41">
        <v>49.88</v>
      </c>
      <c r="AB40" s="104">
        <v>5132500</v>
      </c>
      <c r="AC40" s="41">
        <v>49.61</v>
      </c>
      <c r="AD40" s="2">
        <f t="shared" si="0"/>
        <v>1.480000000000004</v>
      </c>
      <c r="AE40" s="138">
        <f t="shared" si="1"/>
        <v>-8.0563947633427446E-4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42622</v>
      </c>
      <c r="X41" s="41">
        <v>51.77</v>
      </c>
      <c r="Y41" s="41">
        <v>52.02</v>
      </c>
      <c r="Z41" s="41">
        <v>49.88</v>
      </c>
      <c r="AA41" s="41">
        <v>49.92</v>
      </c>
      <c r="AB41" s="104">
        <v>5185200</v>
      </c>
      <c r="AC41" s="41">
        <v>49.65</v>
      </c>
      <c r="AD41" s="2">
        <f t="shared" si="0"/>
        <v>2.1400000000000006</v>
      </c>
      <c r="AE41" s="138">
        <f t="shared" si="1"/>
        <v>-5.0124354314138198E-2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42621</v>
      </c>
      <c r="X42" s="41">
        <v>51.39</v>
      </c>
      <c r="Y42" s="41">
        <v>52.76</v>
      </c>
      <c r="Z42" s="41">
        <v>51.08</v>
      </c>
      <c r="AA42" s="41">
        <v>52.55</v>
      </c>
      <c r="AB42" s="104">
        <v>5192000</v>
      </c>
      <c r="AC42" s="41">
        <v>52.27</v>
      </c>
      <c r="AD42" s="2">
        <f t="shared" si="0"/>
        <v>1.6799999999999997</v>
      </c>
      <c r="AE42" s="138">
        <f t="shared" si="1"/>
        <v>3.4230312623664494E-2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47.85</v>
      </c>
      <c r="W43" s="110">
        <v>42620</v>
      </c>
      <c r="X43" s="41">
        <v>51.56</v>
      </c>
      <c r="Y43" s="41">
        <v>51.65</v>
      </c>
      <c r="Z43" s="41">
        <v>50.21</v>
      </c>
      <c r="AA43" s="41">
        <v>50.81</v>
      </c>
      <c r="AB43" s="104">
        <v>7258400</v>
      </c>
      <c r="AC43" s="41">
        <v>50.54</v>
      </c>
      <c r="AD43" s="2">
        <f t="shared" si="0"/>
        <v>1.4399999999999977</v>
      </c>
      <c r="AE43" s="138">
        <f t="shared" si="1"/>
        <v>-8.2417582417583235E-3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588" t="s">
        <v>78</v>
      </c>
      <c r="P44" s="588"/>
      <c r="T44" s="108" t="s">
        <v>99</v>
      </c>
      <c r="U44" s="106">
        <v>47.01</v>
      </c>
      <c r="W44" s="110">
        <v>42619</v>
      </c>
      <c r="X44" s="41">
        <v>51.43</v>
      </c>
      <c r="Y44" s="41">
        <v>51.71</v>
      </c>
      <c r="Z44" s="41">
        <v>48.87</v>
      </c>
      <c r="AA44" s="41">
        <v>51.23</v>
      </c>
      <c r="AB44" s="104">
        <v>11155600</v>
      </c>
      <c r="AC44" s="41">
        <v>50.96</v>
      </c>
      <c r="AD44" s="2">
        <f t="shared" si="0"/>
        <v>2.8400000000000034</v>
      </c>
      <c r="AE44" s="138">
        <f t="shared" si="1"/>
        <v>-3.4848484848484795E-2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51.799000000000007</v>
      </c>
      <c r="R45" s="34"/>
      <c r="T45" s="108" t="s">
        <v>100</v>
      </c>
      <c r="U45" s="106" t="s">
        <v>486</v>
      </c>
      <c r="W45" s="110">
        <v>42615</v>
      </c>
      <c r="X45" s="41">
        <v>53.92</v>
      </c>
      <c r="Y45" s="41">
        <v>54.35</v>
      </c>
      <c r="Z45" s="41">
        <v>52.87</v>
      </c>
      <c r="AA45" s="41">
        <v>53.08</v>
      </c>
      <c r="AB45" s="104">
        <v>3916900</v>
      </c>
      <c r="AC45" s="41">
        <v>52.8</v>
      </c>
      <c r="AD45" s="2">
        <f t="shared" si="0"/>
        <v>1.480000000000004</v>
      </c>
      <c r="AE45" s="138">
        <f t="shared" si="1"/>
        <v>-4.3371676409580395E-3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51.328100000000006</v>
      </c>
      <c r="Q46" s="2"/>
      <c r="R46" s="34"/>
      <c r="T46" s="108" t="s">
        <v>101</v>
      </c>
      <c r="U46" s="106" t="s">
        <v>487</v>
      </c>
      <c r="W46" s="110">
        <v>42614</v>
      </c>
      <c r="X46" s="41">
        <v>53.75</v>
      </c>
      <c r="Y46" s="41">
        <v>54.22</v>
      </c>
      <c r="Z46" s="41">
        <v>52.76</v>
      </c>
      <c r="AA46" s="41">
        <v>53.31</v>
      </c>
      <c r="AB46" s="104">
        <v>3776700</v>
      </c>
      <c r="AC46" s="41">
        <v>53.03</v>
      </c>
      <c r="AD46" s="2">
        <f t="shared" si="0"/>
        <v>1.4600000000000009</v>
      </c>
      <c r="AE46" s="138">
        <f t="shared" si="1"/>
        <v>-1.8144788002221746E-2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50.857200000000006</v>
      </c>
      <c r="Q47" s="2"/>
      <c r="R47" s="34"/>
      <c r="T47" s="108" t="s">
        <v>102</v>
      </c>
      <c r="U47" s="106">
        <v>64.459999999999994</v>
      </c>
      <c r="W47" s="110">
        <v>42613</v>
      </c>
      <c r="X47" s="41">
        <v>55.56</v>
      </c>
      <c r="Y47" s="41">
        <v>56.03</v>
      </c>
      <c r="Z47" s="41">
        <v>54.01</v>
      </c>
      <c r="AA47" s="41">
        <v>54.3</v>
      </c>
      <c r="AB47" s="104">
        <v>3555400</v>
      </c>
      <c r="AC47" s="41">
        <v>54.01</v>
      </c>
      <c r="AD47" s="2">
        <f t="shared" si="0"/>
        <v>2.0200000000000031</v>
      </c>
      <c r="AE47" s="138">
        <f t="shared" si="1"/>
        <v>-3.1731803513804335E-2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50.386300000000006</v>
      </c>
      <c r="Q48" s="2"/>
      <c r="R48" s="34"/>
      <c r="T48" s="108" t="s">
        <v>103</v>
      </c>
      <c r="U48" s="106">
        <v>1.4907900000000001</v>
      </c>
      <c r="W48" s="110">
        <v>42612</v>
      </c>
      <c r="X48" s="41">
        <v>56.77</v>
      </c>
      <c r="Y48" s="41">
        <v>57.62</v>
      </c>
      <c r="Z48" s="41">
        <v>55.86</v>
      </c>
      <c r="AA48" s="41">
        <v>56.08</v>
      </c>
      <c r="AB48" s="104">
        <v>1904700</v>
      </c>
      <c r="AC48" s="41">
        <v>55.78</v>
      </c>
      <c r="AD48" s="2">
        <f t="shared" si="0"/>
        <v>1.759999999999998</v>
      </c>
      <c r="AE48" s="138">
        <f t="shared" si="1"/>
        <v>-6.058446186742672E-3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49.915400000000005</v>
      </c>
      <c r="Q49" s="2"/>
      <c r="R49" s="34"/>
      <c r="T49" s="108" t="s">
        <v>122</v>
      </c>
      <c r="U49" s="106" t="s">
        <v>399</v>
      </c>
      <c r="W49" s="110">
        <v>42611</v>
      </c>
      <c r="X49" s="41">
        <v>56.45</v>
      </c>
      <c r="Y49" s="41">
        <v>56.58</v>
      </c>
      <c r="Z49" s="41">
        <v>55.86</v>
      </c>
      <c r="AA49" s="41">
        <v>56.42</v>
      </c>
      <c r="AB49" s="104">
        <v>2323900</v>
      </c>
      <c r="AC49" s="41">
        <v>56.12</v>
      </c>
      <c r="AD49" s="2">
        <f t="shared" si="0"/>
        <v>0.71999999999999886</v>
      </c>
      <c r="AE49" s="138">
        <f t="shared" si="1"/>
        <v>-4.4349831470640311E-3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49.444500000000005</v>
      </c>
      <c r="Q50" s="2"/>
      <c r="R50" s="34"/>
      <c r="T50" s="108"/>
      <c r="U50" s="106"/>
      <c r="W50" s="110">
        <v>42608</v>
      </c>
      <c r="X50" s="41">
        <v>56.98</v>
      </c>
      <c r="Y50" s="41">
        <v>57.89</v>
      </c>
      <c r="Z50" s="41">
        <v>56.16</v>
      </c>
      <c r="AA50" s="41">
        <v>56.67</v>
      </c>
      <c r="AB50" s="104">
        <v>2616400</v>
      </c>
      <c r="AC50" s="41">
        <v>56.37</v>
      </c>
      <c r="AD50" s="2">
        <f t="shared" si="0"/>
        <v>1.730000000000004</v>
      </c>
      <c r="AE50" s="138">
        <f t="shared" si="1"/>
        <v>-2.4774376216598615E-3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48.973600000000005</v>
      </c>
      <c r="Q51" s="2"/>
      <c r="R51" s="34"/>
      <c r="T51" s="108" t="s">
        <v>105</v>
      </c>
      <c r="U51" s="106" t="s">
        <v>488</v>
      </c>
      <c r="W51" s="110">
        <v>42607</v>
      </c>
      <c r="X51" s="41">
        <v>56.31</v>
      </c>
      <c r="Y51" s="41">
        <v>57.35</v>
      </c>
      <c r="Z51" s="41">
        <v>55.87</v>
      </c>
      <c r="AA51" s="41">
        <v>56.81</v>
      </c>
      <c r="AB51" s="104">
        <v>3464300</v>
      </c>
      <c r="AC51" s="41">
        <v>56.51</v>
      </c>
      <c r="AD51" s="2">
        <f t="shared" si="0"/>
        <v>1.480000000000004</v>
      </c>
      <c r="AE51" s="138">
        <f t="shared" si="1"/>
        <v>8.2069580731489733E-3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48.502700000000004</v>
      </c>
      <c r="Q52" s="2"/>
      <c r="R52" s="34"/>
      <c r="T52" s="108" t="s">
        <v>106</v>
      </c>
      <c r="U52" s="106" t="s">
        <v>262</v>
      </c>
      <c r="W52" s="110">
        <v>42606</v>
      </c>
      <c r="X52" s="41">
        <v>56.08</v>
      </c>
      <c r="Y52" s="41">
        <v>56.93</v>
      </c>
      <c r="Z52" s="41">
        <v>55.84</v>
      </c>
      <c r="AA52" s="41">
        <v>56.35</v>
      </c>
      <c r="AB52" s="104">
        <v>3289200</v>
      </c>
      <c r="AC52" s="41">
        <v>56.05</v>
      </c>
      <c r="AD52" s="2">
        <f t="shared" si="0"/>
        <v>1.0899999999999963</v>
      </c>
      <c r="AE52" s="138">
        <f t="shared" si="1"/>
        <v>-1.2473271560941024E-3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48.031800000000004</v>
      </c>
      <c r="Q53" s="2"/>
      <c r="R53" s="34"/>
      <c r="T53" s="108" t="s">
        <v>107</v>
      </c>
      <c r="U53" s="107">
        <v>4801248</v>
      </c>
      <c r="W53" s="110">
        <v>42605</v>
      </c>
      <c r="X53" s="41">
        <v>55.94</v>
      </c>
      <c r="Y53" s="41">
        <v>56.84</v>
      </c>
      <c r="Z53" s="41">
        <v>55.94</v>
      </c>
      <c r="AA53" s="41">
        <v>56.42</v>
      </c>
      <c r="AB53" s="104">
        <v>2289200</v>
      </c>
      <c r="AC53" s="41">
        <v>56.12</v>
      </c>
      <c r="AD53" s="2">
        <f t="shared" si="0"/>
        <v>0.90000000000000568</v>
      </c>
      <c r="AE53" s="138">
        <f t="shared" si="1"/>
        <v>3.9355992844365417E-3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47.560900000000004</v>
      </c>
      <c r="Q54" s="2"/>
      <c r="R54" s="34"/>
      <c r="T54" s="108" t="s">
        <v>110</v>
      </c>
      <c r="U54" s="107">
        <v>4340370</v>
      </c>
      <c r="W54" s="110">
        <v>42604</v>
      </c>
      <c r="X54" s="41">
        <v>56.25</v>
      </c>
      <c r="Y54" s="41">
        <v>56.73</v>
      </c>
      <c r="Z54" s="41">
        <v>55.28</v>
      </c>
      <c r="AA54" s="41">
        <v>56.2</v>
      </c>
      <c r="AB54" s="104">
        <v>4498500</v>
      </c>
      <c r="AC54" s="41">
        <v>55.9</v>
      </c>
      <c r="AD54" s="2">
        <f t="shared" si="0"/>
        <v>1.4499999999999957</v>
      </c>
      <c r="AE54" s="138">
        <f t="shared" si="1"/>
        <v>-1.8092394168276904E-2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47.09</v>
      </c>
      <c r="Q55" s="2"/>
      <c r="R55" s="34"/>
      <c r="T55" s="108" t="s">
        <v>108</v>
      </c>
      <c r="U55" s="106" t="s">
        <v>489</v>
      </c>
      <c r="W55" s="110">
        <v>42601</v>
      </c>
      <c r="X55" s="41">
        <v>57.28</v>
      </c>
      <c r="Y55" s="41">
        <v>57.56</v>
      </c>
      <c r="Z55" s="41">
        <v>56.52</v>
      </c>
      <c r="AA55" s="41">
        <v>57.23</v>
      </c>
      <c r="AB55" s="104">
        <v>2887400</v>
      </c>
      <c r="AC55" s="41">
        <v>56.93</v>
      </c>
      <c r="AD55" s="2">
        <f t="shared" si="0"/>
        <v>1.0399999999999991</v>
      </c>
      <c r="AE55" s="138">
        <f t="shared" si="1"/>
        <v>-6.6306054789740942E-3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46.619100000000003</v>
      </c>
      <c r="Q56" s="2"/>
      <c r="R56" s="34"/>
      <c r="T56" s="108" t="s">
        <v>111</v>
      </c>
      <c r="U56" s="106" t="s">
        <v>129</v>
      </c>
      <c r="W56" s="110">
        <v>42600</v>
      </c>
      <c r="X56" s="41">
        <v>56.94</v>
      </c>
      <c r="Y56" s="41">
        <v>57.88</v>
      </c>
      <c r="Z56" s="41">
        <v>56.87</v>
      </c>
      <c r="AA56" s="41">
        <v>57.62</v>
      </c>
      <c r="AB56" s="104">
        <v>3320100</v>
      </c>
      <c r="AC56" s="41">
        <v>57.31</v>
      </c>
      <c r="AD56" s="2">
        <f t="shared" si="0"/>
        <v>1.0100000000000051</v>
      </c>
      <c r="AE56" s="138">
        <f t="shared" si="1"/>
        <v>1.6134751773049683E-2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46.148200000000003</v>
      </c>
      <c r="Q57" s="2"/>
      <c r="R57" s="34"/>
      <c r="T57" s="108" t="s">
        <v>112</v>
      </c>
      <c r="U57" s="106">
        <v>-10.23</v>
      </c>
      <c r="W57" s="110">
        <v>42599</v>
      </c>
      <c r="X57" s="41">
        <v>56.57</v>
      </c>
      <c r="Y57" s="41">
        <v>56.9</v>
      </c>
      <c r="Z57" s="41">
        <v>55.75</v>
      </c>
      <c r="AA57" s="41">
        <v>56.7</v>
      </c>
      <c r="AB57" s="104">
        <v>2609600</v>
      </c>
      <c r="AC57" s="41">
        <v>56.4</v>
      </c>
      <c r="AD57" s="2">
        <f t="shared" si="0"/>
        <v>1.1499999999999986</v>
      </c>
      <c r="AE57" s="138">
        <f t="shared" si="1"/>
        <v>5.3219797764780807E-4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45.677300000000002</v>
      </c>
      <c r="Q58" s="2"/>
      <c r="R58" s="34"/>
      <c r="T58" s="108" t="s">
        <v>109</v>
      </c>
      <c r="U58" s="106" t="s">
        <v>414</v>
      </c>
      <c r="W58" s="110">
        <v>42598</v>
      </c>
      <c r="X58" s="41">
        <v>56.46</v>
      </c>
      <c r="Y58" s="41">
        <v>56.94</v>
      </c>
      <c r="Z58" s="41">
        <v>55.55</v>
      </c>
      <c r="AA58" s="41">
        <v>56.67</v>
      </c>
      <c r="AB58" s="104">
        <v>3076300</v>
      </c>
      <c r="AC58" s="41">
        <v>56.37</v>
      </c>
      <c r="AD58" s="2">
        <f t="shared" si="0"/>
        <v>1.3900000000000006</v>
      </c>
      <c r="AE58" s="138">
        <f t="shared" si="1"/>
        <v>3.5492457852703829E-4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45.206400000000002</v>
      </c>
      <c r="W59" s="110">
        <v>42597</v>
      </c>
      <c r="X59" s="41">
        <v>56.81</v>
      </c>
      <c r="Y59" s="41">
        <v>57.44</v>
      </c>
      <c r="Z59" s="41">
        <v>56.34</v>
      </c>
      <c r="AA59" s="41">
        <v>56.65</v>
      </c>
      <c r="AB59" s="104">
        <v>4474600</v>
      </c>
      <c r="AC59" s="41">
        <v>56.35</v>
      </c>
      <c r="AD59" s="2">
        <f t="shared" si="0"/>
        <v>1.0999999999999943</v>
      </c>
      <c r="AE59" s="138">
        <f t="shared" si="1"/>
        <v>6.6095033940694048E-3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44.735500000000002</v>
      </c>
      <c r="W60" s="110">
        <v>42594</v>
      </c>
      <c r="X60" s="41">
        <v>56.81</v>
      </c>
      <c r="Y60" s="41">
        <v>56.98</v>
      </c>
      <c r="Z60" s="41">
        <v>55.85</v>
      </c>
      <c r="AA60" s="41">
        <v>56.28</v>
      </c>
      <c r="AB60" s="104">
        <v>3270200</v>
      </c>
      <c r="AC60" s="41">
        <v>55.98</v>
      </c>
      <c r="AD60" s="2">
        <f t="shared" si="0"/>
        <v>1.1299999999999955</v>
      </c>
      <c r="AE60" s="138">
        <f t="shared" si="1"/>
        <v>-4.6230440967284236E-3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44.264600000000002</v>
      </c>
      <c r="W61" s="110">
        <v>42593</v>
      </c>
      <c r="X61" s="41">
        <v>55.23</v>
      </c>
      <c r="Y61" s="41">
        <v>57.28</v>
      </c>
      <c r="Z61" s="41">
        <v>54.98</v>
      </c>
      <c r="AA61" s="41">
        <v>56.54</v>
      </c>
      <c r="AB61" s="104">
        <v>3961300</v>
      </c>
      <c r="AC61" s="41">
        <v>56.24</v>
      </c>
      <c r="AD61" s="2">
        <f t="shared" si="0"/>
        <v>2.3000000000000043</v>
      </c>
      <c r="AE61" s="138">
        <f t="shared" si="1"/>
        <v>3.325372037479335E-2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43.793700000000008</v>
      </c>
      <c r="W62" s="110">
        <v>42592</v>
      </c>
      <c r="X62" s="41">
        <v>55.53</v>
      </c>
      <c r="Y62" s="41">
        <v>56.04</v>
      </c>
      <c r="Z62" s="41">
        <v>54.55</v>
      </c>
      <c r="AA62" s="41">
        <v>54.72</v>
      </c>
      <c r="AB62" s="104">
        <v>3443700</v>
      </c>
      <c r="AC62" s="41">
        <v>54.43</v>
      </c>
      <c r="AD62" s="2">
        <f t="shared" si="0"/>
        <v>1.490000000000002</v>
      </c>
      <c r="AE62" s="138">
        <f t="shared" si="1"/>
        <v>-1.2518142235123375E-2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43.322800000000008</v>
      </c>
      <c r="W63" s="110">
        <v>42591</v>
      </c>
      <c r="X63" s="41">
        <v>56.09</v>
      </c>
      <c r="Y63" s="41">
        <v>56.17</v>
      </c>
      <c r="Z63" s="41">
        <v>54.83</v>
      </c>
      <c r="AA63" s="41">
        <v>55.42</v>
      </c>
      <c r="AB63" s="104">
        <v>2664400</v>
      </c>
      <c r="AC63" s="41">
        <v>55.12</v>
      </c>
      <c r="AD63" s="2">
        <f t="shared" si="0"/>
        <v>1.3400000000000034</v>
      </c>
      <c r="AE63" s="138">
        <f t="shared" si="1"/>
        <v>-8.9895720963681924E-3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42.851900000000008</v>
      </c>
      <c r="W64" s="110">
        <v>42590</v>
      </c>
      <c r="X64" s="41">
        <v>55.44</v>
      </c>
      <c r="Y64" s="41">
        <v>56.46</v>
      </c>
      <c r="Z64" s="41">
        <v>55.28</v>
      </c>
      <c r="AA64" s="41">
        <v>55.92</v>
      </c>
      <c r="AB64" s="104">
        <v>3595200</v>
      </c>
      <c r="AC64" s="41">
        <v>55.62</v>
      </c>
      <c r="AD64" s="2">
        <f t="shared" si="0"/>
        <v>1.1799999999999997</v>
      </c>
      <c r="AE64" s="138">
        <f t="shared" si="1"/>
        <v>2.3367065317387192E-2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42.381000000000007</v>
      </c>
      <c r="W65" s="110">
        <v>42587</v>
      </c>
      <c r="X65" s="41">
        <v>54</v>
      </c>
      <c r="Y65" s="41">
        <v>54.76</v>
      </c>
      <c r="Z65" s="41">
        <v>53.58</v>
      </c>
      <c r="AA65" s="41">
        <v>54.64</v>
      </c>
      <c r="AB65" s="104">
        <v>3479600</v>
      </c>
      <c r="AC65" s="41">
        <v>54.35</v>
      </c>
      <c r="AD65" s="2">
        <f t="shared" si="0"/>
        <v>1.1799999999999997</v>
      </c>
      <c r="AE65" s="138">
        <f t="shared" si="1"/>
        <v>1.4371033967898628E-2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42586</v>
      </c>
      <c r="X66" s="41">
        <v>53.28</v>
      </c>
      <c r="Y66" s="41">
        <v>55.14</v>
      </c>
      <c r="Z66" s="41">
        <v>53.11</v>
      </c>
      <c r="AA66" s="41">
        <v>53.87</v>
      </c>
      <c r="AB66" s="104">
        <v>5349900</v>
      </c>
      <c r="AC66" s="41">
        <v>53.58</v>
      </c>
      <c r="AD66" s="2">
        <f t="shared" si="0"/>
        <v>2.0300000000000011</v>
      </c>
      <c r="AE66" s="138">
        <f t="shared" si="1"/>
        <v>8.8495575221239076E-3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42585</v>
      </c>
      <c r="X67" s="41">
        <v>51.74</v>
      </c>
      <c r="Y67" s="41">
        <v>53.73</v>
      </c>
      <c r="Z67" s="41">
        <v>51.63</v>
      </c>
      <c r="AA67" s="41">
        <v>53.39</v>
      </c>
      <c r="AB67" s="104">
        <v>6177000</v>
      </c>
      <c r="AC67" s="41">
        <v>53.11</v>
      </c>
      <c r="AD67" s="2">
        <f>Y67-Z67</f>
        <v>2.0999999999999943</v>
      </c>
      <c r="AE67" s="138">
        <f>AC67/AC68-1</f>
        <v>3.1863221293957578E-2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42584</v>
      </c>
      <c r="X68" s="41">
        <v>51.48</v>
      </c>
      <c r="Y68" s="41">
        <v>51.96</v>
      </c>
      <c r="Z68" s="41">
        <v>50.31</v>
      </c>
      <c r="AA68" s="41">
        <v>51.75</v>
      </c>
      <c r="AB68" s="104">
        <v>4733200</v>
      </c>
      <c r="AC68" s="41">
        <v>51.47</v>
      </c>
      <c r="AD68" s="2">
        <f>Y68-Z68</f>
        <v>1.6499999999999986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121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218</v>
      </c>
      <c r="M75" s="2">
        <f>M128+K128-F128</f>
        <v>3178.8000000000466</v>
      </c>
    </row>
    <row r="76" spans="1:31" x14ac:dyDescent="0.25">
      <c r="A76" s="397" t="s">
        <v>1</v>
      </c>
      <c r="B76" s="398" t="s">
        <v>2</v>
      </c>
      <c r="C76" s="397" t="s">
        <v>4</v>
      </c>
      <c r="D76" s="399" t="s">
        <v>5</v>
      </c>
      <c r="E76" s="400" t="s">
        <v>90</v>
      </c>
      <c r="F76" s="400" t="s">
        <v>60</v>
      </c>
      <c r="G76" s="397" t="s">
        <v>3</v>
      </c>
      <c r="H76" s="401" t="s">
        <v>6</v>
      </c>
      <c r="I76" s="400" t="s">
        <v>7</v>
      </c>
      <c r="J76" s="400" t="s">
        <v>89</v>
      </c>
      <c r="K76" s="400" t="s">
        <v>61</v>
      </c>
      <c r="L76" s="397" t="s">
        <v>43</v>
      </c>
      <c r="M76" s="397" t="s">
        <v>38</v>
      </c>
    </row>
    <row r="77" spans="1:31" x14ac:dyDescent="0.25">
      <c r="A77" s="393" t="s">
        <v>22</v>
      </c>
      <c r="B77" s="402">
        <v>42153</v>
      </c>
      <c r="C77" s="384">
        <v>20</v>
      </c>
      <c r="D77" s="389">
        <v>67.3</v>
      </c>
      <c r="E77" s="385">
        <v>0</v>
      </c>
      <c r="F77" s="385">
        <f t="shared" ref="F77:F126" si="6">D77*C77+E77</f>
        <v>1346</v>
      </c>
      <c r="G77" s="383">
        <v>42219</v>
      </c>
      <c r="H77" s="403">
        <v>25</v>
      </c>
      <c r="I77" s="404">
        <v>60.05</v>
      </c>
      <c r="J77" s="404">
        <v>0.03</v>
      </c>
      <c r="K77" s="404">
        <f t="shared" ref="K77:K112" si="7">H77*I77-J77</f>
        <v>1501.22</v>
      </c>
      <c r="L77" s="383">
        <v>42185</v>
      </c>
      <c r="M77" s="385">
        <v>5</v>
      </c>
    </row>
    <row r="78" spans="1:31" x14ac:dyDescent="0.25">
      <c r="A78" s="394" t="s">
        <v>71</v>
      </c>
      <c r="B78" s="402">
        <v>42205</v>
      </c>
      <c r="C78" s="384">
        <v>20</v>
      </c>
      <c r="D78" s="389">
        <v>63.4</v>
      </c>
      <c r="E78" s="385">
        <v>0</v>
      </c>
      <c r="F78" s="385">
        <f t="shared" si="6"/>
        <v>1268</v>
      </c>
      <c r="G78" s="383">
        <v>42219</v>
      </c>
      <c r="H78" s="403">
        <v>55</v>
      </c>
      <c r="I78" s="404">
        <v>59.75</v>
      </c>
      <c r="J78" s="404">
        <v>0.06</v>
      </c>
      <c r="K78" s="404">
        <f t="shared" si="7"/>
        <v>3286.19</v>
      </c>
      <c r="L78" s="383">
        <v>42277</v>
      </c>
      <c r="M78" s="385">
        <v>37.5</v>
      </c>
    </row>
    <row r="79" spans="1:31" x14ac:dyDescent="0.25">
      <c r="A79" s="384"/>
      <c r="B79" s="402">
        <v>42205</v>
      </c>
      <c r="C79" s="384">
        <v>20</v>
      </c>
      <c r="D79" s="389">
        <v>63.15</v>
      </c>
      <c r="E79" s="385">
        <v>0</v>
      </c>
      <c r="F79" s="385">
        <f t="shared" si="6"/>
        <v>1263</v>
      </c>
      <c r="G79" s="383">
        <v>42250</v>
      </c>
      <c r="H79" s="388">
        <v>100</v>
      </c>
      <c r="I79" s="385">
        <v>59.4</v>
      </c>
      <c r="J79" s="385">
        <v>0.11</v>
      </c>
      <c r="K79" s="404">
        <f t="shared" si="7"/>
        <v>5939.89</v>
      </c>
      <c r="L79" s="383">
        <v>42734</v>
      </c>
      <c r="M79" s="385">
        <v>100</v>
      </c>
    </row>
    <row r="80" spans="1:31" x14ac:dyDescent="0.25">
      <c r="A80" s="384"/>
      <c r="B80" s="402">
        <v>42207</v>
      </c>
      <c r="C80" s="384">
        <v>10</v>
      </c>
      <c r="D80" s="389">
        <v>62</v>
      </c>
      <c r="E80" s="385">
        <v>0</v>
      </c>
      <c r="F80" s="385">
        <f t="shared" si="6"/>
        <v>620</v>
      </c>
      <c r="G80" s="383">
        <v>42258</v>
      </c>
      <c r="H80" s="388">
        <v>80</v>
      </c>
      <c r="I80" s="385">
        <v>56.47</v>
      </c>
      <c r="J80" s="385">
        <v>0.08</v>
      </c>
      <c r="K80" s="404">
        <f t="shared" si="7"/>
        <v>4517.5200000000004</v>
      </c>
      <c r="L80" s="383">
        <v>42459</v>
      </c>
      <c r="M80" s="385">
        <v>25</v>
      </c>
    </row>
    <row r="81" spans="1:13" x14ac:dyDescent="0.25">
      <c r="A81" s="384"/>
      <c r="B81" s="402">
        <v>42207</v>
      </c>
      <c r="C81" s="384">
        <v>5</v>
      </c>
      <c r="D81" s="389">
        <v>61.6</v>
      </c>
      <c r="E81" s="385">
        <v>0</v>
      </c>
      <c r="F81" s="385">
        <f t="shared" si="6"/>
        <v>308</v>
      </c>
      <c r="G81" s="383">
        <v>42263</v>
      </c>
      <c r="H81" s="388">
        <v>80</v>
      </c>
      <c r="I81" s="385">
        <v>52.55</v>
      </c>
      <c r="J81" s="385">
        <v>0.08</v>
      </c>
      <c r="K81" s="404">
        <f t="shared" si="7"/>
        <v>4203.92</v>
      </c>
      <c r="L81" s="384"/>
      <c r="M81" s="385"/>
    </row>
    <row r="82" spans="1:13" x14ac:dyDescent="0.25">
      <c r="A82" s="384"/>
      <c r="B82" s="402">
        <v>42207</v>
      </c>
      <c r="C82" s="384">
        <v>20</v>
      </c>
      <c r="D82" s="389">
        <v>59.85</v>
      </c>
      <c r="E82" s="385">
        <v>0</v>
      </c>
      <c r="F82" s="385">
        <f t="shared" si="6"/>
        <v>1197</v>
      </c>
      <c r="G82" s="383">
        <v>42284</v>
      </c>
      <c r="H82" s="388">
        <v>50</v>
      </c>
      <c r="I82" s="385">
        <v>52.85</v>
      </c>
      <c r="J82" s="385">
        <v>0.05</v>
      </c>
      <c r="K82" s="404">
        <f t="shared" si="7"/>
        <v>2642.45</v>
      </c>
      <c r="L82" s="384"/>
      <c r="M82" s="385"/>
    </row>
    <row r="83" spans="1:13" x14ac:dyDescent="0.25">
      <c r="A83" s="384"/>
      <c r="B83" s="402">
        <v>42208</v>
      </c>
      <c r="C83" s="384">
        <v>5</v>
      </c>
      <c r="D83" s="389">
        <v>61.3</v>
      </c>
      <c r="E83" s="385">
        <v>0</v>
      </c>
      <c r="F83" s="385">
        <f t="shared" si="6"/>
        <v>306.5</v>
      </c>
      <c r="G83" s="383">
        <v>42284</v>
      </c>
      <c r="H83" s="388">
        <v>30</v>
      </c>
      <c r="I83" s="385">
        <v>53.05</v>
      </c>
      <c r="J83" s="385">
        <v>0.03</v>
      </c>
      <c r="K83" s="404">
        <f t="shared" si="7"/>
        <v>1591.47</v>
      </c>
      <c r="L83" s="384"/>
      <c r="M83" s="385"/>
    </row>
    <row r="84" spans="1:13" x14ac:dyDescent="0.25">
      <c r="A84" s="384"/>
      <c r="B84" s="402">
        <v>42219</v>
      </c>
      <c r="C84" s="405">
        <v>25</v>
      </c>
      <c r="D84" s="389">
        <v>59.4</v>
      </c>
      <c r="E84" s="385">
        <v>0</v>
      </c>
      <c r="F84" s="385">
        <f t="shared" si="6"/>
        <v>1485</v>
      </c>
      <c r="G84" s="383">
        <v>42291</v>
      </c>
      <c r="H84" s="388">
        <v>80</v>
      </c>
      <c r="I84" s="385">
        <v>61.6</v>
      </c>
      <c r="J84" s="385">
        <v>0.09</v>
      </c>
      <c r="K84" s="404">
        <f t="shared" si="7"/>
        <v>4927.91</v>
      </c>
      <c r="L84" s="384"/>
      <c r="M84" s="385"/>
    </row>
    <row r="85" spans="1:13" x14ac:dyDescent="0.25">
      <c r="A85" s="384"/>
      <c r="B85" s="402">
        <v>42219</v>
      </c>
      <c r="C85" s="405">
        <v>50</v>
      </c>
      <c r="D85" s="389">
        <v>59.2</v>
      </c>
      <c r="E85" s="385">
        <v>0</v>
      </c>
      <c r="F85" s="385">
        <f t="shared" si="6"/>
        <v>2960</v>
      </c>
      <c r="G85" s="383">
        <v>42297</v>
      </c>
      <c r="H85" s="388">
        <v>115</v>
      </c>
      <c r="I85" s="385">
        <v>61.23</v>
      </c>
      <c r="J85" s="385">
        <v>0.13</v>
      </c>
      <c r="K85" s="404">
        <f t="shared" si="7"/>
        <v>7041.32</v>
      </c>
      <c r="L85" s="384"/>
      <c r="M85" s="385"/>
    </row>
    <row r="86" spans="1:13" x14ac:dyDescent="0.25">
      <c r="A86" s="384"/>
      <c r="B86" s="402">
        <v>42226</v>
      </c>
      <c r="C86" s="405">
        <v>5</v>
      </c>
      <c r="D86" s="389">
        <v>56.2</v>
      </c>
      <c r="E86" s="385">
        <v>0</v>
      </c>
      <c r="F86" s="385">
        <f t="shared" si="6"/>
        <v>281</v>
      </c>
      <c r="G86" s="383">
        <v>42304</v>
      </c>
      <c r="H86" s="388">
        <v>80</v>
      </c>
      <c r="I86" s="385">
        <v>59.76</v>
      </c>
      <c r="J86" s="385">
        <v>0.09</v>
      </c>
      <c r="K86" s="404">
        <f t="shared" si="7"/>
        <v>4780.71</v>
      </c>
      <c r="L86" s="384"/>
      <c r="M86" s="385"/>
    </row>
    <row r="87" spans="1:13" x14ac:dyDescent="0.25">
      <c r="A87" s="384"/>
      <c r="B87" s="402">
        <v>42226</v>
      </c>
      <c r="C87" s="384">
        <v>15</v>
      </c>
      <c r="D87" s="389">
        <v>56.5</v>
      </c>
      <c r="E87" s="385">
        <v>0</v>
      </c>
      <c r="F87" s="385">
        <f t="shared" si="6"/>
        <v>847.5</v>
      </c>
      <c r="G87" s="383">
        <v>42314</v>
      </c>
      <c r="H87" s="388">
        <v>10</v>
      </c>
      <c r="I87" s="385">
        <v>59.65</v>
      </c>
      <c r="J87" s="385">
        <v>0.01</v>
      </c>
      <c r="K87" s="404">
        <f t="shared" si="7"/>
        <v>596.49</v>
      </c>
      <c r="L87" s="384"/>
      <c r="M87" s="385"/>
    </row>
    <row r="88" spans="1:13" x14ac:dyDescent="0.25">
      <c r="A88" s="384"/>
      <c r="B88" s="402">
        <v>42240</v>
      </c>
      <c r="C88" s="405">
        <v>15</v>
      </c>
      <c r="D88" s="389">
        <v>57.19</v>
      </c>
      <c r="E88" s="385">
        <v>0</v>
      </c>
      <c r="F88" s="385">
        <f t="shared" si="6"/>
        <v>857.84999999999991</v>
      </c>
      <c r="G88" s="383">
        <v>42338</v>
      </c>
      <c r="H88" s="388">
        <v>75</v>
      </c>
      <c r="I88" s="385">
        <v>61.49</v>
      </c>
      <c r="J88" s="385">
        <v>0.08</v>
      </c>
      <c r="K88" s="385">
        <f t="shared" si="7"/>
        <v>4611.67</v>
      </c>
      <c r="L88" s="384"/>
      <c r="M88" s="385"/>
    </row>
    <row r="89" spans="1:13" x14ac:dyDescent="0.25">
      <c r="A89" s="384"/>
      <c r="B89" s="402">
        <v>42240</v>
      </c>
      <c r="C89" s="384">
        <v>20</v>
      </c>
      <c r="D89" s="389">
        <v>56.6</v>
      </c>
      <c r="E89" s="385">
        <v>0</v>
      </c>
      <c r="F89" s="385">
        <f t="shared" si="6"/>
        <v>1132</v>
      </c>
      <c r="G89" s="383">
        <v>42354</v>
      </c>
      <c r="H89" s="388">
        <v>100</v>
      </c>
      <c r="I89" s="385">
        <v>50.1</v>
      </c>
      <c r="J89" s="385">
        <v>0.09</v>
      </c>
      <c r="K89" s="385">
        <f t="shared" si="7"/>
        <v>5009.91</v>
      </c>
      <c r="L89" s="384"/>
      <c r="M89" s="385"/>
    </row>
    <row r="90" spans="1:13" x14ac:dyDescent="0.25">
      <c r="A90" s="384"/>
      <c r="B90" s="402">
        <v>42240</v>
      </c>
      <c r="C90" s="384">
        <v>30</v>
      </c>
      <c r="D90" s="389">
        <v>56.5</v>
      </c>
      <c r="E90" s="385">
        <v>0</v>
      </c>
      <c r="F90" s="385">
        <f t="shared" si="6"/>
        <v>1695</v>
      </c>
      <c r="G90" s="383">
        <v>42354</v>
      </c>
      <c r="H90" s="388">
        <v>200</v>
      </c>
      <c r="I90" s="385">
        <v>50.15</v>
      </c>
      <c r="J90" s="385">
        <v>0.18</v>
      </c>
      <c r="K90" s="385">
        <f t="shared" si="7"/>
        <v>10029.82</v>
      </c>
      <c r="L90" s="384"/>
      <c r="M90" s="385"/>
    </row>
    <row r="91" spans="1:13" ht="15" customHeight="1" x14ac:dyDescent="0.25">
      <c r="A91" s="384"/>
      <c r="B91" s="409">
        <v>42258</v>
      </c>
      <c r="C91" s="384">
        <v>80</v>
      </c>
      <c r="D91" s="389">
        <v>55.45</v>
      </c>
      <c r="E91" s="385">
        <v>0</v>
      </c>
      <c r="F91" s="385">
        <f t="shared" si="6"/>
        <v>4436</v>
      </c>
      <c r="G91" s="383">
        <v>42354</v>
      </c>
      <c r="H91" s="388">
        <v>100</v>
      </c>
      <c r="I91" s="385">
        <v>50.15</v>
      </c>
      <c r="J91" s="385">
        <v>0.09</v>
      </c>
      <c r="K91" s="385">
        <f t="shared" si="7"/>
        <v>5014.91</v>
      </c>
      <c r="L91" s="384"/>
      <c r="M91" s="385"/>
    </row>
    <row r="92" spans="1:13" x14ac:dyDescent="0.25">
      <c r="A92" s="384"/>
      <c r="B92" s="409"/>
      <c r="C92" s="384">
        <v>20</v>
      </c>
      <c r="D92" s="389">
        <v>55.45</v>
      </c>
      <c r="E92" s="385">
        <v>0</v>
      </c>
      <c r="F92" s="385">
        <f t="shared" si="6"/>
        <v>1109</v>
      </c>
      <c r="G92" s="383">
        <v>42367</v>
      </c>
      <c r="H92" s="388">
        <v>400</v>
      </c>
      <c r="I92" s="385">
        <v>49.86</v>
      </c>
      <c r="J92" s="385">
        <v>0.37</v>
      </c>
      <c r="K92" s="385">
        <f t="shared" si="7"/>
        <v>19943.63</v>
      </c>
      <c r="L92" s="384"/>
      <c r="M92" s="385"/>
    </row>
    <row r="93" spans="1:13" x14ac:dyDescent="0.25">
      <c r="A93" s="384"/>
      <c r="B93" s="410">
        <v>42263</v>
      </c>
      <c r="C93" s="384">
        <v>50</v>
      </c>
      <c r="D93" s="389">
        <v>52.7</v>
      </c>
      <c r="E93" s="385">
        <v>0</v>
      </c>
      <c r="F93" s="385">
        <f t="shared" si="6"/>
        <v>2635</v>
      </c>
      <c r="G93" s="383">
        <v>42375</v>
      </c>
      <c r="H93" s="388">
        <v>100</v>
      </c>
      <c r="I93" s="385">
        <v>47.56</v>
      </c>
      <c r="J93" s="385">
        <v>0.09</v>
      </c>
      <c r="K93" s="385">
        <f t="shared" si="7"/>
        <v>4755.91</v>
      </c>
      <c r="L93" s="384"/>
      <c r="M93" s="384"/>
    </row>
    <row r="94" spans="1:13" x14ac:dyDescent="0.25">
      <c r="A94" s="384"/>
      <c r="B94" s="410"/>
      <c r="C94" s="384">
        <v>30</v>
      </c>
      <c r="D94" s="389">
        <v>52.7</v>
      </c>
      <c r="E94" s="385">
        <v>0</v>
      </c>
      <c r="F94" s="385">
        <f t="shared" si="6"/>
        <v>1581</v>
      </c>
      <c r="G94" s="383">
        <v>42398</v>
      </c>
      <c r="H94" s="388">
        <v>150</v>
      </c>
      <c r="I94" s="385">
        <v>40.880000000000003</v>
      </c>
      <c r="J94" s="385">
        <v>0.11</v>
      </c>
      <c r="K94" s="385">
        <f t="shared" si="7"/>
        <v>6131.89</v>
      </c>
      <c r="L94" s="384"/>
      <c r="M94" s="384"/>
    </row>
    <row r="95" spans="1:13" x14ac:dyDescent="0.25">
      <c r="A95" s="384"/>
      <c r="B95" s="402">
        <v>42263</v>
      </c>
      <c r="C95" s="384">
        <v>50</v>
      </c>
      <c r="D95" s="389">
        <v>52.05</v>
      </c>
      <c r="E95" s="385">
        <v>0</v>
      </c>
      <c r="F95" s="385">
        <f t="shared" si="6"/>
        <v>2602.5</v>
      </c>
      <c r="G95" s="383">
        <v>42405</v>
      </c>
      <c r="H95" s="388">
        <v>100</v>
      </c>
      <c r="I95" s="385">
        <v>38.445</v>
      </c>
      <c r="J95" s="385">
        <v>7.0000000000000007E-2</v>
      </c>
      <c r="K95" s="385">
        <f t="shared" si="7"/>
        <v>3844.43</v>
      </c>
      <c r="L95" s="384"/>
      <c r="M95" s="384"/>
    </row>
    <row r="96" spans="1:13" x14ac:dyDescent="0.25">
      <c r="A96" s="384"/>
      <c r="B96" s="410">
        <v>42270</v>
      </c>
      <c r="C96" s="384">
        <v>30</v>
      </c>
      <c r="D96" s="389">
        <v>52.5</v>
      </c>
      <c r="E96" s="385">
        <v>0</v>
      </c>
      <c r="F96" s="385">
        <f t="shared" si="6"/>
        <v>1575</v>
      </c>
      <c r="G96" s="383">
        <v>42426</v>
      </c>
      <c r="H96" s="388">
        <v>150</v>
      </c>
      <c r="I96" s="385">
        <v>43.25</v>
      </c>
      <c r="J96" s="385">
        <v>0.14000000000000001</v>
      </c>
      <c r="K96" s="385">
        <f t="shared" si="7"/>
        <v>6487.36</v>
      </c>
      <c r="L96" s="384"/>
      <c r="M96" s="384"/>
    </row>
    <row r="97" spans="1:13" x14ac:dyDescent="0.25">
      <c r="A97" s="384"/>
      <c r="B97" s="410"/>
      <c r="C97" s="384">
        <v>20</v>
      </c>
      <c r="D97" s="389">
        <v>52.5</v>
      </c>
      <c r="E97" s="385">
        <v>0</v>
      </c>
      <c r="F97" s="385">
        <f t="shared" si="6"/>
        <v>1050</v>
      </c>
      <c r="G97" s="383">
        <v>42426</v>
      </c>
      <c r="H97" s="388">
        <v>150</v>
      </c>
      <c r="I97" s="385">
        <v>43.4</v>
      </c>
      <c r="J97" s="385">
        <v>0.14000000000000001</v>
      </c>
      <c r="K97" s="385">
        <f t="shared" si="7"/>
        <v>6509.86</v>
      </c>
      <c r="L97" s="384"/>
      <c r="M97" s="384"/>
    </row>
    <row r="98" spans="1:13" x14ac:dyDescent="0.25">
      <c r="A98" s="384"/>
      <c r="B98" s="402">
        <v>42292</v>
      </c>
      <c r="C98" s="384">
        <v>80</v>
      </c>
      <c r="D98" s="389">
        <v>61.25</v>
      </c>
      <c r="E98" s="385">
        <v>0</v>
      </c>
      <c r="F98" s="385">
        <f t="shared" si="6"/>
        <v>4900</v>
      </c>
      <c r="G98" s="383">
        <v>42431</v>
      </c>
      <c r="H98" s="388">
        <v>150</v>
      </c>
      <c r="I98" s="385">
        <v>45.95</v>
      </c>
      <c r="J98" s="385">
        <v>0.15</v>
      </c>
      <c r="K98" s="385">
        <f t="shared" si="7"/>
        <v>6892.35</v>
      </c>
      <c r="L98" s="384"/>
      <c r="M98" s="384"/>
    </row>
    <row r="99" spans="1:13" x14ac:dyDescent="0.25">
      <c r="A99" s="384"/>
      <c r="B99" s="402">
        <v>42292</v>
      </c>
      <c r="C99" s="384">
        <v>80</v>
      </c>
      <c r="D99" s="389">
        <v>59.75</v>
      </c>
      <c r="E99" s="385">
        <v>0</v>
      </c>
      <c r="F99" s="385">
        <f t="shared" si="6"/>
        <v>4780</v>
      </c>
      <c r="G99" s="383">
        <v>42431</v>
      </c>
      <c r="H99" s="388">
        <v>150</v>
      </c>
      <c r="I99" s="385">
        <v>45.5</v>
      </c>
      <c r="J99" s="385">
        <v>0.15</v>
      </c>
      <c r="K99" s="385">
        <f t="shared" si="7"/>
        <v>6824.85</v>
      </c>
      <c r="L99" s="384"/>
      <c r="M99" s="384"/>
    </row>
    <row r="100" spans="1:13" x14ac:dyDescent="0.25">
      <c r="A100" s="384"/>
      <c r="B100" s="402">
        <v>42310</v>
      </c>
      <c r="C100" s="384">
        <v>80</v>
      </c>
      <c r="D100" s="389">
        <v>55.225000000000001</v>
      </c>
      <c r="E100" s="385">
        <v>6.95</v>
      </c>
      <c r="F100" s="385">
        <f t="shared" si="6"/>
        <v>4424.95</v>
      </c>
      <c r="G100" s="383">
        <v>42431</v>
      </c>
      <c r="H100" s="388">
        <v>150</v>
      </c>
      <c r="I100" s="385">
        <v>46.4</v>
      </c>
      <c r="J100" s="385">
        <v>0.15</v>
      </c>
      <c r="K100" s="385">
        <f t="shared" si="7"/>
        <v>6959.85</v>
      </c>
      <c r="L100" s="384"/>
      <c r="M100" s="384"/>
    </row>
    <row r="101" spans="1:13" x14ac:dyDescent="0.25">
      <c r="A101" s="384"/>
      <c r="B101" s="402">
        <v>42310</v>
      </c>
      <c r="C101" s="384">
        <v>40</v>
      </c>
      <c r="D101" s="389">
        <v>53.01</v>
      </c>
      <c r="E101" s="385">
        <v>6.95</v>
      </c>
      <c r="F101" s="385">
        <f t="shared" si="6"/>
        <v>2127.35</v>
      </c>
      <c r="G101" s="383">
        <v>42431</v>
      </c>
      <c r="H101" s="388">
        <v>150</v>
      </c>
      <c r="I101" s="385">
        <v>46.72</v>
      </c>
      <c r="J101" s="385">
        <v>0.15</v>
      </c>
      <c r="K101" s="385">
        <f t="shared" si="7"/>
        <v>7007.85</v>
      </c>
      <c r="L101" s="384"/>
      <c r="M101" s="384"/>
    </row>
    <row r="102" spans="1:13" x14ac:dyDescent="0.25">
      <c r="A102" s="384"/>
      <c r="B102" s="402">
        <v>42340</v>
      </c>
      <c r="C102" s="384">
        <v>40</v>
      </c>
      <c r="D102" s="389">
        <v>58.6</v>
      </c>
      <c r="E102" s="385">
        <v>0</v>
      </c>
      <c r="F102" s="385">
        <f t="shared" si="6"/>
        <v>2344</v>
      </c>
      <c r="G102" s="383">
        <v>42433</v>
      </c>
      <c r="H102" s="388">
        <v>50</v>
      </c>
      <c r="I102" s="385">
        <v>50.35</v>
      </c>
      <c r="J102" s="385">
        <v>0.05</v>
      </c>
      <c r="K102" s="385">
        <f t="shared" si="7"/>
        <v>2517.4499999999998</v>
      </c>
      <c r="L102" s="384"/>
      <c r="M102" s="384"/>
    </row>
    <row r="103" spans="1:13" ht="45" x14ac:dyDescent="0.25">
      <c r="A103" s="384"/>
      <c r="B103" s="411" t="s">
        <v>173</v>
      </c>
      <c r="C103" s="384">
        <v>45</v>
      </c>
      <c r="D103" s="389">
        <v>50.45</v>
      </c>
      <c r="E103" s="385">
        <v>0</v>
      </c>
      <c r="F103" s="385">
        <f t="shared" si="6"/>
        <v>2270.25</v>
      </c>
      <c r="G103" s="383">
        <v>42440</v>
      </c>
      <c r="H103" s="388">
        <v>250</v>
      </c>
      <c r="I103" s="385">
        <v>50.24</v>
      </c>
      <c r="J103" s="385">
        <v>0.27</v>
      </c>
      <c r="K103" s="385">
        <f t="shared" si="7"/>
        <v>12559.73</v>
      </c>
      <c r="L103" s="384"/>
      <c r="M103" s="384"/>
    </row>
    <row r="104" spans="1:13" x14ac:dyDescent="0.25">
      <c r="A104" s="384"/>
      <c r="B104" s="411"/>
      <c r="C104" s="384">
        <v>75</v>
      </c>
      <c r="D104" s="389">
        <v>50.42</v>
      </c>
      <c r="E104" s="385">
        <v>0</v>
      </c>
      <c r="F104" s="385">
        <f t="shared" si="6"/>
        <v>3781.5</v>
      </c>
      <c r="G104" s="383">
        <v>42440</v>
      </c>
      <c r="H104" s="388">
        <v>50</v>
      </c>
      <c r="I104" s="385">
        <v>50.73</v>
      </c>
      <c r="J104" s="385">
        <v>0.05</v>
      </c>
      <c r="K104" s="385">
        <f t="shared" si="7"/>
        <v>2536.4499999999998</v>
      </c>
      <c r="L104" s="384"/>
      <c r="M104" s="384"/>
    </row>
    <row r="105" spans="1:13" x14ac:dyDescent="0.25">
      <c r="A105" s="384"/>
      <c r="B105" s="411"/>
      <c r="C105" s="384">
        <v>100</v>
      </c>
      <c r="D105" s="389">
        <v>50.33</v>
      </c>
      <c r="E105" s="385">
        <v>0</v>
      </c>
      <c r="F105" s="385">
        <f t="shared" si="6"/>
        <v>5033</v>
      </c>
      <c r="G105" s="383">
        <v>42440</v>
      </c>
      <c r="H105" s="388">
        <v>50</v>
      </c>
      <c r="I105" s="385">
        <v>51.08</v>
      </c>
      <c r="J105" s="385">
        <v>0.06</v>
      </c>
      <c r="K105" s="385">
        <f t="shared" si="7"/>
        <v>2553.94</v>
      </c>
      <c r="L105" s="384"/>
      <c r="M105" s="384"/>
    </row>
    <row r="106" spans="1:13" x14ac:dyDescent="0.25">
      <c r="A106" s="384"/>
      <c r="B106" s="411"/>
      <c r="C106" s="384">
        <v>100</v>
      </c>
      <c r="D106" s="389">
        <v>50.25</v>
      </c>
      <c r="E106" s="385">
        <v>0</v>
      </c>
      <c r="F106" s="385">
        <f t="shared" si="6"/>
        <v>5025</v>
      </c>
      <c r="G106" s="383">
        <v>42445</v>
      </c>
      <c r="H106" s="388">
        <v>20</v>
      </c>
      <c r="I106" s="385">
        <v>51.59</v>
      </c>
      <c r="J106" s="385">
        <v>0.02</v>
      </c>
      <c r="K106" s="385">
        <f t="shared" si="7"/>
        <v>1031.7800000000002</v>
      </c>
      <c r="L106" s="384"/>
      <c r="M106" s="384"/>
    </row>
    <row r="107" spans="1:13" x14ac:dyDescent="0.25">
      <c r="A107" s="384"/>
      <c r="B107" s="411"/>
      <c r="C107" s="384">
        <v>100</v>
      </c>
      <c r="D107" s="389">
        <v>50.05</v>
      </c>
      <c r="E107" s="385">
        <v>0</v>
      </c>
      <c r="F107" s="385">
        <f t="shared" si="6"/>
        <v>5005</v>
      </c>
      <c r="G107" s="383">
        <v>42446</v>
      </c>
      <c r="H107" s="388">
        <v>80</v>
      </c>
      <c r="I107" s="385">
        <v>53.45</v>
      </c>
      <c r="J107" s="385">
        <v>0.09</v>
      </c>
      <c r="K107" s="385">
        <f t="shared" si="7"/>
        <v>4275.91</v>
      </c>
      <c r="L107" s="384"/>
      <c r="M107" s="384"/>
    </row>
    <row r="108" spans="1:13" x14ac:dyDescent="0.25">
      <c r="A108" s="384"/>
      <c r="B108" s="411"/>
      <c r="C108" s="384">
        <v>100</v>
      </c>
      <c r="D108" s="389">
        <v>49.99</v>
      </c>
      <c r="E108" s="385">
        <v>0</v>
      </c>
      <c r="F108" s="385">
        <f t="shared" si="6"/>
        <v>4999</v>
      </c>
      <c r="G108" s="383">
        <v>42460</v>
      </c>
      <c r="H108" s="388">
        <v>50</v>
      </c>
      <c r="I108" s="385">
        <v>52.74</v>
      </c>
      <c r="J108" s="385">
        <v>0.06</v>
      </c>
      <c r="K108" s="385">
        <f t="shared" si="7"/>
        <v>2636.94</v>
      </c>
      <c r="L108" s="384"/>
      <c r="M108" s="384"/>
    </row>
    <row r="109" spans="1:13" x14ac:dyDescent="0.25">
      <c r="A109" s="384"/>
      <c r="B109" s="411"/>
      <c r="C109" s="384">
        <v>200</v>
      </c>
      <c r="D109" s="389">
        <v>49.69</v>
      </c>
      <c r="E109" s="385">
        <v>0</v>
      </c>
      <c r="F109" s="385">
        <f t="shared" si="6"/>
        <v>9938</v>
      </c>
      <c r="G109" s="383">
        <v>42466</v>
      </c>
      <c r="H109" s="388">
        <v>50</v>
      </c>
      <c r="I109" s="385">
        <v>53.25</v>
      </c>
      <c r="J109" s="385">
        <v>0.06</v>
      </c>
      <c r="K109" s="385">
        <f t="shared" si="7"/>
        <v>2662.44</v>
      </c>
      <c r="L109" s="384"/>
      <c r="M109" s="384"/>
    </row>
    <row r="110" spans="1:13" x14ac:dyDescent="0.25">
      <c r="A110" s="384"/>
      <c r="B110" s="402">
        <v>42362</v>
      </c>
      <c r="C110" s="384">
        <v>300</v>
      </c>
      <c r="D110" s="389">
        <v>48.18</v>
      </c>
      <c r="E110" s="385">
        <v>0</v>
      </c>
      <c r="F110" s="385">
        <f t="shared" si="6"/>
        <v>14454</v>
      </c>
      <c r="G110" s="383">
        <v>42472</v>
      </c>
      <c r="H110" s="388">
        <v>20</v>
      </c>
      <c r="I110" s="385">
        <v>57.11</v>
      </c>
      <c r="J110" s="385">
        <v>-0.03</v>
      </c>
      <c r="K110" s="385">
        <f t="shared" si="7"/>
        <v>1142.23</v>
      </c>
      <c r="L110" s="384"/>
      <c r="M110" s="384"/>
    </row>
    <row r="111" spans="1:13" x14ac:dyDescent="0.25">
      <c r="A111" s="384"/>
      <c r="B111" s="402">
        <v>42362</v>
      </c>
      <c r="C111" s="384">
        <v>300</v>
      </c>
      <c r="D111" s="389">
        <v>47.73</v>
      </c>
      <c r="E111" s="385">
        <v>-0.03</v>
      </c>
      <c r="F111" s="385">
        <f t="shared" si="6"/>
        <v>14318.969999999998</v>
      </c>
      <c r="G111" s="383">
        <v>42478</v>
      </c>
      <c r="H111" s="388">
        <v>20</v>
      </c>
      <c r="I111" s="385">
        <v>58.75</v>
      </c>
      <c r="J111" s="385">
        <v>0.03</v>
      </c>
      <c r="K111" s="385">
        <f t="shared" si="7"/>
        <v>1174.97</v>
      </c>
      <c r="L111" s="384"/>
      <c r="M111" s="384"/>
    </row>
    <row r="112" spans="1:13" x14ac:dyDescent="0.25">
      <c r="A112" s="384"/>
      <c r="B112" s="402">
        <v>42374</v>
      </c>
      <c r="C112" s="384">
        <v>100</v>
      </c>
      <c r="D112" s="389">
        <v>47.13</v>
      </c>
      <c r="E112" s="385">
        <v>0</v>
      </c>
      <c r="F112" s="385">
        <f t="shared" si="6"/>
        <v>4713</v>
      </c>
      <c r="G112" s="383">
        <v>42501</v>
      </c>
      <c r="H112" s="388">
        <v>30</v>
      </c>
      <c r="I112" s="385">
        <v>58.45</v>
      </c>
      <c r="J112" s="385">
        <v>0.04</v>
      </c>
      <c r="K112" s="385">
        <f t="shared" si="7"/>
        <v>1753.46</v>
      </c>
      <c r="L112" s="384"/>
      <c r="M112" s="384"/>
    </row>
    <row r="113" spans="1:13" x14ac:dyDescent="0.25">
      <c r="A113" s="384"/>
      <c r="B113" s="402">
        <v>42375</v>
      </c>
      <c r="C113" s="384">
        <v>100</v>
      </c>
      <c r="D113" s="389">
        <v>46.02</v>
      </c>
      <c r="E113" s="385">
        <v>0</v>
      </c>
      <c r="F113" s="385">
        <f t="shared" si="6"/>
        <v>4602</v>
      </c>
      <c r="G113" s="384"/>
      <c r="H113" s="388"/>
      <c r="I113" s="385"/>
      <c r="J113" s="385"/>
      <c r="K113" s="385"/>
      <c r="L113" s="384"/>
      <c r="M113" s="384"/>
    </row>
    <row r="114" spans="1:13" x14ac:dyDescent="0.25">
      <c r="A114" s="384"/>
      <c r="B114" s="410">
        <v>42375</v>
      </c>
      <c r="C114" s="384">
        <v>30</v>
      </c>
      <c r="D114" s="389">
        <v>45.1</v>
      </c>
      <c r="E114" s="385">
        <v>0</v>
      </c>
      <c r="F114" s="385">
        <f t="shared" si="6"/>
        <v>1353</v>
      </c>
      <c r="G114" s="384"/>
      <c r="H114" s="388"/>
      <c r="I114" s="385"/>
      <c r="J114" s="385"/>
      <c r="K114" s="385"/>
      <c r="L114" s="384"/>
      <c r="M114" s="384"/>
    </row>
    <row r="115" spans="1:13" x14ac:dyDescent="0.25">
      <c r="A115" s="384"/>
      <c r="B115" s="410"/>
      <c r="C115" s="384">
        <v>20</v>
      </c>
      <c r="D115" s="389">
        <v>45.1</v>
      </c>
      <c r="E115" s="385">
        <v>0</v>
      </c>
      <c r="F115" s="385">
        <f t="shared" si="6"/>
        <v>902</v>
      </c>
      <c r="G115" s="384"/>
      <c r="H115" s="388"/>
      <c r="I115" s="385"/>
      <c r="J115" s="385"/>
      <c r="K115" s="385"/>
      <c r="L115" s="384"/>
      <c r="M115" s="384"/>
    </row>
    <row r="116" spans="1:13" x14ac:dyDescent="0.25">
      <c r="A116" s="384"/>
      <c r="B116" s="402">
        <v>42402</v>
      </c>
      <c r="C116" s="384">
        <v>150</v>
      </c>
      <c r="D116" s="389">
        <v>39.450000000000003</v>
      </c>
      <c r="E116" s="385">
        <v>0</v>
      </c>
      <c r="F116" s="385">
        <f t="shared" si="6"/>
        <v>5917.5</v>
      </c>
      <c r="G116" s="384"/>
      <c r="H116" s="388"/>
      <c r="I116" s="385"/>
      <c r="J116" s="385"/>
      <c r="K116" s="385"/>
      <c r="L116" s="384"/>
      <c r="M116" s="384"/>
    </row>
    <row r="117" spans="1:13" x14ac:dyDescent="0.25">
      <c r="A117" s="384"/>
      <c r="B117" s="402">
        <v>42405</v>
      </c>
      <c r="C117" s="384">
        <v>100</v>
      </c>
      <c r="D117" s="389">
        <v>38.385100000000001</v>
      </c>
      <c r="E117" s="385">
        <v>0</v>
      </c>
      <c r="F117" s="385">
        <f t="shared" si="6"/>
        <v>3838.51</v>
      </c>
      <c r="G117" s="384"/>
      <c r="H117" s="388"/>
      <c r="I117" s="385"/>
      <c r="J117" s="385"/>
      <c r="K117" s="385"/>
      <c r="L117" s="384"/>
      <c r="M117" s="384"/>
    </row>
    <row r="118" spans="1:13" x14ac:dyDescent="0.25">
      <c r="A118" s="384"/>
      <c r="B118" s="402">
        <v>42426</v>
      </c>
      <c r="C118" s="384">
        <v>150</v>
      </c>
      <c r="D118" s="389">
        <v>43.09</v>
      </c>
      <c r="E118" s="385">
        <v>0</v>
      </c>
      <c r="F118" s="385">
        <f t="shared" si="6"/>
        <v>6463.5000000000009</v>
      </c>
      <c r="G118" s="384"/>
      <c r="H118" s="388"/>
      <c r="I118" s="385"/>
      <c r="J118" s="385"/>
      <c r="K118" s="385"/>
      <c r="L118" s="384"/>
      <c r="M118" s="384"/>
    </row>
    <row r="119" spans="1:13" x14ac:dyDescent="0.25">
      <c r="A119" s="384"/>
      <c r="B119" s="402">
        <v>42426</v>
      </c>
      <c r="C119" s="384">
        <v>150</v>
      </c>
      <c r="D119" s="389">
        <v>42.89</v>
      </c>
      <c r="E119" s="385">
        <v>0</v>
      </c>
      <c r="F119" s="385">
        <f t="shared" si="6"/>
        <v>6433.5</v>
      </c>
      <c r="G119" s="384"/>
      <c r="H119" s="388"/>
      <c r="I119" s="385"/>
      <c r="J119" s="385"/>
      <c r="K119" s="385"/>
      <c r="L119" s="384"/>
      <c r="M119" s="384"/>
    </row>
    <row r="120" spans="1:13" x14ac:dyDescent="0.25">
      <c r="A120" s="384"/>
      <c r="B120" s="402">
        <v>42431</v>
      </c>
      <c r="C120" s="384">
        <v>150</v>
      </c>
      <c r="D120" s="389">
        <v>45.49</v>
      </c>
      <c r="E120" s="385">
        <v>0</v>
      </c>
      <c r="F120" s="385">
        <f t="shared" si="6"/>
        <v>6823.5</v>
      </c>
      <c r="G120" s="384"/>
      <c r="H120" s="388"/>
      <c r="I120" s="385"/>
      <c r="J120" s="385"/>
      <c r="K120" s="385"/>
      <c r="L120" s="384"/>
      <c r="M120" s="384"/>
    </row>
    <row r="121" spans="1:13" x14ac:dyDescent="0.25">
      <c r="A121" s="384"/>
      <c r="B121" s="402">
        <v>42431</v>
      </c>
      <c r="C121" s="384">
        <v>150</v>
      </c>
      <c r="D121" s="389">
        <v>45.07</v>
      </c>
      <c r="E121" s="385">
        <v>0</v>
      </c>
      <c r="F121" s="385">
        <f t="shared" si="6"/>
        <v>6760.5</v>
      </c>
      <c r="G121" s="384"/>
      <c r="H121" s="388"/>
      <c r="I121" s="385"/>
      <c r="J121" s="385"/>
      <c r="K121" s="385"/>
      <c r="L121" s="384"/>
      <c r="M121" s="384"/>
    </row>
    <row r="122" spans="1:13" x14ac:dyDescent="0.25">
      <c r="A122" s="384"/>
      <c r="B122" s="402">
        <v>42433</v>
      </c>
      <c r="C122" s="384">
        <v>50</v>
      </c>
      <c r="D122" s="389">
        <v>49.45</v>
      </c>
      <c r="E122" s="385">
        <v>0</v>
      </c>
      <c r="F122" s="385">
        <f t="shared" si="6"/>
        <v>2472.5</v>
      </c>
      <c r="G122" s="384"/>
      <c r="H122" s="388"/>
      <c r="I122" s="385"/>
      <c r="J122" s="385"/>
      <c r="K122" s="385"/>
      <c r="L122" s="384"/>
      <c r="M122" s="384"/>
    </row>
    <row r="123" spans="1:13" x14ac:dyDescent="0.25">
      <c r="A123" s="384"/>
      <c r="B123" s="402">
        <v>42444</v>
      </c>
      <c r="C123" s="384">
        <v>50</v>
      </c>
      <c r="D123" s="389">
        <v>48.21</v>
      </c>
      <c r="E123" s="385">
        <v>0</v>
      </c>
      <c r="F123" s="385">
        <f t="shared" si="6"/>
        <v>2410.5</v>
      </c>
      <c r="G123" s="384"/>
      <c r="H123" s="388"/>
      <c r="I123" s="385"/>
      <c r="J123" s="385"/>
      <c r="K123" s="385"/>
      <c r="L123" s="384"/>
      <c r="M123" s="384"/>
    </row>
    <row r="124" spans="1:13" x14ac:dyDescent="0.25">
      <c r="A124" s="384"/>
      <c r="B124" s="402">
        <v>42452</v>
      </c>
      <c r="C124" s="384">
        <v>50</v>
      </c>
      <c r="D124" s="389">
        <v>51.6</v>
      </c>
      <c r="E124" s="385">
        <v>0</v>
      </c>
      <c r="F124" s="385">
        <f t="shared" si="6"/>
        <v>2580</v>
      </c>
      <c r="G124" s="384"/>
      <c r="H124" s="388"/>
      <c r="I124" s="385"/>
      <c r="J124" s="385"/>
      <c r="K124" s="385"/>
      <c r="L124" s="384"/>
      <c r="M124" s="384"/>
    </row>
    <row r="125" spans="1:13" x14ac:dyDescent="0.25">
      <c r="A125" s="384"/>
      <c r="B125" s="402">
        <v>42464</v>
      </c>
      <c r="C125" s="384">
        <v>50</v>
      </c>
      <c r="D125" s="389">
        <v>50.62</v>
      </c>
      <c r="E125" s="385">
        <v>0</v>
      </c>
      <c r="F125" s="385">
        <f t="shared" si="6"/>
        <v>2531</v>
      </c>
      <c r="G125" s="384"/>
      <c r="H125" s="388"/>
      <c r="I125" s="385"/>
      <c r="J125" s="385"/>
      <c r="K125" s="385"/>
      <c r="L125" s="384"/>
      <c r="M125" s="384"/>
    </row>
    <row r="126" spans="1:13" x14ac:dyDescent="0.25">
      <c r="A126" s="384"/>
      <c r="B126" s="402">
        <v>42493</v>
      </c>
      <c r="C126" s="384">
        <v>20</v>
      </c>
      <c r="D126" s="389">
        <v>56.5</v>
      </c>
      <c r="E126" s="385">
        <v>0</v>
      </c>
      <c r="F126" s="385">
        <f t="shared" si="6"/>
        <v>1130</v>
      </c>
      <c r="G126" s="384"/>
      <c r="H126" s="388"/>
      <c r="I126" s="385"/>
      <c r="J126" s="385"/>
      <c r="K126" s="385"/>
      <c r="L126" s="384"/>
      <c r="M126" s="384"/>
    </row>
    <row r="127" spans="1:13" x14ac:dyDescent="0.25">
      <c r="A127" s="384"/>
      <c r="B127" s="406"/>
      <c r="C127" s="384"/>
      <c r="D127" s="389"/>
      <c r="E127" s="385"/>
      <c r="F127" s="385"/>
      <c r="G127" s="384"/>
      <c r="H127" s="388"/>
      <c r="I127" s="385"/>
      <c r="J127" s="385"/>
      <c r="K127" s="385"/>
      <c r="L127" s="384"/>
      <c r="M127" s="384"/>
    </row>
    <row r="128" spans="1:13" x14ac:dyDescent="0.25">
      <c r="A128" s="22" t="s">
        <v>81</v>
      </c>
      <c r="B128" s="407"/>
      <c r="C128" s="12">
        <f>SUM(C77:C127)</f>
        <v>3500</v>
      </c>
      <c r="D128" s="408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4"/>
      <c r="B129" s="406"/>
      <c r="C129" s="384"/>
      <c r="D129" s="389"/>
      <c r="E129" s="385"/>
      <c r="F129" s="385"/>
      <c r="G129" s="384"/>
      <c r="H129" s="388"/>
      <c r="I129" s="385"/>
      <c r="J129" s="385"/>
      <c r="K129" s="385"/>
      <c r="L129" s="384"/>
      <c r="M129" s="384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63" priority="17">
      <formula>F38&gt;0</formula>
    </cfRule>
    <cfRule type="expression" dxfId="462" priority="18">
      <formula>F38&lt;0</formula>
    </cfRule>
  </conditionalFormatting>
  <conditionalFormatting sqref="H38:H72">
    <cfRule type="expression" dxfId="461" priority="9">
      <formula>H38&gt;0</formula>
    </cfRule>
    <cfRule type="expression" dxfId="460" priority="10">
      <formula>H38&lt;0</formula>
    </cfRule>
  </conditionalFormatting>
  <conditionalFormatting sqref="F21:F37">
    <cfRule type="expression" dxfId="459" priority="7">
      <formula>F21&gt;0</formula>
    </cfRule>
    <cfRule type="expression" dxfId="458" priority="8">
      <formula>F21&lt;0</formula>
    </cfRule>
  </conditionalFormatting>
  <conditionalFormatting sqref="H21:H37">
    <cfRule type="expression" dxfId="457" priority="5">
      <formula>H21&gt;0</formula>
    </cfRule>
    <cfRule type="expression" dxfId="456" priority="6">
      <formula>H21&lt;0</formula>
    </cfRule>
  </conditionalFormatting>
  <conditionalFormatting sqref="Q8">
    <cfRule type="expression" dxfId="455" priority="1">
      <formula>Q8&gt;0</formula>
    </cfRule>
    <cfRule type="expression" dxfId="454" priority="2">
      <formula>Q8&lt;0</formula>
    </cfRule>
  </conditionalFormatting>
  <conditionalFormatting sqref="Q7">
    <cfRule type="expression" dxfId="453" priority="3">
      <formula>Q7&gt;0</formula>
    </cfRule>
    <cfRule type="expression" dxfId="452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42676</v>
      </c>
      <c r="X2" s="10">
        <v>88.08</v>
      </c>
      <c r="Y2" s="10">
        <v>89.31</v>
      </c>
      <c r="Z2" s="10">
        <v>87.74</v>
      </c>
      <c r="AA2" s="10">
        <v>88.69</v>
      </c>
      <c r="AB2" s="95">
        <v>4430400</v>
      </c>
      <c r="AC2" s="10">
        <v>88.69</v>
      </c>
      <c r="AD2" s="2">
        <f>Y2-Z2</f>
        <v>1.5700000000000074</v>
      </c>
      <c r="AE2" s="138">
        <f>AC2/AC3-1</f>
        <v>9.1022869495960279E-3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88.69</v>
      </c>
      <c r="W3" s="133">
        <v>42675</v>
      </c>
      <c r="X3" s="10">
        <v>88.65</v>
      </c>
      <c r="Y3" s="10">
        <v>88.89</v>
      </c>
      <c r="Z3" s="10">
        <v>87.06</v>
      </c>
      <c r="AA3" s="10">
        <v>87.89</v>
      </c>
      <c r="AB3" s="95">
        <v>3967500</v>
      </c>
      <c r="AC3" s="10">
        <v>87.89</v>
      </c>
      <c r="AD3" s="2">
        <f t="shared" ref="AD3:AD66" si="0">Y3-Z3</f>
        <v>1.8299999999999983</v>
      </c>
      <c r="AE3" s="138">
        <f t="shared" ref="AE3:AE66" si="1">AC3/AC4-1</f>
        <v>-3.288727602631103E-3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88.69</v>
      </c>
      <c r="R4" s="557">
        <v>9.1000000000000004E-3</v>
      </c>
      <c r="W4" s="133">
        <v>42674</v>
      </c>
      <c r="X4" s="10">
        <v>88.75</v>
      </c>
      <c r="Y4" s="10">
        <v>89.07</v>
      </c>
      <c r="Z4" s="10">
        <v>88.11</v>
      </c>
      <c r="AA4" s="10">
        <v>88.18</v>
      </c>
      <c r="AB4" s="95">
        <v>3681200</v>
      </c>
      <c r="AC4" s="10">
        <v>88.18</v>
      </c>
      <c r="AD4" s="2">
        <f t="shared" si="0"/>
        <v>0.95999999999999375</v>
      </c>
      <c r="AE4" s="138">
        <f t="shared" si="1"/>
        <v>-2.1500509222586173E-3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42671</v>
      </c>
      <c r="X5" s="10">
        <v>88.94</v>
      </c>
      <c r="Y5" s="10">
        <v>89.32</v>
      </c>
      <c r="Z5" s="10">
        <v>87.79</v>
      </c>
      <c r="AA5" s="10">
        <v>88.37</v>
      </c>
      <c r="AB5" s="95">
        <v>3784400</v>
      </c>
      <c r="AC5" s="10">
        <v>88.37</v>
      </c>
      <c r="AD5" s="2">
        <f t="shared" si="0"/>
        <v>1.5299999999999869</v>
      </c>
      <c r="AE5" s="138">
        <f t="shared" si="1"/>
        <v>-5.0664264805222459E-3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42670</v>
      </c>
      <c r="X6" s="10">
        <v>89.21</v>
      </c>
      <c r="Y6" s="10">
        <v>89.39</v>
      </c>
      <c r="Z6" s="10">
        <v>88.58</v>
      </c>
      <c r="AA6" s="10">
        <v>88.82</v>
      </c>
      <c r="AB6" s="95">
        <v>4367100</v>
      </c>
      <c r="AC6" s="10">
        <v>88.82</v>
      </c>
      <c r="AD6" s="2">
        <f t="shared" si="0"/>
        <v>0.81000000000000227</v>
      </c>
      <c r="AE6" s="138">
        <f t="shared" si="1"/>
        <v>-2.5828186412127918E-3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184</v>
      </c>
      <c r="Q7" s="2">
        <f>Q10+Q8</f>
        <v>128.08999999999833</v>
      </c>
      <c r="R7">
        <v>0</v>
      </c>
      <c r="W7" s="133">
        <v>42669</v>
      </c>
      <c r="X7" s="10">
        <v>90.02</v>
      </c>
      <c r="Y7" s="10">
        <v>90.02</v>
      </c>
      <c r="Z7" s="10">
        <v>88.63</v>
      </c>
      <c r="AA7" s="10">
        <v>89.05</v>
      </c>
      <c r="AB7" s="95">
        <v>4750200</v>
      </c>
      <c r="AC7" s="10">
        <v>89.05</v>
      </c>
      <c r="AD7" s="2">
        <f t="shared" si="0"/>
        <v>1.3900000000000006</v>
      </c>
      <c r="AE7" s="138">
        <f t="shared" si="1"/>
        <v>-1.0445605067229691E-2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42668</v>
      </c>
      <c r="X8" s="10">
        <v>89.73</v>
      </c>
      <c r="Y8" s="10">
        <v>90.42</v>
      </c>
      <c r="Z8" s="10">
        <v>89.15</v>
      </c>
      <c r="AA8" s="10">
        <v>89.99</v>
      </c>
      <c r="AB8" s="95">
        <v>5599100</v>
      </c>
      <c r="AC8" s="10">
        <v>89.99</v>
      </c>
      <c r="AD8" s="2">
        <f t="shared" si="0"/>
        <v>1.269999999999996</v>
      </c>
      <c r="AE8" s="138">
        <f t="shared" si="1"/>
        <v>1.223854027592397E-3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W9" s="133">
        <v>42667</v>
      </c>
      <c r="X9" s="10">
        <v>90.78</v>
      </c>
      <c r="Y9" s="10">
        <v>91.49</v>
      </c>
      <c r="Z9" s="10">
        <v>89.77</v>
      </c>
      <c r="AA9" s="10">
        <v>89.88</v>
      </c>
      <c r="AB9" s="95">
        <v>7038000</v>
      </c>
      <c r="AC9" s="10">
        <v>89.88</v>
      </c>
      <c r="AD9" s="2">
        <f t="shared" si="0"/>
        <v>1.7199999999999989</v>
      </c>
      <c r="AE9" s="138">
        <f t="shared" si="1"/>
        <v>-5.422153369481153E-3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218</v>
      </c>
      <c r="P10" s="34"/>
      <c r="Q10" s="2">
        <f>M34</f>
        <v>128.08999999999833</v>
      </c>
      <c r="W10" s="133">
        <v>42664</v>
      </c>
      <c r="X10" s="10">
        <v>89.57</v>
      </c>
      <c r="Y10" s="10">
        <v>91.5</v>
      </c>
      <c r="Z10" s="10">
        <v>89.37</v>
      </c>
      <c r="AA10" s="10">
        <v>90.37</v>
      </c>
      <c r="AB10" s="95">
        <v>8288700</v>
      </c>
      <c r="AC10" s="10">
        <v>90.37</v>
      </c>
      <c r="AD10" s="2">
        <f t="shared" si="0"/>
        <v>2.1299999999999955</v>
      </c>
      <c r="AE10" s="138">
        <f t="shared" si="1"/>
        <v>-2.9788172992055717E-3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181</v>
      </c>
      <c r="P11" s="34"/>
      <c r="Q11" s="138">
        <f>IF(U58="N/A (N/A)", 0, VALUE(TRIM(CLEAN(MID(U58, FIND("(", U58)+1, 5)))))</f>
        <v>2.5600000000000001E-2</v>
      </c>
      <c r="T11" s="43"/>
      <c r="U11" s="33"/>
      <c r="V11" s="11"/>
      <c r="W11" s="99">
        <v>42663</v>
      </c>
      <c r="X11" s="10">
        <v>94.4</v>
      </c>
      <c r="Y11" s="10">
        <v>95</v>
      </c>
      <c r="Z11" s="10">
        <v>89.81</v>
      </c>
      <c r="AA11" s="10">
        <v>90.64</v>
      </c>
      <c r="AB11" s="95">
        <v>16101900</v>
      </c>
      <c r="AC11" s="10">
        <v>90.64</v>
      </c>
      <c r="AD11" s="2">
        <f t="shared" si="0"/>
        <v>5.1899999999999977</v>
      </c>
      <c r="AE11" s="138">
        <f t="shared" si="1"/>
        <v>-6.6721581548599751E-2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42662</v>
      </c>
      <c r="X12" s="10">
        <v>96.65</v>
      </c>
      <c r="Y12" s="10">
        <v>98.44</v>
      </c>
      <c r="Z12" s="10">
        <v>96.26</v>
      </c>
      <c r="AA12" s="10">
        <v>97.12</v>
      </c>
      <c r="AB12" s="95">
        <v>3706800</v>
      </c>
      <c r="AC12" s="10">
        <v>97.12</v>
      </c>
      <c r="AD12" s="2">
        <f t="shared" si="0"/>
        <v>2.1799999999999926</v>
      </c>
      <c r="AE12" s="138">
        <f t="shared" si="1"/>
        <v>4.1356492969397696E-3</v>
      </c>
    </row>
    <row r="13" spans="1:31" x14ac:dyDescent="0.25">
      <c r="T13" s="67"/>
      <c r="W13" s="133">
        <v>42661</v>
      </c>
      <c r="X13" s="10">
        <v>97.6</v>
      </c>
      <c r="Y13" s="10">
        <v>98.07</v>
      </c>
      <c r="Z13" s="10">
        <v>96.67</v>
      </c>
      <c r="AA13" s="10">
        <v>96.72</v>
      </c>
      <c r="AB13" s="95">
        <v>3565800</v>
      </c>
      <c r="AC13" s="10">
        <v>96.72</v>
      </c>
      <c r="AD13" s="2">
        <f t="shared" si="0"/>
        <v>1.3999999999999915</v>
      </c>
      <c r="AE13" s="138">
        <f t="shared" si="1"/>
        <v>-5.1668905652579866E-4</v>
      </c>
    </row>
    <row r="14" spans="1:31" x14ac:dyDescent="0.25">
      <c r="W14" s="133">
        <v>42660</v>
      </c>
      <c r="X14" s="10">
        <v>96.71</v>
      </c>
      <c r="Y14" s="10">
        <v>97.12</v>
      </c>
      <c r="Z14" s="10">
        <v>96.44</v>
      </c>
      <c r="AA14" s="10">
        <v>96.77</v>
      </c>
      <c r="AB14" s="95">
        <v>2363300</v>
      </c>
      <c r="AC14" s="10">
        <v>96.77</v>
      </c>
      <c r="AD14" s="2">
        <f t="shared" si="0"/>
        <v>0.68000000000000682</v>
      </c>
      <c r="AE14" s="138">
        <f t="shared" si="1"/>
        <v>-7.2284180090875783E-4</v>
      </c>
    </row>
    <row r="15" spans="1:31" x14ac:dyDescent="0.25">
      <c r="W15" s="133">
        <v>42657</v>
      </c>
      <c r="X15" s="10">
        <v>97.07</v>
      </c>
      <c r="Y15" s="10">
        <v>98.26</v>
      </c>
      <c r="Z15" s="10">
        <v>96.83</v>
      </c>
      <c r="AA15" s="10">
        <v>96.84</v>
      </c>
      <c r="AB15" s="95">
        <v>4927400</v>
      </c>
      <c r="AC15" s="10">
        <v>96.84</v>
      </c>
      <c r="AD15" s="2">
        <f t="shared" si="0"/>
        <v>1.4300000000000068</v>
      </c>
      <c r="AE15" s="138">
        <f t="shared" si="1"/>
        <v>1.0336985734960003E-3</v>
      </c>
    </row>
    <row r="16" spans="1:31" x14ac:dyDescent="0.25">
      <c r="W16" s="133">
        <v>42656</v>
      </c>
      <c r="X16" s="10">
        <v>95.39</v>
      </c>
      <c r="Y16" s="10">
        <v>97.11</v>
      </c>
      <c r="Z16" s="10">
        <v>94.3</v>
      </c>
      <c r="AA16" s="10">
        <v>96.74</v>
      </c>
      <c r="AB16" s="95">
        <v>4311600</v>
      </c>
      <c r="AC16" s="10">
        <v>96.74</v>
      </c>
      <c r="AD16" s="2">
        <f t="shared" si="0"/>
        <v>2.8100000000000023</v>
      </c>
      <c r="AE16" s="138">
        <f t="shared" si="1"/>
        <v>8.6539464080908068E-3</v>
      </c>
    </row>
    <row r="17" spans="1:31" x14ac:dyDescent="0.25">
      <c r="W17" s="133">
        <v>42655</v>
      </c>
      <c r="X17" s="10">
        <v>96.74</v>
      </c>
      <c r="Y17" s="10">
        <v>96.8</v>
      </c>
      <c r="Z17" s="10">
        <v>95.57</v>
      </c>
      <c r="AA17" s="10">
        <v>95.91</v>
      </c>
      <c r="AB17" s="95">
        <v>3419700</v>
      </c>
      <c r="AC17" s="10">
        <v>95.91</v>
      </c>
      <c r="AD17" s="2">
        <f t="shared" si="0"/>
        <v>1.230000000000004</v>
      </c>
      <c r="AE17" s="138">
        <f t="shared" si="1"/>
        <v>-6.5257924176508331E-3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42654</v>
      </c>
      <c r="X18" s="10">
        <v>97.32</v>
      </c>
      <c r="Y18" s="10">
        <v>97.48</v>
      </c>
      <c r="Z18" s="10">
        <v>96.01</v>
      </c>
      <c r="AA18" s="10">
        <v>96.54</v>
      </c>
      <c r="AB18" s="95">
        <v>4202400</v>
      </c>
      <c r="AC18" s="10">
        <v>96.54</v>
      </c>
      <c r="AD18" s="2">
        <f t="shared" si="0"/>
        <v>1.4699999999999989</v>
      </c>
      <c r="AE18" s="138">
        <f t="shared" si="1"/>
        <v>-8.3204930662557075E-3</v>
      </c>
    </row>
    <row r="19" spans="1:31" x14ac:dyDescent="0.25">
      <c r="W19" s="133">
        <v>42653</v>
      </c>
      <c r="X19" s="10">
        <v>98.52</v>
      </c>
      <c r="Y19" s="10">
        <v>98.72</v>
      </c>
      <c r="Z19" s="10">
        <v>97.26</v>
      </c>
      <c r="AA19" s="10">
        <v>97.35</v>
      </c>
      <c r="AB19" s="95">
        <v>3041800</v>
      </c>
      <c r="AC19" s="10">
        <v>97.35</v>
      </c>
      <c r="AD19" s="2">
        <f t="shared" si="0"/>
        <v>1.4599999999999937</v>
      </c>
      <c r="AE19" s="138">
        <f t="shared" si="1"/>
        <v>-7.3416947078617234E-3</v>
      </c>
    </row>
    <row r="20" spans="1:31" x14ac:dyDescent="0.25">
      <c r="W20" s="133">
        <v>42650</v>
      </c>
      <c r="X20" s="10">
        <v>98.42</v>
      </c>
      <c r="Y20" s="10">
        <v>98.64</v>
      </c>
      <c r="Z20" s="10">
        <v>97.31</v>
      </c>
      <c r="AA20" s="10">
        <v>98.07</v>
      </c>
      <c r="AB20" s="95">
        <v>3275100</v>
      </c>
      <c r="AC20" s="10">
        <v>98.07</v>
      </c>
      <c r="AD20" s="2">
        <f t="shared" si="0"/>
        <v>1.3299999999999983</v>
      </c>
      <c r="AE20" s="138">
        <f t="shared" si="1"/>
        <v>-2.846975088968029E-3</v>
      </c>
    </row>
    <row r="21" spans="1:31" x14ac:dyDescent="0.25">
      <c r="W21" s="40">
        <v>42649</v>
      </c>
      <c r="X21" s="10">
        <v>98.36</v>
      </c>
      <c r="Y21" s="10">
        <v>98.8</v>
      </c>
      <c r="Z21" s="10">
        <v>97.95</v>
      </c>
      <c r="AA21" s="10">
        <v>98.35</v>
      </c>
      <c r="AB21" s="95">
        <v>3088700</v>
      </c>
      <c r="AC21" s="10">
        <v>98.35</v>
      </c>
      <c r="AD21" s="2">
        <f t="shared" si="0"/>
        <v>0.84999999999999432</v>
      </c>
      <c r="AE21" s="138">
        <f t="shared" si="1"/>
        <v>-1.9281510046682548E-3</v>
      </c>
    </row>
    <row r="22" spans="1:31" x14ac:dyDescent="0.25">
      <c r="W22" s="133">
        <v>42648</v>
      </c>
      <c r="X22" s="10">
        <v>97.21</v>
      </c>
      <c r="Y22" s="10">
        <v>98.84</v>
      </c>
      <c r="Z22" s="10">
        <v>96.99</v>
      </c>
      <c r="AA22" s="10">
        <v>98.54</v>
      </c>
      <c r="AB22" s="95">
        <v>3225300</v>
      </c>
      <c r="AC22" s="10">
        <v>98.54</v>
      </c>
      <c r="AD22" s="2">
        <f t="shared" si="0"/>
        <v>1.8500000000000085</v>
      </c>
      <c r="AE22" s="138">
        <f t="shared" si="1"/>
        <v>1.9344160546188149E-2</v>
      </c>
    </row>
    <row r="23" spans="1:31" x14ac:dyDescent="0.25">
      <c r="B23" s="191" t="s">
        <v>114</v>
      </c>
      <c r="C23" s="191" t="s">
        <v>149</v>
      </c>
      <c r="D23" s="192" t="s">
        <v>148</v>
      </c>
      <c r="E23" s="194" t="s">
        <v>150</v>
      </c>
      <c r="F23" s="194" t="s">
        <v>65</v>
      </c>
      <c r="G23" s="229" t="s">
        <v>154</v>
      </c>
      <c r="H23" s="229" t="s">
        <v>88</v>
      </c>
      <c r="I23" s="229" t="s">
        <v>158</v>
      </c>
      <c r="W23" s="133">
        <v>42647</v>
      </c>
      <c r="X23" s="10">
        <v>97.57</v>
      </c>
      <c r="Y23" s="10">
        <v>98.16</v>
      </c>
      <c r="Z23" s="10">
        <v>96.57</v>
      </c>
      <c r="AA23" s="10">
        <v>96.67</v>
      </c>
      <c r="AB23" s="95">
        <v>2626300</v>
      </c>
      <c r="AC23" s="10">
        <v>96.67</v>
      </c>
      <c r="AD23" s="2">
        <f t="shared" si="0"/>
        <v>1.5900000000000034</v>
      </c>
      <c r="AE23" s="138">
        <f t="shared" si="1"/>
        <v>-6.9851052901899191E-3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42646</v>
      </c>
      <c r="X24" s="10">
        <v>97.18</v>
      </c>
      <c r="Y24" s="10">
        <v>97.89</v>
      </c>
      <c r="Z24" s="10">
        <v>97.06</v>
      </c>
      <c r="AA24" s="10">
        <v>97.35</v>
      </c>
      <c r="AB24" s="95">
        <v>2378700</v>
      </c>
      <c r="AC24" s="10">
        <v>97.35</v>
      </c>
      <c r="AD24" s="2">
        <f t="shared" si="0"/>
        <v>0.82999999999999829</v>
      </c>
      <c r="AE24" s="138">
        <f t="shared" si="1"/>
        <v>-1.8455859735466706E-3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42643</v>
      </c>
      <c r="X25" s="10">
        <v>96.78</v>
      </c>
      <c r="Y25" s="10">
        <v>98</v>
      </c>
      <c r="Z25" s="10">
        <v>96.61</v>
      </c>
      <c r="AA25" s="10">
        <v>97.53</v>
      </c>
      <c r="AB25" s="95">
        <v>5190800</v>
      </c>
      <c r="AC25" s="10">
        <v>97.53</v>
      </c>
      <c r="AD25" s="2">
        <f t="shared" si="0"/>
        <v>1.3900000000000006</v>
      </c>
      <c r="AE25" s="138">
        <f t="shared" si="1"/>
        <v>1.6360983743226365E-2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42642</v>
      </c>
      <c r="X26" s="10">
        <v>96.24</v>
      </c>
      <c r="Y26" s="10">
        <v>96.79</v>
      </c>
      <c r="Z26" s="10">
        <v>95.5</v>
      </c>
      <c r="AA26" s="10">
        <v>95.96</v>
      </c>
      <c r="AB26" s="95">
        <v>2671900</v>
      </c>
      <c r="AC26" s="10">
        <v>95.96</v>
      </c>
      <c r="AD26" s="2">
        <f t="shared" si="0"/>
        <v>1.2900000000000063</v>
      </c>
      <c r="AE26" s="138">
        <f t="shared" si="1"/>
        <v>-2.0798668885191329E-3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42641</v>
      </c>
      <c r="X27" s="10">
        <v>94.98</v>
      </c>
      <c r="Y27" s="10">
        <v>96.23</v>
      </c>
      <c r="Z27" s="10">
        <v>94.94</v>
      </c>
      <c r="AA27" s="10">
        <v>96.16</v>
      </c>
      <c r="AB27" s="95">
        <v>2533500</v>
      </c>
      <c r="AC27" s="10">
        <v>96.16</v>
      </c>
      <c r="AD27" s="2">
        <f t="shared" si="0"/>
        <v>1.2900000000000063</v>
      </c>
      <c r="AE27" s="138">
        <f t="shared" si="1"/>
        <v>1.3811280969952655E-2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42640</v>
      </c>
      <c r="X28" s="10">
        <v>94.13</v>
      </c>
      <c r="Y28" s="10">
        <v>95.36</v>
      </c>
      <c r="Z28" s="10">
        <v>93.79</v>
      </c>
      <c r="AA28" s="10">
        <v>94.85</v>
      </c>
      <c r="AB28" s="95">
        <v>3167400</v>
      </c>
      <c r="AC28" s="10">
        <v>94.85</v>
      </c>
      <c r="AD28" s="2">
        <f t="shared" si="0"/>
        <v>1.5699999999999932</v>
      </c>
      <c r="AE28" s="138">
        <f t="shared" si="1"/>
        <v>7.1140369505200418E-3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42639</v>
      </c>
      <c r="X29" s="10">
        <v>94.11</v>
      </c>
      <c r="Y29" s="10">
        <v>94.46</v>
      </c>
      <c r="Z29" s="10">
        <v>93.53</v>
      </c>
      <c r="AA29" s="10">
        <v>94.18</v>
      </c>
      <c r="AB29" s="95">
        <v>3625100</v>
      </c>
      <c r="AC29" s="10">
        <v>94.18</v>
      </c>
      <c r="AD29" s="2">
        <f t="shared" si="0"/>
        <v>0.92999999999999261</v>
      </c>
      <c r="AE29" s="138">
        <f t="shared" si="1"/>
        <v>-1.5901621965439539E-3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42636</v>
      </c>
      <c r="X30" s="10">
        <v>94.78</v>
      </c>
      <c r="Y30" s="10">
        <v>94.93</v>
      </c>
      <c r="Z30" s="10">
        <v>94.22</v>
      </c>
      <c r="AA30" s="10">
        <v>94.33</v>
      </c>
      <c r="AB30" s="95">
        <v>2912900</v>
      </c>
      <c r="AC30" s="10">
        <v>94.33</v>
      </c>
      <c r="AD30" s="2">
        <f t="shared" si="0"/>
        <v>0.71000000000000796</v>
      </c>
      <c r="AE30" s="138">
        <f t="shared" si="1"/>
        <v>-7.8880942364324413E-3</v>
      </c>
    </row>
    <row r="31" spans="1:31" x14ac:dyDescent="0.25">
      <c r="W31" s="133">
        <v>42635</v>
      </c>
      <c r="X31" s="10">
        <v>95.78</v>
      </c>
      <c r="Y31" s="10">
        <v>96.17</v>
      </c>
      <c r="Z31" s="10">
        <v>95.03</v>
      </c>
      <c r="AA31" s="10">
        <v>95.08</v>
      </c>
      <c r="AB31" s="95">
        <v>2960900</v>
      </c>
      <c r="AC31" s="10">
        <v>95.08</v>
      </c>
      <c r="AD31" s="2">
        <f t="shared" si="0"/>
        <v>1.1400000000000006</v>
      </c>
      <c r="AE31" s="138">
        <f t="shared" si="1"/>
        <v>5.2614963695662986E-4</v>
      </c>
    </row>
    <row r="32" spans="1:31" x14ac:dyDescent="0.25">
      <c r="W32" s="133">
        <v>42634</v>
      </c>
      <c r="X32" s="10">
        <v>93.61</v>
      </c>
      <c r="Y32" s="10">
        <v>95.22</v>
      </c>
      <c r="Z32" s="10">
        <v>93.61</v>
      </c>
      <c r="AA32" s="10">
        <v>95.03</v>
      </c>
      <c r="AB32" s="95">
        <v>2524000</v>
      </c>
      <c r="AC32" s="10">
        <v>95.03</v>
      </c>
      <c r="AD32" s="2">
        <f t="shared" si="0"/>
        <v>1.6099999999999994</v>
      </c>
      <c r="AE32" s="138">
        <f t="shared" si="1"/>
        <v>2.029203349796016E-2</v>
      </c>
    </row>
    <row r="33" spans="1:31" x14ac:dyDescent="0.25">
      <c r="W33" s="133">
        <v>42633</v>
      </c>
      <c r="X33" s="10">
        <v>93.53</v>
      </c>
      <c r="Y33" s="10">
        <v>93.68</v>
      </c>
      <c r="Z33" s="10">
        <v>92.91</v>
      </c>
      <c r="AA33" s="10">
        <v>93.14</v>
      </c>
      <c r="AB33" s="95">
        <v>2477400</v>
      </c>
      <c r="AC33" s="10">
        <v>93.14</v>
      </c>
      <c r="AD33" s="2">
        <f t="shared" si="0"/>
        <v>0.77000000000001023</v>
      </c>
      <c r="AE33" s="138">
        <f t="shared" si="1"/>
        <v>5.3711462025995971E-4</v>
      </c>
    </row>
    <row r="34" spans="1:31" x14ac:dyDescent="0.25">
      <c r="L34" t="s">
        <v>218</v>
      </c>
      <c r="M34" s="2">
        <f>M49+K49-F49</f>
        <v>128.08999999999833</v>
      </c>
      <c r="W34" s="133">
        <v>42632</v>
      </c>
      <c r="X34" s="10">
        <v>92.97</v>
      </c>
      <c r="Y34" s="10">
        <v>93.68</v>
      </c>
      <c r="Z34" s="10">
        <v>92.73</v>
      </c>
      <c r="AA34" s="10">
        <v>93.09</v>
      </c>
      <c r="AB34" s="95">
        <v>3195700</v>
      </c>
      <c r="AC34" s="10">
        <v>93.09</v>
      </c>
      <c r="AD34" s="2">
        <f t="shared" si="0"/>
        <v>0.95000000000000284</v>
      </c>
      <c r="AE34" s="138">
        <f t="shared" si="1"/>
        <v>7.6856462437757678E-3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42629</v>
      </c>
      <c r="X35" s="10">
        <v>92.5</v>
      </c>
      <c r="Y35" s="10">
        <v>93.14</v>
      </c>
      <c r="Z35" s="10">
        <v>91.76</v>
      </c>
      <c r="AA35" s="10">
        <v>92.38</v>
      </c>
      <c r="AB35" s="95">
        <v>5185700</v>
      </c>
      <c r="AC35" s="10">
        <v>92.38</v>
      </c>
      <c r="AD35" s="2">
        <f t="shared" si="0"/>
        <v>1.3799999999999955</v>
      </c>
      <c r="AE35" s="138">
        <f t="shared" si="1"/>
        <v>-6.0253927264902751E-3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42628</v>
      </c>
      <c r="X36" s="10">
        <v>92.28</v>
      </c>
      <c r="Y36" s="10">
        <v>93.24</v>
      </c>
      <c r="Z36" s="10">
        <v>91.32</v>
      </c>
      <c r="AA36" s="10">
        <v>92.94</v>
      </c>
      <c r="AB36" s="95">
        <v>3383300</v>
      </c>
      <c r="AC36" s="10">
        <v>92.94</v>
      </c>
      <c r="AD36" s="2">
        <f t="shared" si="0"/>
        <v>1.9200000000000017</v>
      </c>
      <c r="AE36" s="138">
        <f t="shared" si="1"/>
        <v>2.3727351164797295E-3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42627</v>
      </c>
      <c r="X37" s="10">
        <v>92.38</v>
      </c>
      <c r="Y37" s="10">
        <v>93.33</v>
      </c>
      <c r="Z37" s="10">
        <v>92.2</v>
      </c>
      <c r="AA37" s="10">
        <v>92.72</v>
      </c>
      <c r="AB37" s="95">
        <v>2883900</v>
      </c>
      <c r="AC37" s="10">
        <v>92.72</v>
      </c>
      <c r="AD37" s="2">
        <f t="shared" si="0"/>
        <v>1.1299999999999955</v>
      </c>
      <c r="AE37" s="138">
        <f t="shared" si="1"/>
        <v>3.0289917784509512E-3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42626</v>
      </c>
      <c r="X38" s="10">
        <v>93.05</v>
      </c>
      <c r="Y38" s="10">
        <v>93.63</v>
      </c>
      <c r="Z38" s="10">
        <v>91.98</v>
      </c>
      <c r="AA38" s="10">
        <v>92.44</v>
      </c>
      <c r="AB38" s="95">
        <v>3717200</v>
      </c>
      <c r="AC38" s="10">
        <v>92.44</v>
      </c>
      <c r="AD38" s="2">
        <f t="shared" si="0"/>
        <v>1.6499999999999915</v>
      </c>
      <c r="AE38" s="138">
        <f t="shared" si="1"/>
        <v>-1.4603986781793088E-2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42625</v>
      </c>
      <c r="X39" s="10">
        <v>91.91</v>
      </c>
      <c r="Y39" s="10">
        <v>94.7</v>
      </c>
      <c r="Z39" s="10">
        <v>91.47</v>
      </c>
      <c r="AA39" s="10">
        <v>93.81</v>
      </c>
      <c r="AB39" s="95">
        <v>4670700</v>
      </c>
      <c r="AC39" s="10">
        <v>93.81</v>
      </c>
      <c r="AD39" s="2">
        <f t="shared" si="0"/>
        <v>3.230000000000004</v>
      </c>
      <c r="AE39" s="138">
        <f t="shared" si="1"/>
        <v>1.1755823986195013E-2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42622</v>
      </c>
      <c r="X40" s="10">
        <v>95.44</v>
      </c>
      <c r="Y40" s="10">
        <v>96.06</v>
      </c>
      <c r="Z40" s="10">
        <v>92.72</v>
      </c>
      <c r="AA40" s="10">
        <v>92.72</v>
      </c>
      <c r="AB40" s="95">
        <v>4321100</v>
      </c>
      <c r="AC40" s="10">
        <v>92.72</v>
      </c>
      <c r="AD40" s="2">
        <f t="shared" si="0"/>
        <v>3.3400000000000034</v>
      </c>
      <c r="AE40" s="138">
        <f t="shared" si="1"/>
        <v>-4.0463624133291853E-2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42621</v>
      </c>
      <c r="X41" s="10">
        <v>96.3</v>
      </c>
      <c r="Y41" s="10">
        <v>96.85</v>
      </c>
      <c r="Z41" s="10">
        <v>95.75</v>
      </c>
      <c r="AA41" s="10">
        <v>96.63</v>
      </c>
      <c r="AB41" s="95">
        <v>2096300</v>
      </c>
      <c r="AC41" s="10">
        <v>96.63</v>
      </c>
      <c r="AD41" s="2">
        <f t="shared" si="0"/>
        <v>1.0999999999999943</v>
      </c>
      <c r="AE41" s="138">
        <f t="shared" si="1"/>
        <v>3.6352305774822735E-3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42620</v>
      </c>
      <c r="X42" s="10">
        <v>95.69</v>
      </c>
      <c r="Y42" s="10">
        <v>97.05</v>
      </c>
      <c r="Z42" s="10">
        <v>95.69</v>
      </c>
      <c r="AA42" s="10">
        <v>96.28</v>
      </c>
      <c r="AB42" s="95">
        <v>2437500</v>
      </c>
      <c r="AC42" s="10">
        <v>96.28</v>
      </c>
      <c r="AD42" s="2">
        <f t="shared" si="0"/>
        <v>1.3599999999999994</v>
      </c>
      <c r="AE42" s="138">
        <f t="shared" si="1"/>
        <v>3.2301760966968462E-3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91.01</v>
      </c>
      <c r="W43" s="133">
        <v>42619</v>
      </c>
      <c r="X43" s="10">
        <v>95.63</v>
      </c>
      <c r="Y43" s="10">
        <v>96.09</v>
      </c>
      <c r="Z43" s="10">
        <v>95.24</v>
      </c>
      <c r="AA43" s="10">
        <v>95.97</v>
      </c>
      <c r="AB43" s="95">
        <v>2269100</v>
      </c>
      <c r="AC43" s="10">
        <v>95.97</v>
      </c>
      <c r="AD43" s="2">
        <f t="shared" si="0"/>
        <v>0.85000000000000853</v>
      </c>
      <c r="AE43" s="138">
        <f t="shared" si="1"/>
        <v>7.2418136020151458E-3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91.42</v>
      </c>
      <c r="W44" s="133">
        <v>42615</v>
      </c>
      <c r="X44" s="10">
        <v>95.61</v>
      </c>
      <c r="Y44" s="10">
        <v>95.95</v>
      </c>
      <c r="Z44" s="10">
        <v>94.87</v>
      </c>
      <c r="AA44" s="10">
        <v>95.28</v>
      </c>
      <c r="AB44" s="95">
        <v>2095900</v>
      </c>
      <c r="AC44" s="10">
        <v>95.28</v>
      </c>
      <c r="AD44" s="2">
        <f t="shared" si="0"/>
        <v>1.0799999999999983</v>
      </c>
      <c r="AE44" s="138">
        <f t="shared" si="1"/>
        <v>-1.0494280617068252E-4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490</v>
      </c>
      <c r="W45" s="133">
        <v>42614</v>
      </c>
      <c r="X45" s="10">
        <v>95.64</v>
      </c>
      <c r="Y45" s="10">
        <v>95.98</v>
      </c>
      <c r="Z45" s="10">
        <v>94.68</v>
      </c>
      <c r="AA45" s="10">
        <v>95.29</v>
      </c>
      <c r="AB45" s="95">
        <v>2068100</v>
      </c>
      <c r="AC45" s="10">
        <v>95.29</v>
      </c>
      <c r="AD45" s="2">
        <f t="shared" si="0"/>
        <v>1.2999999999999972</v>
      </c>
      <c r="AE45" s="138">
        <f t="shared" si="1"/>
        <v>-2.5122998011095632E-3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588" t="s">
        <v>78</v>
      </c>
      <c r="P46" s="588"/>
      <c r="Q46" s="34"/>
      <c r="R46"/>
      <c r="T46" s="87" t="s">
        <v>101</v>
      </c>
      <c r="U46" s="130" t="s">
        <v>491</v>
      </c>
      <c r="W46" s="133">
        <v>42613</v>
      </c>
      <c r="X46" s="10">
        <v>95.33</v>
      </c>
      <c r="Y46" s="10">
        <v>95.88</v>
      </c>
      <c r="Z46" s="10">
        <v>94.65</v>
      </c>
      <c r="AA46" s="10">
        <v>95.53</v>
      </c>
      <c r="AB46" s="95">
        <v>2864100</v>
      </c>
      <c r="AC46" s="10">
        <v>95.53</v>
      </c>
      <c r="AD46" s="2">
        <f t="shared" si="0"/>
        <v>1.2299999999999898</v>
      </c>
      <c r="AE46" s="138">
        <f t="shared" si="1"/>
        <v>-3.3385498174229866E-3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97.559000000000012</v>
      </c>
      <c r="Q47" s="34"/>
      <c r="R47"/>
      <c r="T47" s="87" t="s">
        <v>102</v>
      </c>
      <c r="U47" s="130">
        <v>97.92</v>
      </c>
      <c r="W47" s="133">
        <v>42612</v>
      </c>
      <c r="X47" s="10">
        <v>96</v>
      </c>
      <c r="Y47" s="10">
        <v>96.28</v>
      </c>
      <c r="Z47" s="10">
        <v>95.48</v>
      </c>
      <c r="AA47" s="10">
        <v>95.85</v>
      </c>
      <c r="AB47" s="95">
        <v>2426700</v>
      </c>
      <c r="AC47" s="10">
        <v>95.85</v>
      </c>
      <c r="AD47" s="2">
        <f t="shared" si="0"/>
        <v>0.79999999999999716</v>
      </c>
      <c r="AE47" s="138">
        <f t="shared" si="1"/>
        <v>-2.1861336664585895E-3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96.6721</v>
      </c>
      <c r="Q48" s="34"/>
      <c r="R48"/>
      <c r="T48" s="87" t="s">
        <v>103</v>
      </c>
      <c r="U48" s="130">
        <v>1.2984899999999999</v>
      </c>
      <c r="W48" s="133">
        <v>42611</v>
      </c>
      <c r="X48" s="10">
        <v>94.86</v>
      </c>
      <c r="Y48" s="10">
        <v>96.18</v>
      </c>
      <c r="Z48" s="10">
        <v>94.41</v>
      </c>
      <c r="AA48" s="10">
        <v>96.06</v>
      </c>
      <c r="AB48" s="95">
        <v>2746200</v>
      </c>
      <c r="AC48" s="10">
        <v>96.06</v>
      </c>
      <c r="AD48" s="2">
        <f t="shared" si="0"/>
        <v>1.7700000000000102</v>
      </c>
      <c r="AE48" s="138" t="e">
        <f t="shared" si="1"/>
        <v>#DIV/0!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95.785200000000003</v>
      </c>
      <c r="Q49" s="34"/>
      <c r="R49"/>
      <c r="T49" s="87" t="s">
        <v>122</v>
      </c>
      <c r="U49" s="94" t="s">
        <v>399</v>
      </c>
      <c r="W49" s="133">
        <v>42611</v>
      </c>
      <c r="X49" s="10" t="s">
        <v>130</v>
      </c>
      <c r="Y49" s="10"/>
      <c r="Z49" s="10"/>
      <c r="AA49" s="10"/>
      <c r="AB49" s="95"/>
      <c r="AC49" s="10"/>
      <c r="AD49" s="2">
        <f t="shared" si="0"/>
        <v>0</v>
      </c>
      <c r="AE49" s="138">
        <f t="shared" si="1"/>
        <v>-1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94.898300000000006</v>
      </c>
      <c r="Q50" s="83"/>
      <c r="R50"/>
      <c r="T50" s="87"/>
      <c r="U50" s="130"/>
      <c r="W50" s="133">
        <v>42608</v>
      </c>
      <c r="X50" s="10">
        <v>95.35</v>
      </c>
      <c r="Y50" s="10">
        <v>95.98</v>
      </c>
      <c r="Z50" s="10">
        <v>94.74</v>
      </c>
      <c r="AA50" s="10">
        <v>95.12</v>
      </c>
      <c r="AB50" s="95">
        <v>2531800</v>
      </c>
      <c r="AC50" s="10">
        <v>94.57</v>
      </c>
      <c r="AD50" s="2">
        <f t="shared" si="0"/>
        <v>1.2400000000000091</v>
      </c>
      <c r="AE50" s="138">
        <f t="shared" si="1"/>
        <v>4.2314609118787594E-4</v>
      </c>
    </row>
    <row r="51" spans="1:31" x14ac:dyDescent="0.25">
      <c r="O51" s="83">
        <v>1.06</v>
      </c>
      <c r="P51" s="83">
        <f t="shared" si="3"/>
        <v>94.011400000000009</v>
      </c>
      <c r="Q51" s="83"/>
      <c r="R51"/>
      <c r="T51" s="87" t="s">
        <v>105</v>
      </c>
      <c r="U51" s="130" t="s">
        <v>492</v>
      </c>
      <c r="W51" s="133">
        <v>42607</v>
      </c>
      <c r="X51" s="10">
        <v>95.32</v>
      </c>
      <c r="Y51" s="10">
        <v>95.82</v>
      </c>
      <c r="Z51" s="10">
        <v>94.96</v>
      </c>
      <c r="AA51" s="10">
        <v>95.08</v>
      </c>
      <c r="AB51" s="95">
        <v>1853000</v>
      </c>
      <c r="AC51" s="10">
        <v>94.53</v>
      </c>
      <c r="AD51" s="2">
        <f t="shared" si="0"/>
        <v>0.85999999999999943</v>
      </c>
      <c r="AE51" s="138">
        <f t="shared" si="1"/>
        <v>-4.2136310965975587E-3</v>
      </c>
    </row>
    <row r="52" spans="1:31" x14ac:dyDescent="0.25">
      <c r="O52" s="83">
        <v>1.05</v>
      </c>
      <c r="P52" s="83">
        <f t="shared" si="3"/>
        <v>93.124499999999998</v>
      </c>
      <c r="Q52" s="83"/>
      <c r="R52"/>
      <c r="T52" s="87" t="s">
        <v>106</v>
      </c>
      <c r="U52" s="130" t="s">
        <v>221</v>
      </c>
      <c r="W52" s="133">
        <v>42606</v>
      </c>
      <c r="X52" s="10">
        <v>96.01</v>
      </c>
      <c r="Y52" s="10">
        <v>96.06</v>
      </c>
      <c r="Z52" s="10">
        <v>95.27</v>
      </c>
      <c r="AA52" s="10">
        <v>95.48</v>
      </c>
      <c r="AB52" s="95">
        <v>2504200</v>
      </c>
      <c r="AC52" s="10">
        <v>94.93</v>
      </c>
      <c r="AD52" s="2">
        <f t="shared" si="0"/>
        <v>0.79000000000000625</v>
      </c>
      <c r="AE52" s="138">
        <f t="shared" si="1"/>
        <v>-5.447878470403289E-3</v>
      </c>
    </row>
    <row r="53" spans="1:31" x14ac:dyDescent="0.25">
      <c r="O53" s="83">
        <v>1.04</v>
      </c>
      <c r="P53" s="83">
        <f t="shared" si="3"/>
        <v>92.2376</v>
      </c>
      <c r="Q53" s="83"/>
      <c r="R53"/>
      <c r="T53" s="87" t="s">
        <v>107</v>
      </c>
      <c r="U53" s="131">
        <v>1688346</v>
      </c>
      <c r="W53" s="133">
        <v>42605</v>
      </c>
      <c r="X53" s="10">
        <v>95.91</v>
      </c>
      <c r="Y53" s="10">
        <v>96.23</v>
      </c>
      <c r="Z53" s="10">
        <v>95.58</v>
      </c>
      <c r="AA53" s="10">
        <v>96.01</v>
      </c>
      <c r="AB53" s="95">
        <v>2300600</v>
      </c>
      <c r="AC53" s="10">
        <v>95.45</v>
      </c>
      <c r="AD53" s="2">
        <f t="shared" si="0"/>
        <v>0.65000000000000568</v>
      </c>
      <c r="AE53" s="138">
        <f t="shared" si="1"/>
        <v>7.0690018991348413E-3</v>
      </c>
    </row>
    <row r="54" spans="1:31" x14ac:dyDescent="0.25">
      <c r="O54" s="83">
        <v>1.03</v>
      </c>
      <c r="P54" s="83">
        <f t="shared" si="3"/>
        <v>91.350700000000003</v>
      </c>
      <c r="Q54" s="83"/>
      <c r="R54"/>
      <c r="T54" s="87" t="s">
        <v>110</v>
      </c>
      <c r="U54" s="131">
        <v>1458160</v>
      </c>
      <c r="W54" s="133">
        <v>42604</v>
      </c>
      <c r="X54" s="10">
        <v>95.3</v>
      </c>
      <c r="Y54" s="10">
        <v>95.8</v>
      </c>
      <c r="Z54" s="10">
        <v>95.06</v>
      </c>
      <c r="AA54" s="10">
        <v>95.33</v>
      </c>
      <c r="AB54" s="95">
        <v>1947900</v>
      </c>
      <c r="AC54" s="10">
        <v>94.78</v>
      </c>
      <c r="AD54" s="2">
        <f t="shared" si="0"/>
        <v>0.73999999999999488</v>
      </c>
      <c r="AE54" s="138">
        <f t="shared" si="1"/>
        <v>-3.67917586460631E-3</v>
      </c>
    </row>
    <row r="55" spans="1:31" x14ac:dyDescent="0.25">
      <c r="O55" s="83">
        <v>1.02</v>
      </c>
      <c r="P55" s="83">
        <f t="shared" si="3"/>
        <v>90.463800000000006</v>
      </c>
      <c r="Q55" s="83"/>
      <c r="R55"/>
      <c r="T55" s="87" t="s">
        <v>108</v>
      </c>
      <c r="U55" s="130" t="s">
        <v>493</v>
      </c>
      <c r="W55" s="133">
        <v>42601</v>
      </c>
      <c r="X55" s="10">
        <v>95.69</v>
      </c>
      <c r="Y55" s="10">
        <v>95.85</v>
      </c>
      <c r="Z55" s="10">
        <v>95.27</v>
      </c>
      <c r="AA55" s="10">
        <v>95.68</v>
      </c>
      <c r="AB55" s="95">
        <v>3027100</v>
      </c>
      <c r="AC55" s="10">
        <v>95.13</v>
      </c>
      <c r="AD55" s="2">
        <f t="shared" si="0"/>
        <v>0.57999999999999829</v>
      </c>
      <c r="AE55" s="138">
        <f t="shared" si="1"/>
        <v>-1.5743073047859157E-3</v>
      </c>
    </row>
    <row r="56" spans="1:31" x14ac:dyDescent="0.25">
      <c r="O56" s="83">
        <v>1.01</v>
      </c>
      <c r="P56" s="83">
        <f t="shared" si="3"/>
        <v>89.576899999999995</v>
      </c>
      <c r="Q56" s="83"/>
      <c r="R56"/>
      <c r="T56" s="87" t="s">
        <v>111</v>
      </c>
      <c r="U56" s="130">
        <v>17.04</v>
      </c>
      <c r="W56" s="133">
        <v>42600</v>
      </c>
      <c r="X56" s="10">
        <v>94.17</v>
      </c>
      <c r="Y56" s="10">
        <v>96.05</v>
      </c>
      <c r="Z56" s="10">
        <v>93.63</v>
      </c>
      <c r="AA56" s="10">
        <v>95.83</v>
      </c>
      <c r="AB56" s="95">
        <v>5063400</v>
      </c>
      <c r="AC56" s="10">
        <v>95.28</v>
      </c>
      <c r="AD56" s="2">
        <f t="shared" si="0"/>
        <v>2.4200000000000017</v>
      </c>
      <c r="AE56" s="138">
        <f t="shared" si="1"/>
        <v>1.3401403956605051E-2</v>
      </c>
    </row>
    <row r="57" spans="1:31" x14ac:dyDescent="0.25">
      <c r="O57" s="83">
        <v>1</v>
      </c>
      <c r="P57" s="83">
        <f t="shared" si="3"/>
        <v>88.69</v>
      </c>
      <c r="Q57" s="83"/>
      <c r="R57"/>
      <c r="T57" s="87" t="s">
        <v>112</v>
      </c>
      <c r="U57" s="130">
        <v>5.4</v>
      </c>
      <c r="W57" s="133">
        <v>42599</v>
      </c>
      <c r="X57" s="10">
        <v>92.77</v>
      </c>
      <c r="Y57" s="10">
        <v>94.64</v>
      </c>
      <c r="Z57" s="10">
        <v>92.65</v>
      </c>
      <c r="AA57" s="10">
        <v>94.57</v>
      </c>
      <c r="AB57" s="95">
        <v>4718400</v>
      </c>
      <c r="AC57" s="10">
        <v>94.02</v>
      </c>
      <c r="AD57" s="2">
        <f t="shared" si="0"/>
        <v>1.9899999999999949</v>
      </c>
      <c r="AE57" s="138">
        <f t="shared" si="1"/>
        <v>1.8083378451543064E-2</v>
      </c>
    </row>
    <row r="58" spans="1:31" x14ac:dyDescent="0.25">
      <c r="O58" s="83">
        <v>0.99</v>
      </c>
      <c r="P58" s="83">
        <f t="shared" si="3"/>
        <v>87.803100000000001</v>
      </c>
      <c r="Q58" s="83"/>
      <c r="R58"/>
      <c r="T58" s="87" t="s">
        <v>109</v>
      </c>
      <c r="U58" s="130" t="s">
        <v>427</v>
      </c>
      <c r="W58" s="133">
        <v>42598</v>
      </c>
      <c r="X58" s="10">
        <v>92.21</v>
      </c>
      <c r="Y58" s="10">
        <v>93</v>
      </c>
      <c r="Z58" s="10">
        <v>91.88</v>
      </c>
      <c r="AA58" s="10">
        <v>92.89</v>
      </c>
      <c r="AB58" s="95">
        <v>3787500</v>
      </c>
      <c r="AC58" s="10">
        <v>92.35</v>
      </c>
      <c r="AD58" s="2">
        <f t="shared" si="0"/>
        <v>1.1200000000000045</v>
      </c>
      <c r="AE58" s="138">
        <f t="shared" si="1"/>
        <v>4.1317821028594715E-3</v>
      </c>
    </row>
    <row r="59" spans="1:31" x14ac:dyDescent="0.25">
      <c r="O59" s="83">
        <v>0.98</v>
      </c>
      <c r="P59" s="83">
        <f t="shared" si="3"/>
        <v>86.916199999999989</v>
      </c>
      <c r="Q59" s="83"/>
      <c r="R59"/>
      <c r="W59" s="133">
        <v>42597</v>
      </c>
      <c r="X59" s="10">
        <v>92.46</v>
      </c>
      <c r="Y59" s="10">
        <v>93.27</v>
      </c>
      <c r="Z59" s="10">
        <v>92.28</v>
      </c>
      <c r="AA59" s="10">
        <v>92.5</v>
      </c>
      <c r="AB59" s="95">
        <v>2733900</v>
      </c>
      <c r="AC59" s="10">
        <v>91.97</v>
      </c>
      <c r="AD59" s="2">
        <f t="shared" si="0"/>
        <v>0.98999999999999488</v>
      </c>
      <c r="AE59" s="138">
        <f t="shared" si="1"/>
        <v>6.5667067965413661E-3</v>
      </c>
    </row>
    <row r="60" spans="1:31" x14ac:dyDescent="0.25">
      <c r="O60" s="83">
        <v>0.97</v>
      </c>
      <c r="P60" s="83">
        <f t="shared" si="3"/>
        <v>86.029299999999992</v>
      </c>
      <c r="Q60" s="83"/>
      <c r="R60"/>
      <c r="W60" s="133">
        <v>42594</v>
      </c>
      <c r="X60" s="10">
        <v>92.67</v>
      </c>
      <c r="Y60" s="10">
        <v>92.67</v>
      </c>
      <c r="Z60" s="10">
        <v>91.74</v>
      </c>
      <c r="AA60" s="10">
        <v>91.9</v>
      </c>
      <c r="AB60" s="95">
        <v>2898400</v>
      </c>
      <c r="AC60" s="10">
        <v>91.37</v>
      </c>
      <c r="AD60" s="2">
        <f t="shared" si="0"/>
        <v>0.93000000000000682</v>
      </c>
      <c r="AE60" s="138">
        <f t="shared" si="1"/>
        <v>-1.1361177234364805E-2</v>
      </c>
    </row>
    <row r="61" spans="1:31" x14ac:dyDescent="0.25">
      <c r="O61" s="83">
        <v>0.96</v>
      </c>
      <c r="P61" s="83">
        <f t="shared" si="3"/>
        <v>85.142399999999995</v>
      </c>
      <c r="Q61" s="83"/>
      <c r="R61"/>
      <c r="W61" s="133">
        <v>42593</v>
      </c>
      <c r="X61" s="10">
        <v>92.72</v>
      </c>
      <c r="Y61" s="10">
        <v>93.45</v>
      </c>
      <c r="Z61" s="10">
        <v>92.61</v>
      </c>
      <c r="AA61" s="10">
        <v>92.96</v>
      </c>
      <c r="AB61" s="95">
        <v>2525100</v>
      </c>
      <c r="AC61" s="10">
        <v>92.42</v>
      </c>
      <c r="AD61" s="2">
        <f t="shared" si="0"/>
        <v>0.84000000000000341</v>
      </c>
      <c r="AE61" s="138">
        <f t="shared" si="1"/>
        <v>5.548906539005527E-3</v>
      </c>
    </row>
    <row r="62" spans="1:31" x14ac:dyDescent="0.25">
      <c r="O62" s="83">
        <v>0.95</v>
      </c>
      <c r="P62" s="83">
        <f t="shared" si="3"/>
        <v>84.255499999999998</v>
      </c>
      <c r="Q62" s="83"/>
      <c r="R62"/>
      <c r="W62" s="133">
        <v>42592</v>
      </c>
      <c r="X62" s="10">
        <v>93.41</v>
      </c>
      <c r="Y62" s="10">
        <v>93.45</v>
      </c>
      <c r="Z62" s="10">
        <v>92.22</v>
      </c>
      <c r="AA62" s="10">
        <v>92.44</v>
      </c>
      <c r="AB62" s="95">
        <v>2568200</v>
      </c>
      <c r="AC62" s="10">
        <v>91.91</v>
      </c>
      <c r="AD62" s="2">
        <f t="shared" si="0"/>
        <v>1.230000000000004</v>
      </c>
      <c r="AE62" s="138">
        <f t="shared" si="1"/>
        <v>-6.7005295579812829E-3</v>
      </c>
    </row>
    <row r="63" spans="1:31" x14ac:dyDescent="0.25">
      <c r="O63" s="83">
        <v>0.94</v>
      </c>
      <c r="P63" s="83">
        <f t="shared" si="3"/>
        <v>83.368599999999986</v>
      </c>
      <c r="Q63" s="83"/>
      <c r="R63"/>
      <c r="T63" s="86"/>
      <c r="W63" s="133">
        <v>42591</v>
      </c>
      <c r="X63" s="10">
        <v>93.75</v>
      </c>
      <c r="Y63" s="10">
        <v>94.18</v>
      </c>
      <c r="Z63" s="10">
        <v>93</v>
      </c>
      <c r="AA63" s="10">
        <v>93.07</v>
      </c>
      <c r="AB63" s="95">
        <v>2416200</v>
      </c>
      <c r="AC63" s="10">
        <v>92.53</v>
      </c>
      <c r="AD63" s="2">
        <f t="shared" si="0"/>
        <v>1.1800000000000068</v>
      </c>
      <c r="AE63" s="138">
        <f t="shared" si="1"/>
        <v>-8.4654950707242493E-3</v>
      </c>
    </row>
    <row r="64" spans="1:31" x14ac:dyDescent="0.25">
      <c r="O64" s="83">
        <v>0.93</v>
      </c>
      <c r="P64" s="83">
        <f t="shared" si="3"/>
        <v>82.481700000000004</v>
      </c>
      <c r="Q64" s="83"/>
      <c r="R64"/>
      <c r="S64" s="86"/>
      <c r="T64"/>
      <c r="W64" s="133">
        <v>42590</v>
      </c>
      <c r="X64" s="10">
        <v>93.88</v>
      </c>
      <c r="Y64" s="10">
        <v>94.95</v>
      </c>
      <c r="Z64" s="10">
        <v>93.67</v>
      </c>
      <c r="AA64" s="10">
        <v>93.86</v>
      </c>
      <c r="AB64" s="95">
        <v>2491900</v>
      </c>
      <c r="AC64" s="10">
        <v>93.32</v>
      </c>
      <c r="AD64" s="2">
        <f t="shared" si="0"/>
        <v>1.2800000000000011</v>
      </c>
      <c r="AE64" s="138">
        <f t="shared" si="1"/>
        <v>1.0716964955514996E-4</v>
      </c>
    </row>
    <row r="65" spans="15:31" x14ac:dyDescent="0.25">
      <c r="O65" s="83">
        <v>0.92</v>
      </c>
      <c r="P65" s="83">
        <f t="shared" si="3"/>
        <v>81.594800000000006</v>
      </c>
      <c r="Q65" s="83"/>
      <c r="R65"/>
      <c r="S65" s="86"/>
      <c r="T65"/>
      <c r="W65" s="133">
        <v>42587</v>
      </c>
      <c r="X65" s="10">
        <v>93.17</v>
      </c>
      <c r="Y65" s="10">
        <v>94.65</v>
      </c>
      <c r="Z65" s="10">
        <v>92.62</v>
      </c>
      <c r="AA65" s="10">
        <v>93.85</v>
      </c>
      <c r="AB65" s="95">
        <v>3146700</v>
      </c>
      <c r="AC65" s="10">
        <v>93.31</v>
      </c>
      <c r="AD65" s="2">
        <f t="shared" si="0"/>
        <v>2.0300000000000011</v>
      </c>
      <c r="AE65" s="138">
        <f t="shared" si="1"/>
        <v>1.2807988711603269E-2</v>
      </c>
    </row>
    <row r="66" spans="15:31" x14ac:dyDescent="0.25">
      <c r="O66" s="83">
        <v>0.91</v>
      </c>
      <c r="P66" s="83">
        <f t="shared" si="3"/>
        <v>80.707899999999995</v>
      </c>
      <c r="Q66" s="83"/>
      <c r="R66"/>
      <c r="S66" s="86"/>
      <c r="T66"/>
      <c r="W66" s="133">
        <v>42586</v>
      </c>
      <c r="X66" s="10">
        <v>92.37</v>
      </c>
      <c r="Y66" s="10">
        <v>93.09</v>
      </c>
      <c r="Z66" s="10">
        <v>91.94</v>
      </c>
      <c r="AA66" s="10">
        <v>92.67</v>
      </c>
      <c r="AB66" s="95">
        <v>2245900</v>
      </c>
      <c r="AC66" s="10">
        <v>92.13</v>
      </c>
      <c r="AD66" s="2">
        <f t="shared" si="0"/>
        <v>1.1500000000000057</v>
      </c>
      <c r="AE66" s="138">
        <f t="shared" si="1"/>
        <v>-2.1661431820643173E-3</v>
      </c>
    </row>
    <row r="67" spans="15:31" x14ac:dyDescent="0.25">
      <c r="O67" s="83">
        <v>0.9</v>
      </c>
      <c r="P67" s="83">
        <f t="shared" si="3"/>
        <v>79.820999999999998</v>
      </c>
      <c r="Q67" s="83"/>
      <c r="R67"/>
      <c r="S67" s="86"/>
      <c r="T67"/>
      <c r="W67" s="133">
        <v>42585</v>
      </c>
      <c r="X67" s="10">
        <v>91.54</v>
      </c>
      <c r="Y67" s="10">
        <v>93.19</v>
      </c>
      <c r="Z67" s="10">
        <v>91.4</v>
      </c>
      <c r="AA67" s="10">
        <v>92.87</v>
      </c>
      <c r="AB67" s="95">
        <v>3907400</v>
      </c>
      <c r="AC67" s="10">
        <v>92.33</v>
      </c>
      <c r="AD67" s="2">
        <f>Y67-Z67</f>
        <v>1.789999999999992</v>
      </c>
      <c r="AE67" s="138">
        <f>AC67/AC68-1</f>
        <v>1.7186295031398124E-2</v>
      </c>
    </row>
    <row r="68" spans="15:31" x14ac:dyDescent="0.25">
      <c r="W68" s="133">
        <v>42584</v>
      </c>
      <c r="X68" s="10">
        <v>92.39</v>
      </c>
      <c r="Y68" s="10">
        <v>92.59</v>
      </c>
      <c r="Z68" s="10">
        <v>90.68</v>
      </c>
      <c r="AA68" s="10">
        <v>91.3</v>
      </c>
      <c r="AB68" s="95">
        <v>3787000</v>
      </c>
      <c r="AC68" s="10">
        <v>90.77</v>
      </c>
      <c r="AD68" s="2">
        <f>Y68-Z68</f>
        <v>1.9099999999999966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451" priority="11">
      <formula>F24&gt;0</formula>
    </cfRule>
    <cfRule type="expression" dxfId="450" priority="12">
      <formula>F24&lt;0</formula>
    </cfRule>
  </conditionalFormatting>
  <conditionalFormatting sqref="H27:H30">
    <cfRule type="expression" dxfId="449" priority="9">
      <formula>H27&gt;0</formula>
    </cfRule>
    <cfRule type="expression" dxfId="448" priority="10">
      <formula>H27&lt;0</formula>
    </cfRule>
  </conditionalFormatting>
  <conditionalFormatting sqref="F25">
    <cfRule type="expression" dxfId="447" priority="7">
      <formula>F25&gt;0</formula>
    </cfRule>
    <cfRule type="expression" dxfId="446" priority="8">
      <formula>F25&lt;0</formula>
    </cfRule>
  </conditionalFormatting>
  <conditionalFormatting sqref="H24:H26">
    <cfRule type="expression" dxfId="445" priority="5">
      <formula>H24&gt;0</formula>
    </cfRule>
    <cfRule type="expression" dxfId="444" priority="6">
      <formula>H24&lt;0</formula>
    </cfRule>
  </conditionalFormatting>
  <conditionalFormatting sqref="Q7">
    <cfRule type="expression" dxfId="443" priority="3">
      <formula>Q7&gt;0</formula>
    </cfRule>
    <cfRule type="expression" dxfId="442" priority="4">
      <formula>Q7&lt;0</formula>
    </cfRule>
  </conditionalFormatting>
  <conditionalFormatting sqref="Q8">
    <cfRule type="expression" dxfId="441" priority="1">
      <formula>Q8&gt;0</formula>
    </cfRule>
    <cfRule type="expression" dxfId="440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.28515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328</v>
      </c>
      <c r="B2" s="525">
        <v>42670</v>
      </c>
      <c r="C2" s="4">
        <v>50</v>
      </c>
      <c r="D2" s="3">
        <v>36.58</v>
      </c>
      <c r="E2" s="3">
        <v>0</v>
      </c>
      <c r="F2" s="3">
        <f>C2*D2+E2</f>
        <v>1829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42676</v>
      </c>
      <c r="X2" s="368">
        <v>37.79</v>
      </c>
      <c r="Y2" s="40">
        <v>38.32</v>
      </c>
      <c r="Z2" s="40">
        <v>37.21</v>
      </c>
      <c r="AA2" s="368">
        <v>37.49</v>
      </c>
      <c r="AB2" s="95">
        <v>1170600</v>
      </c>
      <c r="AC2" s="243">
        <v>37.49</v>
      </c>
      <c r="AD2" s="2">
        <f>Y2-Z2</f>
        <v>1.1099999999999994</v>
      </c>
      <c r="AE2" s="138">
        <f>AC2/AC3-1</f>
        <v>-5.5702917771883742E-3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36.58</v>
      </c>
      <c r="T3" s="121"/>
      <c r="W3" s="94">
        <v>42675</v>
      </c>
      <c r="X3" s="368">
        <v>39.11</v>
      </c>
      <c r="Y3" s="40">
        <v>39.14</v>
      </c>
      <c r="Z3" s="40">
        <v>37.21</v>
      </c>
      <c r="AA3" s="368">
        <v>37.700000000000003</v>
      </c>
      <c r="AB3" s="95">
        <v>1760000</v>
      </c>
      <c r="AC3" s="243">
        <v>37.700000000000003</v>
      </c>
      <c r="AD3" s="2">
        <f>Y3-Z3</f>
        <v>1.9299999999999997</v>
      </c>
      <c r="AE3" s="138">
        <f>AC3/AC4-1</f>
        <v>-3.0100334448160404E-2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37.49</v>
      </c>
      <c r="R4" s="558">
        <v>-5.5999999999999999E-3</v>
      </c>
      <c r="T4" s="121"/>
      <c r="W4" s="94">
        <v>42674</v>
      </c>
      <c r="X4" s="368">
        <v>38.44</v>
      </c>
      <c r="Y4" s="40">
        <v>38.96</v>
      </c>
      <c r="Z4" s="40">
        <v>38.18</v>
      </c>
      <c r="AA4" s="368">
        <v>38.869999999999997</v>
      </c>
      <c r="AB4" s="95">
        <v>1593700</v>
      </c>
      <c r="AC4" s="243">
        <v>38.869999999999997</v>
      </c>
      <c r="AD4" s="2">
        <f t="shared" ref="AD4:AD67" si="0">Y4-Z4</f>
        <v>0.78000000000000114</v>
      </c>
      <c r="AE4" s="138">
        <f t="shared" ref="AE4:AE67" si="1">AC4/AC5-1</f>
        <v>1.6474895397489364E-2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1874.5</v>
      </c>
      <c r="W5" s="94">
        <v>42671</v>
      </c>
      <c r="X5" s="368">
        <v>36.78</v>
      </c>
      <c r="Y5" s="40">
        <v>38.35</v>
      </c>
      <c r="Z5" s="40">
        <v>36.51</v>
      </c>
      <c r="AA5" s="368">
        <v>38.24</v>
      </c>
      <c r="AB5" s="95">
        <v>2817100</v>
      </c>
      <c r="AC5" s="243">
        <v>38.24</v>
      </c>
      <c r="AD5" s="2">
        <f t="shared" si="0"/>
        <v>1.8400000000000034</v>
      </c>
      <c r="AE5" s="138">
        <f t="shared" si="1"/>
        <v>7.0848501820218512E-2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1829</v>
      </c>
      <c r="W6" s="94">
        <v>42670</v>
      </c>
      <c r="X6" s="368">
        <v>37.43</v>
      </c>
      <c r="Y6" s="40">
        <v>37.57</v>
      </c>
      <c r="Z6" s="40">
        <v>35.57</v>
      </c>
      <c r="AA6" s="368">
        <v>35.71</v>
      </c>
      <c r="AB6" s="95">
        <v>2749300</v>
      </c>
      <c r="AC6" s="243">
        <v>35.71</v>
      </c>
      <c r="AD6" s="2">
        <f t="shared" si="0"/>
        <v>2</v>
      </c>
      <c r="AE6" s="138">
        <f t="shared" si="1"/>
        <v>-5.9520674216486658E-2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184</v>
      </c>
      <c r="P7"/>
      <c r="Q7" s="2">
        <f>Q10+Q8</f>
        <v>238.46000000000004</v>
      </c>
      <c r="R7" s="30">
        <v>42702</v>
      </c>
      <c r="T7" s="85"/>
      <c r="W7" s="94">
        <v>42669</v>
      </c>
      <c r="X7" s="368">
        <v>37.65</v>
      </c>
      <c r="Y7" s="40">
        <v>38.29</v>
      </c>
      <c r="Z7" s="40">
        <v>37.520000000000003</v>
      </c>
      <c r="AA7" s="368">
        <v>37.97</v>
      </c>
      <c r="AB7" s="95">
        <v>1070500</v>
      </c>
      <c r="AC7" s="243">
        <v>37.97</v>
      </c>
      <c r="AD7" s="2">
        <f t="shared" si="0"/>
        <v>0.76999999999999602</v>
      </c>
      <c r="AE7" s="138">
        <f t="shared" si="1"/>
        <v>6.3609859528226398E-3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187</v>
      </c>
      <c r="Q8" s="2">
        <f>K18+M18-F18+Q2*Q4</f>
        <v>45.5</v>
      </c>
      <c r="W8" s="94">
        <v>42668</v>
      </c>
      <c r="X8" s="368">
        <v>37.840000000000003</v>
      </c>
      <c r="Y8" s="40">
        <v>38.090000000000003</v>
      </c>
      <c r="Z8" s="40">
        <v>37.450000000000003</v>
      </c>
      <c r="AA8" s="368">
        <v>37.729999999999997</v>
      </c>
      <c r="AB8" s="95">
        <v>1862200</v>
      </c>
      <c r="AC8" s="243">
        <v>37.729999999999997</v>
      </c>
      <c r="AD8" s="2">
        <f t="shared" si="0"/>
        <v>0.64000000000000057</v>
      </c>
      <c r="AE8" s="138">
        <f t="shared" si="1"/>
        <v>-8.6705202312140628E-3</v>
      </c>
    </row>
    <row r="9" spans="1:40" x14ac:dyDescent="0.25">
      <c r="O9" s="11" t="s">
        <v>219</v>
      </c>
      <c r="P9"/>
      <c r="Q9" s="138">
        <f>IF(Q2=0, 0, Q8/Q6)</f>
        <v>2.4876981957353744E-2</v>
      </c>
      <c r="W9" s="94">
        <v>42667</v>
      </c>
      <c r="X9" s="368">
        <v>38.36</v>
      </c>
      <c r="Y9" s="40">
        <v>39.19</v>
      </c>
      <c r="Z9" s="40">
        <v>37.99</v>
      </c>
      <c r="AA9" s="368">
        <v>38.06</v>
      </c>
      <c r="AB9" s="95">
        <v>2834700</v>
      </c>
      <c r="AC9" s="243">
        <v>38.06</v>
      </c>
      <c r="AD9" s="2">
        <f t="shared" si="0"/>
        <v>1.1999999999999957</v>
      </c>
      <c r="AE9" s="138">
        <f t="shared" si="1"/>
        <v>1.8425901553040802E-3</v>
      </c>
      <c r="AK9" s="234"/>
      <c r="AN9" s="234"/>
    </row>
    <row r="10" spans="1:40" ht="12.75" customHeight="1" x14ac:dyDescent="0.25">
      <c r="O10" s="11" t="s">
        <v>218</v>
      </c>
      <c r="Q10" s="2">
        <f>M37</f>
        <v>192.96000000000004</v>
      </c>
      <c r="W10" s="94">
        <v>42664</v>
      </c>
      <c r="X10" s="368">
        <v>38.42</v>
      </c>
      <c r="Y10" s="40">
        <v>38.54</v>
      </c>
      <c r="Z10" s="40">
        <v>37.799999999999997</v>
      </c>
      <c r="AA10" s="368">
        <v>37.99</v>
      </c>
      <c r="AB10" s="95">
        <v>3208100</v>
      </c>
      <c r="AC10" s="243">
        <v>37.99</v>
      </c>
      <c r="AD10" s="2">
        <f t="shared" si="0"/>
        <v>0.74000000000000199</v>
      </c>
      <c r="AE10" s="138">
        <f t="shared" si="1"/>
        <v>-1.9359834796076392E-2</v>
      </c>
    </row>
    <row r="11" spans="1:40" x14ac:dyDescent="0.25">
      <c r="O11" s="11" t="s">
        <v>181</v>
      </c>
      <c r="Q11" s="138">
        <v>0</v>
      </c>
      <c r="W11" s="94">
        <v>42663</v>
      </c>
      <c r="X11" s="368">
        <v>38.200000000000003</v>
      </c>
      <c r="Y11" s="40">
        <v>38.799999999999997</v>
      </c>
      <c r="Z11" s="40">
        <v>37.69</v>
      </c>
      <c r="AA11" s="368">
        <v>38.74</v>
      </c>
      <c r="AB11" s="95">
        <v>1134700</v>
      </c>
      <c r="AC11" s="243">
        <v>38.74</v>
      </c>
      <c r="AD11" s="2">
        <f t="shared" si="0"/>
        <v>1.1099999999999994</v>
      </c>
      <c r="AE11" s="138">
        <f t="shared" si="1"/>
        <v>1.6531094200997076E-2</v>
      </c>
      <c r="AK11" s="234"/>
      <c r="AN11" s="234"/>
    </row>
    <row r="12" spans="1:40" x14ac:dyDescent="0.25">
      <c r="W12" s="94">
        <v>42662</v>
      </c>
      <c r="X12" s="368">
        <v>37.659999999999997</v>
      </c>
      <c r="Y12" s="40">
        <v>38.22</v>
      </c>
      <c r="Z12" s="40">
        <v>37.4</v>
      </c>
      <c r="AA12" s="368">
        <v>38.11</v>
      </c>
      <c r="AB12" s="95">
        <v>1417800</v>
      </c>
      <c r="AC12" s="243">
        <v>38.11</v>
      </c>
      <c r="AD12" s="2">
        <f t="shared" si="0"/>
        <v>0.82000000000000028</v>
      </c>
      <c r="AE12" s="138">
        <f t="shared" si="1"/>
        <v>-3.6601307189542132E-3</v>
      </c>
    </row>
    <row r="13" spans="1:40" x14ac:dyDescent="0.25">
      <c r="W13" s="94">
        <v>42661</v>
      </c>
      <c r="X13" s="368">
        <v>37.96</v>
      </c>
      <c r="Y13" s="40">
        <v>38.67</v>
      </c>
      <c r="Z13" s="40">
        <v>37.9</v>
      </c>
      <c r="AA13" s="368">
        <v>38.25</v>
      </c>
      <c r="AB13" s="95">
        <v>1310400</v>
      </c>
      <c r="AC13" s="243">
        <v>38.25</v>
      </c>
      <c r="AD13" s="2">
        <f t="shared" si="0"/>
        <v>0.77000000000000313</v>
      </c>
      <c r="AE13" s="138">
        <f t="shared" si="1"/>
        <v>2.0816653322658141E-2</v>
      </c>
      <c r="AK13" s="234"/>
      <c r="AN13" s="234"/>
    </row>
    <row r="14" spans="1:40" x14ac:dyDescent="0.25">
      <c r="T14" s="84"/>
      <c r="U14" s="11"/>
      <c r="W14" s="94">
        <v>42660</v>
      </c>
      <c r="X14" s="368">
        <v>37.44</v>
      </c>
      <c r="Y14" s="40">
        <v>37.619999999999997</v>
      </c>
      <c r="Z14" s="40">
        <v>37.21</v>
      </c>
      <c r="AA14" s="368">
        <v>37.47</v>
      </c>
      <c r="AB14" s="95">
        <v>1765100</v>
      </c>
      <c r="AC14" s="243">
        <v>37.47</v>
      </c>
      <c r="AD14" s="2">
        <f t="shared" si="0"/>
        <v>0.40999999999999659</v>
      </c>
      <c r="AE14" s="138">
        <f t="shared" si="1"/>
        <v>3.7503348513259205E-3</v>
      </c>
    </row>
    <row r="15" spans="1:40" x14ac:dyDescent="0.25">
      <c r="W15" s="94">
        <v>42657</v>
      </c>
      <c r="X15" s="368">
        <v>37.25</v>
      </c>
      <c r="Y15" s="40">
        <v>37.89</v>
      </c>
      <c r="Z15" s="40">
        <v>37.1</v>
      </c>
      <c r="AA15" s="368">
        <v>37.33</v>
      </c>
      <c r="AB15" s="95">
        <v>2125200</v>
      </c>
      <c r="AC15" s="243">
        <v>37.33</v>
      </c>
      <c r="AD15" s="2">
        <f t="shared" si="0"/>
        <v>0.78999999999999915</v>
      </c>
      <c r="AE15" s="138">
        <f t="shared" si="1"/>
        <v>-1.2172532415983039E-2</v>
      </c>
      <c r="AK15" s="234"/>
      <c r="AN15" s="234"/>
    </row>
    <row r="16" spans="1:40" x14ac:dyDescent="0.25">
      <c r="W16" s="94">
        <v>42656</v>
      </c>
      <c r="X16" s="368">
        <v>37.46</v>
      </c>
      <c r="Y16" s="40">
        <v>38.049999999999997</v>
      </c>
      <c r="Z16" s="40">
        <v>37.450000000000003</v>
      </c>
      <c r="AA16" s="368">
        <v>37.79</v>
      </c>
      <c r="AB16" s="95">
        <v>1569500</v>
      </c>
      <c r="AC16" s="243">
        <v>37.79</v>
      </c>
      <c r="AD16" s="2">
        <f t="shared" si="0"/>
        <v>0.59999999999999432</v>
      </c>
      <c r="AE16" s="138">
        <f t="shared" si="1"/>
        <v>-7.6155462184873679E-3</v>
      </c>
    </row>
    <row r="17" spans="1:40" x14ac:dyDescent="0.25">
      <c r="W17" s="94">
        <v>42655</v>
      </c>
      <c r="X17" s="368">
        <v>37.950000000000003</v>
      </c>
      <c r="Y17" s="40">
        <v>38.24</v>
      </c>
      <c r="Z17" s="40">
        <v>37.6</v>
      </c>
      <c r="AA17" s="368">
        <v>38.08</v>
      </c>
      <c r="AB17" s="95">
        <v>1455400</v>
      </c>
      <c r="AC17" s="243">
        <v>38.08</v>
      </c>
      <c r="AD17" s="2">
        <f t="shared" si="0"/>
        <v>0.64000000000000057</v>
      </c>
      <c r="AE17" s="138">
        <f t="shared" si="1"/>
        <v>3.4255599472989839E-3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1829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42654</v>
      </c>
      <c r="X18" s="368">
        <v>38.51</v>
      </c>
      <c r="Y18" s="40">
        <v>38.520000000000003</v>
      </c>
      <c r="Z18" s="40">
        <v>37.69</v>
      </c>
      <c r="AA18" s="368">
        <v>37.950000000000003</v>
      </c>
      <c r="AB18" s="95">
        <v>1747800</v>
      </c>
      <c r="AC18" s="243">
        <v>37.950000000000003</v>
      </c>
      <c r="AD18" s="2">
        <f t="shared" si="0"/>
        <v>0.8300000000000054</v>
      </c>
      <c r="AE18" s="138">
        <f t="shared" si="1"/>
        <v>-1.3773388773388628E-2</v>
      </c>
    </row>
    <row r="19" spans="1:40" x14ac:dyDescent="0.25">
      <c r="W19" s="94">
        <v>42653</v>
      </c>
      <c r="X19" s="368">
        <v>38.54</v>
      </c>
      <c r="Y19" s="40">
        <v>38.659999999999997</v>
      </c>
      <c r="Z19" s="40">
        <v>38.35</v>
      </c>
      <c r="AA19" s="368">
        <v>38.479999999999997</v>
      </c>
      <c r="AB19" s="95">
        <v>1216600</v>
      </c>
      <c r="AC19" s="243">
        <v>38.479999999999997</v>
      </c>
      <c r="AD19" s="2">
        <f t="shared" si="0"/>
        <v>0.30999999999999517</v>
      </c>
      <c r="AE19" s="138">
        <f t="shared" si="1"/>
        <v>5.2002080083202173E-4</v>
      </c>
      <c r="AK19" s="234"/>
      <c r="AN19" s="234"/>
    </row>
    <row r="20" spans="1:40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4" t="s">
        <v>65</v>
      </c>
      <c r="G20" s="229" t="s">
        <v>154</v>
      </c>
      <c r="H20" s="229" t="s">
        <v>88</v>
      </c>
      <c r="I20" s="229" t="s">
        <v>158</v>
      </c>
      <c r="W20" s="94">
        <v>42650</v>
      </c>
      <c r="X20" s="368">
        <v>38.590000000000003</v>
      </c>
      <c r="Y20" s="40">
        <v>38.729999999999997</v>
      </c>
      <c r="Z20" s="40">
        <v>38.31</v>
      </c>
      <c r="AA20" s="368">
        <v>38.46</v>
      </c>
      <c r="AB20" s="95">
        <v>3508000</v>
      </c>
      <c r="AC20" s="243">
        <v>38.46</v>
      </c>
      <c r="AD20" s="2">
        <f t="shared" si="0"/>
        <v>0.4199999999999946</v>
      </c>
      <c r="AE20" s="138">
        <f t="shared" si="1"/>
        <v>-4.6583850931677384E-3</v>
      </c>
    </row>
    <row r="21" spans="1:40" x14ac:dyDescent="0.25">
      <c r="B21" s="193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1">
        <f t="shared" ref="H21:H26" si="4">(E21-D21)/D21</f>
        <v>-5.190311418685113E-3</v>
      </c>
      <c r="I21" s="40"/>
      <c r="W21" s="94">
        <v>42649</v>
      </c>
      <c r="X21" s="368">
        <v>38.29</v>
      </c>
      <c r="Y21" s="40">
        <v>38.68</v>
      </c>
      <c r="Z21" s="40">
        <v>37.979999999999997</v>
      </c>
      <c r="AA21" s="368">
        <v>38.64</v>
      </c>
      <c r="AB21" s="95">
        <v>2145500</v>
      </c>
      <c r="AC21" s="243">
        <v>38.64</v>
      </c>
      <c r="AD21" s="2">
        <f t="shared" si="0"/>
        <v>0.70000000000000284</v>
      </c>
      <c r="AE21" s="138">
        <f t="shared" si="1"/>
        <v>9.9320439100889502E-3</v>
      </c>
      <c r="AK21" s="234"/>
      <c r="AN21" s="234"/>
    </row>
    <row r="22" spans="1:40" x14ac:dyDescent="0.25">
      <c r="B22" s="193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1">
        <f t="shared" si="4"/>
        <v>3.085351787773934E-2</v>
      </c>
      <c r="I22" s="40"/>
      <c r="W22" s="94">
        <v>42648</v>
      </c>
      <c r="X22" s="368">
        <v>36.92</v>
      </c>
      <c r="Y22" s="40">
        <v>38.340000000000003</v>
      </c>
      <c r="Z22" s="40">
        <v>36.200000000000003</v>
      </c>
      <c r="AA22" s="368">
        <v>38.26</v>
      </c>
      <c r="AB22" s="95">
        <v>3726700</v>
      </c>
      <c r="AC22" s="243">
        <v>38.26</v>
      </c>
      <c r="AD22" s="2">
        <f t="shared" si="0"/>
        <v>2.1400000000000006</v>
      </c>
      <c r="AE22" s="138">
        <f t="shared" si="1"/>
        <v>5.5190538764784414E-3</v>
      </c>
    </row>
    <row r="23" spans="1:40" x14ac:dyDescent="0.25">
      <c r="B23" s="193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1">
        <f t="shared" si="4"/>
        <v>1.9031141868512218E-2</v>
      </c>
      <c r="I23" s="40"/>
      <c r="W23" s="94">
        <v>42647</v>
      </c>
      <c r="X23" s="368">
        <v>37.31</v>
      </c>
      <c r="Y23" s="40">
        <v>38.14</v>
      </c>
      <c r="Z23" s="40">
        <v>37.25</v>
      </c>
      <c r="AA23" s="368">
        <v>38.049999999999997</v>
      </c>
      <c r="AB23" s="95">
        <v>1499600</v>
      </c>
      <c r="AC23" s="243">
        <v>38.049999999999997</v>
      </c>
      <c r="AD23" s="2">
        <f t="shared" si="0"/>
        <v>0.89000000000000057</v>
      </c>
      <c r="AE23" s="138">
        <f t="shared" si="1"/>
        <v>7.1466384330332033E-3</v>
      </c>
      <c r="AK23" s="234"/>
    </row>
    <row r="24" spans="1:40" x14ac:dyDescent="0.25">
      <c r="B24" s="193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1">
        <f t="shared" si="4"/>
        <v>4.7001153402537563E-2</v>
      </c>
      <c r="I24" s="40"/>
      <c r="W24" s="94">
        <v>42646</v>
      </c>
      <c r="X24" s="368">
        <v>37.69</v>
      </c>
      <c r="Y24" s="40">
        <v>38.07</v>
      </c>
      <c r="Z24" s="40">
        <v>37.39</v>
      </c>
      <c r="AA24" s="368">
        <v>37.78</v>
      </c>
      <c r="AB24" s="95">
        <v>1243400</v>
      </c>
      <c r="AC24" s="243">
        <v>37.78</v>
      </c>
      <c r="AD24" s="2">
        <f t="shared" si="0"/>
        <v>0.67999999999999972</v>
      </c>
      <c r="AE24" s="138">
        <f t="shared" si="1"/>
        <v>2.1220159151194018E-3</v>
      </c>
    </row>
    <row r="25" spans="1:40" x14ac:dyDescent="0.25">
      <c r="B25" s="193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1">
        <f t="shared" si="4"/>
        <v>7.1799307958477568E-2</v>
      </c>
      <c r="I25" s="40"/>
      <c r="W25" s="94">
        <v>42643</v>
      </c>
      <c r="X25" s="368">
        <v>37.32</v>
      </c>
      <c r="Y25" s="40">
        <v>38</v>
      </c>
      <c r="Z25" s="40">
        <v>36.93</v>
      </c>
      <c r="AA25" s="368">
        <v>37.700000000000003</v>
      </c>
      <c r="AB25" s="95">
        <v>1744000</v>
      </c>
      <c r="AC25" s="243">
        <v>37.700000000000003</v>
      </c>
      <c r="AD25" s="2">
        <f t="shared" si="0"/>
        <v>1.0700000000000003</v>
      </c>
      <c r="AE25" s="138">
        <f t="shared" si="1"/>
        <v>1.4531754574811817E-2</v>
      </c>
    </row>
    <row r="26" spans="1:40" x14ac:dyDescent="0.25">
      <c r="B26" s="193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1">
        <f t="shared" si="4"/>
        <v>8.7081891580161566E-2</v>
      </c>
      <c r="I26" s="40"/>
      <c r="W26" s="94">
        <v>42642</v>
      </c>
      <c r="X26" s="368">
        <v>37.479999999999997</v>
      </c>
      <c r="Y26" s="40">
        <v>37.5</v>
      </c>
      <c r="Z26" s="40">
        <v>36.61</v>
      </c>
      <c r="AA26" s="368">
        <v>37.159999999999997</v>
      </c>
      <c r="AB26" s="95">
        <v>1723300</v>
      </c>
      <c r="AC26" s="243">
        <v>37.159999999999997</v>
      </c>
      <c r="AD26" s="2">
        <f t="shared" si="0"/>
        <v>0.89000000000000057</v>
      </c>
      <c r="AE26" s="138">
        <f t="shared" si="1"/>
        <v>-7.4786324786325631E-3</v>
      </c>
    </row>
    <row r="27" spans="1:40" x14ac:dyDescent="0.25">
      <c r="B27" s="193">
        <v>42649</v>
      </c>
      <c r="C27" s="10">
        <v>50</v>
      </c>
      <c r="D27" s="40">
        <v>34.68</v>
      </c>
      <c r="E27" s="40">
        <v>38.64</v>
      </c>
      <c r="F27" s="40">
        <f t="shared" ref="F27" si="5">C27*(E27-D27)</f>
        <v>198.00000000000006</v>
      </c>
      <c r="G27" s="40">
        <f t="shared" ref="G27" si="6">D27*C27</f>
        <v>1734</v>
      </c>
      <c r="H27" s="231">
        <f t="shared" ref="H27" si="7">(E27-D27)/D27</f>
        <v>0.11418685121107269</v>
      </c>
      <c r="I27" s="40"/>
      <c r="W27" s="94">
        <v>42641</v>
      </c>
      <c r="X27" s="368">
        <v>37.81</v>
      </c>
      <c r="Y27" s="40">
        <v>37.86</v>
      </c>
      <c r="Z27" s="40">
        <v>36.950000000000003</v>
      </c>
      <c r="AA27" s="368">
        <v>37.44</v>
      </c>
      <c r="AB27" s="95">
        <v>2938900</v>
      </c>
      <c r="AC27" s="243">
        <v>37.44</v>
      </c>
      <c r="AD27" s="2">
        <f t="shared" si="0"/>
        <v>0.90999999999999659</v>
      </c>
      <c r="AE27" s="138">
        <f t="shared" si="1"/>
        <v>-6.6330591668877226E-3</v>
      </c>
    </row>
    <row r="28" spans="1:40" x14ac:dyDescent="0.25">
      <c r="B28" s="193">
        <v>42663</v>
      </c>
      <c r="C28" s="10">
        <v>0</v>
      </c>
      <c r="D28" s="40"/>
      <c r="E28" s="40"/>
      <c r="F28" s="40">
        <v>192.96</v>
      </c>
      <c r="G28" s="40"/>
      <c r="H28" s="231"/>
      <c r="I28" s="40"/>
      <c r="W28" s="94">
        <v>42640</v>
      </c>
      <c r="X28" s="368">
        <v>36.86</v>
      </c>
      <c r="Y28" s="40">
        <v>38</v>
      </c>
      <c r="Z28" s="40">
        <v>36.86</v>
      </c>
      <c r="AA28" s="368">
        <v>37.69</v>
      </c>
      <c r="AB28" s="95">
        <v>2505300</v>
      </c>
      <c r="AC28" s="243">
        <v>37.69</v>
      </c>
      <c r="AD28" s="2">
        <f t="shared" si="0"/>
        <v>1.1400000000000006</v>
      </c>
      <c r="AE28" s="138">
        <f t="shared" si="1"/>
        <v>2.6416122004357279E-2</v>
      </c>
    </row>
    <row r="29" spans="1:40" x14ac:dyDescent="0.25">
      <c r="B29" s="193">
        <v>42670</v>
      </c>
      <c r="C29" s="10">
        <v>50</v>
      </c>
      <c r="D29" s="40">
        <v>36.58</v>
      </c>
      <c r="E29" s="40">
        <v>35.71</v>
      </c>
      <c r="F29" s="40">
        <f t="shared" ref="F29" si="8">C29*(E29-D29)</f>
        <v>-43.499999999999872</v>
      </c>
      <c r="G29" s="40">
        <f t="shared" ref="G29" si="9">D29*C29</f>
        <v>1829</v>
      </c>
      <c r="H29" s="231">
        <f t="shared" ref="H29" si="10">(E29-D29)/D29</f>
        <v>-2.3783488244942523E-2</v>
      </c>
      <c r="I29" s="40"/>
      <c r="W29" s="94">
        <v>42639</v>
      </c>
      <c r="X29" s="368">
        <v>37.340000000000003</v>
      </c>
      <c r="Y29" s="40">
        <v>38.03</v>
      </c>
      <c r="Z29" s="40">
        <v>36.03</v>
      </c>
      <c r="AA29" s="368">
        <v>36.72</v>
      </c>
      <c r="AB29" s="95">
        <v>3167000</v>
      </c>
      <c r="AC29" s="243">
        <v>36.72</v>
      </c>
      <c r="AD29" s="2">
        <f t="shared" si="0"/>
        <v>2</v>
      </c>
      <c r="AE29" s="138">
        <f t="shared" si="1"/>
        <v>-1.8706574024585865E-2</v>
      </c>
    </row>
    <row r="30" spans="1:40" x14ac:dyDescent="0.25">
      <c r="B30" s="193">
        <v>42674</v>
      </c>
      <c r="C30" s="10">
        <v>50</v>
      </c>
      <c r="D30" s="40">
        <v>36.58</v>
      </c>
      <c r="E30" s="40">
        <v>38.869999999999997</v>
      </c>
      <c r="F30" s="40">
        <f t="shared" ref="F30" si="11">C30*(E30-D30)</f>
        <v>114.49999999999996</v>
      </c>
      <c r="G30" s="40">
        <f t="shared" ref="G30" si="12">D30*C30</f>
        <v>1829</v>
      </c>
      <c r="H30" s="231">
        <f t="shared" ref="H30" si="13">(E30-D30)/D30</f>
        <v>6.2602515035538528E-2</v>
      </c>
      <c r="I30" s="40"/>
      <c r="W30" s="94">
        <v>42636</v>
      </c>
      <c r="X30" s="368">
        <v>36.92</v>
      </c>
      <c r="Y30" s="40">
        <v>37.5</v>
      </c>
      <c r="Z30" s="40">
        <v>36.479999999999997</v>
      </c>
      <c r="AA30" s="368">
        <v>37.42</v>
      </c>
      <c r="AB30" s="95">
        <v>1497600</v>
      </c>
      <c r="AC30" s="243">
        <v>37.42</v>
      </c>
      <c r="AD30" s="2">
        <f t="shared" si="0"/>
        <v>1.0200000000000031</v>
      </c>
      <c r="AE30" s="138">
        <f t="shared" si="1"/>
        <v>6.7258541834813723E-3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42635</v>
      </c>
      <c r="X31" s="368">
        <v>36.43</v>
      </c>
      <c r="Y31" s="40">
        <v>37.24</v>
      </c>
      <c r="Z31" s="40">
        <v>36.43</v>
      </c>
      <c r="AA31" s="368">
        <v>37.17</v>
      </c>
      <c r="AB31" s="95">
        <v>1599600</v>
      </c>
      <c r="AC31" s="243">
        <v>37.17</v>
      </c>
      <c r="AD31" s="2">
        <f t="shared" si="0"/>
        <v>0.81000000000000227</v>
      </c>
      <c r="AE31" s="138">
        <f t="shared" si="1"/>
        <v>2.3966942148760495E-2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42634</v>
      </c>
      <c r="X32" s="368">
        <v>36.409999999999997</v>
      </c>
      <c r="Y32" s="40">
        <v>36.64</v>
      </c>
      <c r="Z32" s="40">
        <v>35.799999999999997</v>
      </c>
      <c r="AA32" s="368">
        <v>36.299999999999997</v>
      </c>
      <c r="AB32" s="95">
        <v>1829200</v>
      </c>
      <c r="AC32" s="243">
        <v>36.299999999999997</v>
      </c>
      <c r="AD32" s="2">
        <f t="shared" si="0"/>
        <v>0.84000000000000341</v>
      </c>
      <c r="AE32" s="138">
        <f t="shared" si="1"/>
        <v>-2.754062241807631E-4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42633</v>
      </c>
      <c r="X33" s="368">
        <v>35.4</v>
      </c>
      <c r="Y33" s="40">
        <v>36.43</v>
      </c>
      <c r="Z33" s="40">
        <v>35.4</v>
      </c>
      <c r="AA33" s="368">
        <v>36.31</v>
      </c>
      <c r="AB33" s="95">
        <v>1853400</v>
      </c>
      <c r="AC33" s="243">
        <v>36.31</v>
      </c>
      <c r="AD33" s="2">
        <f t="shared" si="0"/>
        <v>1.0300000000000011</v>
      </c>
      <c r="AE33" s="138">
        <f t="shared" si="1"/>
        <v>2.7447651386530714E-2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42632</v>
      </c>
      <c r="X34" s="368">
        <v>35.97</v>
      </c>
      <c r="Y34" s="40">
        <v>36.04</v>
      </c>
      <c r="Z34" s="40">
        <v>35.19</v>
      </c>
      <c r="AA34" s="368">
        <v>35.340000000000003</v>
      </c>
      <c r="AB34" s="95">
        <v>1716100</v>
      </c>
      <c r="AC34" s="243">
        <v>35.340000000000003</v>
      </c>
      <c r="AD34" s="2">
        <f t="shared" si="0"/>
        <v>0.85000000000000142</v>
      </c>
      <c r="AE34" s="138">
        <f t="shared" si="1"/>
        <v>-1.1468531468531329E-2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42629</v>
      </c>
      <c r="X35" s="368">
        <v>36.25</v>
      </c>
      <c r="Y35" s="40">
        <v>36.46</v>
      </c>
      <c r="Z35" s="40">
        <v>35.65</v>
      </c>
      <c r="AA35" s="368">
        <v>35.75</v>
      </c>
      <c r="AB35" s="95">
        <v>3015400</v>
      </c>
      <c r="AC35" s="243">
        <v>35.75</v>
      </c>
      <c r="AD35" s="2">
        <f t="shared" si="0"/>
        <v>0.81000000000000227</v>
      </c>
      <c r="AE35" s="138">
        <f t="shared" si="1"/>
        <v>-1.3520971302428353E-2</v>
      </c>
    </row>
    <row r="36" spans="1:31" x14ac:dyDescent="0.25">
      <c r="W36" s="94">
        <v>42628</v>
      </c>
      <c r="X36" s="368">
        <v>35.770000000000003</v>
      </c>
      <c r="Y36" s="40">
        <v>36.49</v>
      </c>
      <c r="Z36" s="40">
        <v>35.76</v>
      </c>
      <c r="AA36" s="368">
        <v>36.24</v>
      </c>
      <c r="AB36" s="95">
        <v>2577600</v>
      </c>
      <c r="AC36" s="243">
        <v>36.24</v>
      </c>
      <c r="AD36" s="2">
        <f t="shared" si="0"/>
        <v>0.73000000000000398</v>
      </c>
      <c r="AE36" s="138">
        <f t="shared" si="1"/>
        <v>7.7864293659621886E-3</v>
      </c>
    </row>
    <row r="37" spans="1:31" x14ac:dyDescent="0.25">
      <c r="L37" t="s">
        <v>218</v>
      </c>
      <c r="M37" s="2">
        <f>M55+K55-F55</f>
        <v>192.96000000000004</v>
      </c>
      <c r="W37" s="94">
        <v>42627</v>
      </c>
      <c r="X37" s="368">
        <v>35.32</v>
      </c>
      <c r="Y37" s="40">
        <v>35.99</v>
      </c>
      <c r="Z37" s="40">
        <v>35.020000000000003</v>
      </c>
      <c r="AA37" s="368">
        <v>35.96</v>
      </c>
      <c r="AB37" s="95">
        <v>2266700</v>
      </c>
      <c r="AC37" s="243">
        <v>35.96</v>
      </c>
      <c r="AD37" s="2">
        <f t="shared" si="0"/>
        <v>0.96999999999999886</v>
      </c>
      <c r="AE37" s="138">
        <f t="shared" si="1"/>
        <v>1.8985548313970035E-2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42626</v>
      </c>
      <c r="X38" s="368">
        <v>35.1</v>
      </c>
      <c r="Y38" s="40">
        <v>35.450000000000003</v>
      </c>
      <c r="Z38" s="40">
        <v>34.75</v>
      </c>
      <c r="AA38" s="368">
        <v>35.29</v>
      </c>
      <c r="AB38" s="95">
        <v>2021100</v>
      </c>
      <c r="AC38" s="243">
        <v>35.29</v>
      </c>
      <c r="AD38" s="2">
        <f t="shared" si="0"/>
        <v>0.70000000000000284</v>
      </c>
      <c r="AE38" s="138">
        <f t="shared" si="1"/>
        <v>1.1347517730495582E-3</v>
      </c>
    </row>
    <row r="39" spans="1:31" ht="20.25" thickBot="1" x14ac:dyDescent="0.35">
      <c r="A39" s="265" t="s">
        <v>328</v>
      </c>
      <c r="B39" s="266">
        <v>42621</v>
      </c>
      <c r="C39" s="261">
        <v>50</v>
      </c>
      <c r="D39" s="262">
        <v>34.68</v>
      </c>
      <c r="E39" s="262">
        <v>0</v>
      </c>
      <c r="F39" s="262">
        <f>D39*C39+E39</f>
        <v>1734</v>
      </c>
      <c r="G39" s="266">
        <v>42663</v>
      </c>
      <c r="H39" s="267">
        <v>50</v>
      </c>
      <c r="I39" s="262">
        <v>38.54</v>
      </c>
      <c r="J39" s="262">
        <v>0.04</v>
      </c>
      <c r="K39" s="262">
        <f>H39*I39-J39</f>
        <v>1926.96</v>
      </c>
      <c r="L39" s="266"/>
      <c r="M39" s="262"/>
      <c r="O39" s="11"/>
      <c r="P39" s="588" t="s">
        <v>78</v>
      </c>
      <c r="Q39" s="588"/>
      <c r="R39" s="34"/>
      <c r="T39" s="91" t="s">
        <v>113</v>
      </c>
      <c r="W39" s="94">
        <v>42625</v>
      </c>
      <c r="X39" s="368">
        <v>34.42</v>
      </c>
      <c r="Y39" s="40">
        <v>35.32</v>
      </c>
      <c r="Z39" s="40">
        <v>34.17</v>
      </c>
      <c r="AA39" s="368">
        <v>35.25</v>
      </c>
      <c r="AB39" s="95">
        <v>1691600</v>
      </c>
      <c r="AC39" s="243">
        <v>35.25</v>
      </c>
      <c r="AD39" s="2">
        <f t="shared" si="0"/>
        <v>1.1499999999999986</v>
      </c>
      <c r="AE39" s="138">
        <f t="shared" si="1"/>
        <v>2.1739130434782705E-2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41.239000000000004</v>
      </c>
      <c r="R40" s="34"/>
      <c r="T40" s="97" t="s">
        <v>98</v>
      </c>
      <c r="U40" s="129">
        <v>37.700000000000003</v>
      </c>
      <c r="W40" s="94">
        <v>42622</v>
      </c>
      <c r="X40" s="368">
        <v>34.4</v>
      </c>
      <c r="Y40" s="40">
        <v>34.61</v>
      </c>
      <c r="Z40" s="40">
        <v>34.159999999999997</v>
      </c>
      <c r="AA40" s="368">
        <v>34.5</v>
      </c>
      <c r="AB40" s="95">
        <v>3201500</v>
      </c>
      <c r="AC40" s="243">
        <v>34.5</v>
      </c>
      <c r="AD40" s="2">
        <f t="shared" si="0"/>
        <v>0.45000000000000284</v>
      </c>
      <c r="AE40" s="138">
        <f t="shared" si="1"/>
        <v>2.9069767441860517E-3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14">P41*$Q$4</f>
        <v>40.864100000000008</v>
      </c>
      <c r="R41" s="34"/>
      <c r="T41" s="87" t="s">
        <v>99</v>
      </c>
      <c r="U41" s="130">
        <v>37.79</v>
      </c>
      <c r="W41" s="94">
        <v>42621</v>
      </c>
      <c r="X41" s="368">
        <v>35</v>
      </c>
      <c r="Y41" s="40">
        <v>35.03</v>
      </c>
      <c r="Z41" s="40">
        <v>34.36</v>
      </c>
      <c r="AA41" s="368">
        <v>34.4</v>
      </c>
      <c r="AB41" s="95">
        <v>1741300</v>
      </c>
      <c r="AC41" s="243">
        <v>34.4</v>
      </c>
      <c r="AD41" s="2">
        <f t="shared" si="0"/>
        <v>0.67000000000000171</v>
      </c>
      <c r="AE41" s="138">
        <f t="shared" si="1"/>
        <v>-1.6299685444666867E-2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14"/>
        <v>40.489200000000004</v>
      </c>
      <c r="R42" s="34"/>
      <c r="T42" s="87" t="s">
        <v>100</v>
      </c>
      <c r="U42" s="130" t="s">
        <v>129</v>
      </c>
      <c r="W42" s="94">
        <v>42620</v>
      </c>
      <c r="X42" s="368">
        <v>35.270000000000003</v>
      </c>
      <c r="Y42" s="40">
        <v>35.479999999999997</v>
      </c>
      <c r="Z42" s="40">
        <v>34.83</v>
      </c>
      <c r="AA42" s="368">
        <v>34.97</v>
      </c>
      <c r="AB42" s="95">
        <v>2314300</v>
      </c>
      <c r="AC42" s="243">
        <v>34.97</v>
      </c>
      <c r="AD42" s="2">
        <f t="shared" si="0"/>
        <v>0.64999999999999858</v>
      </c>
      <c r="AE42" s="138">
        <f t="shared" si="1"/>
        <v>-9.6290002832060129E-3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14"/>
        <v>40.114300000000007</v>
      </c>
      <c r="R43" s="83"/>
      <c r="T43" s="87" t="s">
        <v>101</v>
      </c>
      <c r="U43" s="130" t="s">
        <v>129</v>
      </c>
      <c r="W43" s="94">
        <v>42619</v>
      </c>
      <c r="X43" s="368">
        <v>35.729999999999997</v>
      </c>
      <c r="Y43" s="40">
        <v>35.81</v>
      </c>
      <c r="Z43" s="40">
        <v>35.22</v>
      </c>
      <c r="AA43" s="368">
        <v>35.31</v>
      </c>
      <c r="AB43" s="95">
        <v>1538800</v>
      </c>
      <c r="AC43" s="243">
        <v>35.31</v>
      </c>
      <c r="AD43" s="2">
        <f t="shared" si="0"/>
        <v>0.59000000000000341</v>
      </c>
      <c r="AE43" s="138">
        <f t="shared" si="1"/>
        <v>-8.4245998315078952E-3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14"/>
        <v>39.739400000000003</v>
      </c>
      <c r="R44" s="83"/>
      <c r="T44" s="87" t="s">
        <v>102</v>
      </c>
      <c r="U44" s="130">
        <v>47.38</v>
      </c>
      <c r="W44" s="94">
        <v>42615</v>
      </c>
      <c r="X44" s="368">
        <v>36.270000000000003</v>
      </c>
      <c r="Y44" s="40">
        <v>36.909999999999997</v>
      </c>
      <c r="Z44" s="40">
        <v>35.36</v>
      </c>
      <c r="AA44" s="368">
        <v>35.61</v>
      </c>
      <c r="AB44" s="95">
        <v>3946400</v>
      </c>
      <c r="AC44" s="243">
        <v>35.61</v>
      </c>
      <c r="AD44" s="2">
        <f t="shared" si="0"/>
        <v>1.5499999999999972</v>
      </c>
      <c r="AE44" s="138">
        <f t="shared" si="1"/>
        <v>-3.886639676113357E-2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14"/>
        <v>39.364500000000007</v>
      </c>
      <c r="R45" s="83"/>
      <c r="T45" s="87" t="s">
        <v>103</v>
      </c>
      <c r="U45" s="130">
        <v>1.41506</v>
      </c>
      <c r="W45" s="94">
        <v>42614</v>
      </c>
      <c r="X45" s="368">
        <v>37.47</v>
      </c>
      <c r="Y45" s="40">
        <v>38.31</v>
      </c>
      <c r="Z45" s="40">
        <v>36.5</v>
      </c>
      <c r="AA45" s="368">
        <v>37.049999999999997</v>
      </c>
      <c r="AB45" s="95">
        <v>4218100</v>
      </c>
      <c r="AC45" s="243">
        <v>37.049999999999997</v>
      </c>
      <c r="AD45" s="2">
        <f t="shared" si="0"/>
        <v>1.8100000000000023</v>
      </c>
      <c r="AE45" s="138">
        <f t="shared" si="1"/>
        <v>3.2320980774589003E-2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14"/>
        <v>38.989600000000003</v>
      </c>
      <c r="R46" s="83"/>
      <c r="T46" s="87" t="s">
        <v>104</v>
      </c>
      <c r="U46" s="232" t="s">
        <v>411</v>
      </c>
      <c r="W46" s="94">
        <v>42613</v>
      </c>
      <c r="X46" s="368">
        <v>35.93</v>
      </c>
      <c r="Y46" s="40">
        <v>36.36</v>
      </c>
      <c r="Z46" s="40">
        <v>35.64</v>
      </c>
      <c r="AA46" s="368">
        <v>35.89</v>
      </c>
      <c r="AB46" s="95">
        <v>1947000</v>
      </c>
      <c r="AC46" s="243">
        <v>35.89</v>
      </c>
      <c r="AD46" s="2">
        <f t="shared" si="0"/>
        <v>0.71999999999999886</v>
      </c>
      <c r="AE46" s="138">
        <f t="shared" si="1"/>
        <v>1.1157601115758808E-3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14"/>
        <v>38.614700000000006</v>
      </c>
      <c r="R47" s="83"/>
      <c r="T47" s="87"/>
      <c r="U47" s="130"/>
      <c r="W47" s="94">
        <v>42612</v>
      </c>
      <c r="X47" s="368">
        <v>35.630000000000003</v>
      </c>
      <c r="Y47" s="40">
        <v>36</v>
      </c>
      <c r="Z47" s="40">
        <v>35.39</v>
      </c>
      <c r="AA47" s="368">
        <v>35.85</v>
      </c>
      <c r="AB47" s="95">
        <v>2066400</v>
      </c>
      <c r="AC47" s="243">
        <v>35.85</v>
      </c>
      <c r="AD47" s="2">
        <f t="shared" si="0"/>
        <v>0.60999999999999943</v>
      </c>
      <c r="AE47" s="138">
        <f t="shared" si="1"/>
        <v>9.2905405405405705E-3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14"/>
        <v>38.239800000000002</v>
      </c>
      <c r="R48" s="83"/>
      <c r="T48" s="87" t="s">
        <v>105</v>
      </c>
      <c r="U48" s="130" t="s">
        <v>650</v>
      </c>
      <c r="W48" s="94">
        <v>42611</v>
      </c>
      <c r="X48" s="368">
        <v>36.04</v>
      </c>
      <c r="Y48" s="40">
        <v>36.619999999999997</v>
      </c>
      <c r="Z48" s="40">
        <v>35.36</v>
      </c>
      <c r="AA48" s="368">
        <v>35.520000000000003</v>
      </c>
      <c r="AB48" s="95">
        <v>2716600</v>
      </c>
      <c r="AC48" s="243">
        <v>35.520000000000003</v>
      </c>
      <c r="AD48" s="2">
        <f t="shared" si="0"/>
        <v>1.259999999999998</v>
      </c>
      <c r="AE48" s="138">
        <f t="shared" si="1"/>
        <v>-7.8212290502791548E-3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14"/>
        <v>37.864900000000006</v>
      </c>
      <c r="R49" s="83"/>
      <c r="T49" s="87" t="s">
        <v>106</v>
      </c>
      <c r="U49" s="130" t="s">
        <v>651</v>
      </c>
      <c r="W49" s="94">
        <v>42608</v>
      </c>
      <c r="X49" s="368">
        <v>36.15</v>
      </c>
      <c r="Y49" s="40">
        <v>36.369999999999997</v>
      </c>
      <c r="Z49" s="40">
        <v>35.68</v>
      </c>
      <c r="AA49" s="368">
        <v>35.799999999999997</v>
      </c>
      <c r="AB49" s="95">
        <v>2550200</v>
      </c>
      <c r="AC49" s="243">
        <v>35.799999999999997</v>
      </c>
      <c r="AD49" s="2">
        <f t="shared" si="0"/>
        <v>0.68999999999999773</v>
      </c>
      <c r="AE49" s="138">
        <f t="shared" si="1"/>
        <v>-1.0503040353786686E-2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14"/>
        <v>37.49</v>
      </c>
      <c r="R50" s="83"/>
      <c r="T50" s="87" t="s">
        <v>107</v>
      </c>
      <c r="U50" s="131">
        <v>1171788</v>
      </c>
      <c r="W50" s="94">
        <v>42607</v>
      </c>
      <c r="X50" s="368">
        <v>36.68</v>
      </c>
      <c r="Y50" s="40">
        <v>36.770000000000003</v>
      </c>
      <c r="Z50" s="40">
        <v>36.159999999999997</v>
      </c>
      <c r="AA50" s="368">
        <v>36.18</v>
      </c>
      <c r="AB50" s="95">
        <v>2279500</v>
      </c>
      <c r="AC50" s="243">
        <v>36.18</v>
      </c>
      <c r="AD50" s="2">
        <f t="shared" si="0"/>
        <v>0.61000000000000654</v>
      </c>
      <c r="AE50" s="138">
        <f t="shared" si="1"/>
        <v>-1.8448182311448735E-2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14"/>
        <v>37.115099999999998</v>
      </c>
      <c r="R51" s="83"/>
      <c r="T51" s="87" t="s">
        <v>110</v>
      </c>
      <c r="U51" s="131">
        <v>2403200</v>
      </c>
      <c r="W51" s="94">
        <v>42606</v>
      </c>
      <c r="X51" s="368">
        <v>37.79</v>
      </c>
      <c r="Y51" s="40">
        <v>38.06</v>
      </c>
      <c r="Z51" s="40">
        <v>36.78</v>
      </c>
      <c r="AA51" s="368">
        <v>36.86</v>
      </c>
      <c r="AB51" s="95">
        <v>2587200</v>
      </c>
      <c r="AC51" s="243">
        <v>36.86</v>
      </c>
      <c r="AD51" s="2">
        <f t="shared" si="0"/>
        <v>1.2800000000000011</v>
      </c>
      <c r="AE51" s="138">
        <f t="shared" si="1"/>
        <v>-2.1762208067940603E-2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14"/>
        <v>36.740200000000002</v>
      </c>
      <c r="R52" s="83"/>
      <c r="T52" s="87" t="s">
        <v>108</v>
      </c>
      <c r="U52" s="130" t="s">
        <v>652</v>
      </c>
      <c r="W52" s="94">
        <v>42605</v>
      </c>
      <c r="X52" s="368">
        <v>37.700000000000003</v>
      </c>
      <c r="Y52" s="40">
        <v>38.090000000000003</v>
      </c>
      <c r="Z52" s="40">
        <v>37.57</v>
      </c>
      <c r="AA52" s="368">
        <v>37.68</v>
      </c>
      <c r="AB52" s="95">
        <v>2937800</v>
      </c>
      <c r="AC52" s="243">
        <v>37.68</v>
      </c>
      <c r="AD52" s="2">
        <f t="shared" si="0"/>
        <v>0.52000000000000313</v>
      </c>
      <c r="AE52" s="138">
        <f t="shared" si="1"/>
        <v>0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14"/>
        <v>36.365299999999998</v>
      </c>
      <c r="R53" s="83"/>
      <c r="T53" s="87" t="s">
        <v>111</v>
      </c>
      <c r="U53" s="130">
        <v>16.89</v>
      </c>
      <c r="W53" s="94">
        <v>42604</v>
      </c>
      <c r="X53" s="368">
        <v>38.19</v>
      </c>
      <c r="Y53" s="40">
        <v>38.229999999999997</v>
      </c>
      <c r="Z53" s="40">
        <v>37.53</v>
      </c>
      <c r="AA53" s="368">
        <v>37.68</v>
      </c>
      <c r="AB53" s="95">
        <v>1567600</v>
      </c>
      <c r="AC53" s="243">
        <v>37.68</v>
      </c>
      <c r="AD53" s="2">
        <f t="shared" si="0"/>
        <v>0.69999999999999574</v>
      </c>
      <c r="AE53" s="138">
        <f t="shared" si="1"/>
        <v>-1.3870714472651202E-2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14"/>
        <v>35.990400000000001</v>
      </c>
      <c r="R54" s="83"/>
      <c r="T54" s="87" t="s">
        <v>112</v>
      </c>
      <c r="U54" s="130">
        <v>2.2200000000000002</v>
      </c>
      <c r="W54" s="94">
        <v>42601</v>
      </c>
      <c r="X54" s="368">
        <v>38.26</v>
      </c>
      <c r="Y54" s="40">
        <v>38.64</v>
      </c>
      <c r="Z54" s="40">
        <v>38</v>
      </c>
      <c r="AA54" s="368">
        <v>38.21</v>
      </c>
      <c r="AB54" s="95">
        <v>2124700</v>
      </c>
      <c r="AC54" s="243">
        <v>38.21</v>
      </c>
      <c r="AD54" s="2">
        <f t="shared" si="0"/>
        <v>0.64000000000000057</v>
      </c>
      <c r="AE54" s="138">
        <f t="shared" si="1"/>
        <v>-1.2661498708010366E-2</v>
      </c>
    </row>
    <row r="55" spans="1:31" x14ac:dyDescent="0.25">
      <c r="A55" s="32" t="s">
        <v>81</v>
      </c>
      <c r="B55" s="14"/>
      <c r="C55" s="14">
        <f>SUM(C39:C43)</f>
        <v>50</v>
      </c>
      <c r="D55" s="14"/>
      <c r="E55" s="14"/>
      <c r="F55" s="18">
        <f>SUM(F39:F43)</f>
        <v>1734</v>
      </c>
      <c r="G55" s="18"/>
      <c r="H55" s="73">
        <f>SUM(H39:H43)</f>
        <v>50</v>
      </c>
      <c r="I55" s="18"/>
      <c r="J55" s="18"/>
      <c r="K55" s="18">
        <f>SUM(K39:K43)</f>
        <v>1926.96</v>
      </c>
      <c r="L55" s="18"/>
      <c r="M55" s="18">
        <f>SUM(M39:M43)</f>
        <v>0</v>
      </c>
      <c r="O55" s="2"/>
      <c r="P55" s="83">
        <v>0.95</v>
      </c>
      <c r="Q55" s="83">
        <f t="shared" si="14"/>
        <v>35.615499999999997</v>
      </c>
      <c r="R55" s="83"/>
      <c r="T55" s="87" t="s">
        <v>109</v>
      </c>
      <c r="U55" s="130" t="s">
        <v>123</v>
      </c>
      <c r="W55" s="94">
        <v>42600</v>
      </c>
      <c r="X55" s="368">
        <v>38.54</v>
      </c>
      <c r="Y55" s="40">
        <v>38.74</v>
      </c>
      <c r="Z55" s="40">
        <v>38.340000000000003</v>
      </c>
      <c r="AA55" s="368">
        <v>38.700000000000003</v>
      </c>
      <c r="AB55" s="95">
        <v>1626900</v>
      </c>
      <c r="AC55" s="243">
        <v>38.700000000000003</v>
      </c>
      <c r="AD55" s="2">
        <f t="shared" si="0"/>
        <v>0.39999999999999858</v>
      </c>
      <c r="AE55" s="138">
        <f t="shared" si="1"/>
        <v>1.0346611484739476E-3</v>
      </c>
    </row>
    <row r="56" spans="1:31" x14ac:dyDescent="0.25">
      <c r="O56" s="2"/>
      <c r="P56" s="83">
        <v>0.94</v>
      </c>
      <c r="Q56" s="83">
        <f t="shared" si="14"/>
        <v>35.240600000000001</v>
      </c>
      <c r="R56" s="83"/>
      <c r="W56" s="94">
        <v>42599</v>
      </c>
      <c r="X56" s="368">
        <v>37.799999999999997</v>
      </c>
      <c r="Y56" s="40">
        <v>38.659999999999997</v>
      </c>
      <c r="Z56" s="40">
        <v>37.5</v>
      </c>
      <c r="AA56" s="368">
        <v>38.659999999999997</v>
      </c>
      <c r="AB56" s="95">
        <v>2137200</v>
      </c>
      <c r="AC56" s="243">
        <v>38.659999999999997</v>
      </c>
      <c r="AD56" s="2">
        <f t="shared" si="0"/>
        <v>1.1599999999999966</v>
      </c>
      <c r="AE56" s="138">
        <f t="shared" si="1"/>
        <v>2.737177783683209E-2</v>
      </c>
    </row>
    <row r="57" spans="1:31" x14ac:dyDescent="0.25">
      <c r="O57" s="2"/>
      <c r="P57" s="83">
        <v>0.93</v>
      </c>
      <c r="Q57" s="83">
        <f t="shared" si="14"/>
        <v>34.865700000000004</v>
      </c>
      <c r="R57" s="83"/>
      <c r="W57" s="94">
        <v>42598</v>
      </c>
      <c r="X57" s="368">
        <v>38.15</v>
      </c>
      <c r="Y57" s="40">
        <v>38.299999999999997</v>
      </c>
      <c r="Z57" s="40">
        <v>37.299999999999997</v>
      </c>
      <c r="AA57" s="368">
        <v>37.630000000000003</v>
      </c>
      <c r="AB57" s="95">
        <v>2436700</v>
      </c>
      <c r="AC57" s="243">
        <v>37.630000000000003</v>
      </c>
      <c r="AD57" s="2">
        <f t="shared" si="0"/>
        <v>1</v>
      </c>
      <c r="AE57" s="138">
        <f t="shared" si="1"/>
        <v>-1.9285900443054338E-2</v>
      </c>
    </row>
    <row r="58" spans="1:31" x14ac:dyDescent="0.25">
      <c r="O58" s="2"/>
      <c r="P58" s="83">
        <v>0.92</v>
      </c>
      <c r="Q58" s="83">
        <f t="shared" si="14"/>
        <v>34.4908</v>
      </c>
      <c r="R58" s="83"/>
      <c r="W58" s="94">
        <v>42597</v>
      </c>
      <c r="X58" s="368">
        <v>38.46</v>
      </c>
      <c r="Y58" s="40">
        <v>38.85</v>
      </c>
      <c r="Z58" s="40">
        <v>38.26</v>
      </c>
      <c r="AA58" s="368">
        <v>38.369999999999997</v>
      </c>
      <c r="AB58" s="95">
        <v>2683800</v>
      </c>
      <c r="AC58" s="243">
        <v>38.369999999999997</v>
      </c>
      <c r="AD58" s="2">
        <f t="shared" si="0"/>
        <v>0.59000000000000341</v>
      </c>
      <c r="AE58" s="138">
        <f t="shared" si="1"/>
        <v>-1.8210197710718523E-3</v>
      </c>
    </row>
    <row r="59" spans="1:31" x14ac:dyDescent="0.25">
      <c r="O59" s="2"/>
      <c r="P59" s="83">
        <v>0.91</v>
      </c>
      <c r="Q59" s="83">
        <f t="shared" si="14"/>
        <v>34.115900000000003</v>
      </c>
      <c r="R59" s="83"/>
      <c r="W59" s="94">
        <v>42594</v>
      </c>
      <c r="X59" s="368">
        <v>38.53</v>
      </c>
      <c r="Y59" s="40">
        <v>38.979999999999997</v>
      </c>
      <c r="Z59" s="40">
        <v>38.17</v>
      </c>
      <c r="AA59" s="368">
        <v>38.44</v>
      </c>
      <c r="AB59" s="95">
        <v>2401000</v>
      </c>
      <c r="AC59" s="243">
        <v>38.44</v>
      </c>
      <c r="AD59" s="2">
        <f t="shared" si="0"/>
        <v>0.80999999999999517</v>
      </c>
      <c r="AE59" s="138">
        <f t="shared" si="1"/>
        <v>-8.7674058793193455E-3</v>
      </c>
    </row>
    <row r="60" spans="1:31" x14ac:dyDescent="0.25">
      <c r="O60" s="2"/>
      <c r="P60" s="83">
        <v>0.9</v>
      </c>
      <c r="Q60" s="83">
        <f t="shared" si="14"/>
        <v>33.741</v>
      </c>
      <c r="R60" s="83"/>
      <c r="W60" s="94">
        <v>42593</v>
      </c>
      <c r="X60" s="368">
        <v>37.68</v>
      </c>
      <c r="Y60" s="40">
        <v>38.81</v>
      </c>
      <c r="Z60" s="40">
        <v>37.42</v>
      </c>
      <c r="AA60" s="368">
        <v>38.78</v>
      </c>
      <c r="AB60" s="95">
        <v>2808300</v>
      </c>
      <c r="AC60" s="243">
        <v>38.78</v>
      </c>
      <c r="AD60" s="2">
        <f t="shared" si="0"/>
        <v>1.3900000000000006</v>
      </c>
      <c r="AE60" s="138">
        <f t="shared" si="1"/>
        <v>3.967828418230579E-2</v>
      </c>
    </row>
    <row r="61" spans="1:31" x14ac:dyDescent="0.25">
      <c r="W61" s="94">
        <v>42592</v>
      </c>
      <c r="X61" s="368">
        <v>38.07</v>
      </c>
      <c r="Y61" s="40">
        <v>38.450000000000003</v>
      </c>
      <c r="Z61" s="40">
        <v>37.28</v>
      </c>
      <c r="AA61" s="368">
        <v>37.299999999999997</v>
      </c>
      <c r="AB61" s="95">
        <v>4066600</v>
      </c>
      <c r="AC61" s="243">
        <v>37.299999999999997</v>
      </c>
      <c r="AD61" s="2">
        <f t="shared" si="0"/>
        <v>1.1700000000000017</v>
      </c>
      <c r="AE61" s="138">
        <f t="shared" si="1"/>
        <v>-1.6090741229227157E-2</v>
      </c>
    </row>
    <row r="62" spans="1:31" x14ac:dyDescent="0.25">
      <c r="W62" s="94">
        <v>42591</v>
      </c>
      <c r="X62" s="368">
        <v>39.549999999999997</v>
      </c>
      <c r="Y62" s="40">
        <v>40.590000000000003</v>
      </c>
      <c r="Z62" s="40">
        <v>37.659999999999997</v>
      </c>
      <c r="AA62" s="368">
        <v>37.909999999999997</v>
      </c>
      <c r="AB62" s="95">
        <v>10992300</v>
      </c>
      <c r="AC62" s="243">
        <v>37.909999999999997</v>
      </c>
      <c r="AD62" s="2">
        <f t="shared" si="0"/>
        <v>2.9300000000000068</v>
      </c>
      <c r="AE62" s="138">
        <f t="shared" si="1"/>
        <v>-0.11755121042830552</v>
      </c>
    </row>
    <row r="63" spans="1:31" x14ac:dyDescent="0.25">
      <c r="W63" s="94">
        <v>42590</v>
      </c>
      <c r="X63" s="368">
        <v>42.98</v>
      </c>
      <c r="Y63" s="40">
        <v>43.57</v>
      </c>
      <c r="Z63" s="40">
        <v>42.81</v>
      </c>
      <c r="AA63" s="368">
        <v>42.96</v>
      </c>
      <c r="AB63" s="95">
        <v>2551800</v>
      </c>
      <c r="AC63" s="243">
        <v>42.96</v>
      </c>
      <c r="AD63" s="2">
        <f t="shared" si="0"/>
        <v>0.75999999999999801</v>
      </c>
      <c r="AE63" s="138">
        <f t="shared" si="1"/>
        <v>-3.2482598607889157E-3</v>
      </c>
    </row>
    <row r="64" spans="1:31" x14ac:dyDescent="0.25">
      <c r="W64" s="94">
        <v>42587</v>
      </c>
      <c r="X64" s="368">
        <v>41.95</v>
      </c>
      <c r="Y64" s="40">
        <v>43.14</v>
      </c>
      <c r="Z64" s="40">
        <v>41.69</v>
      </c>
      <c r="AA64" s="368">
        <v>43.1</v>
      </c>
      <c r="AB64" s="95">
        <v>1837200</v>
      </c>
      <c r="AC64" s="243">
        <v>43.1</v>
      </c>
      <c r="AD64" s="2">
        <f t="shared" si="0"/>
        <v>1.4500000000000028</v>
      </c>
      <c r="AE64" s="138">
        <f t="shared" si="1"/>
        <v>3.456553048487776E-2</v>
      </c>
    </row>
    <row r="65" spans="23:31" x14ac:dyDescent="0.25">
      <c r="W65" s="94">
        <v>42586</v>
      </c>
      <c r="X65" s="368">
        <v>40.28</v>
      </c>
      <c r="Y65" s="40">
        <v>41.76</v>
      </c>
      <c r="Z65" s="40">
        <v>40.28</v>
      </c>
      <c r="AA65" s="368">
        <v>41.66</v>
      </c>
      <c r="AB65" s="95">
        <v>1916500</v>
      </c>
      <c r="AC65" s="243">
        <v>41.66</v>
      </c>
      <c r="AD65" s="2">
        <f t="shared" si="0"/>
        <v>1.4799999999999969</v>
      </c>
      <c r="AE65" s="138">
        <f t="shared" si="1"/>
        <v>2.9913473423980097E-2</v>
      </c>
    </row>
    <row r="66" spans="23:31" x14ac:dyDescent="0.25">
      <c r="W66" s="94">
        <v>42585</v>
      </c>
      <c r="X66" s="368">
        <v>39.75</v>
      </c>
      <c r="Y66" s="40">
        <v>40.700000000000003</v>
      </c>
      <c r="Z66" s="40">
        <v>39.54</v>
      </c>
      <c r="AA66" s="368">
        <v>40.450000000000003</v>
      </c>
      <c r="AB66" s="95">
        <v>2172800</v>
      </c>
      <c r="AC66" s="243">
        <v>40.450000000000003</v>
      </c>
      <c r="AD66" s="2">
        <f t="shared" si="0"/>
        <v>1.1600000000000037</v>
      </c>
      <c r="AE66" s="138">
        <f t="shared" si="1"/>
        <v>1.7354124748490962E-2</v>
      </c>
    </row>
    <row r="67" spans="23:31" x14ac:dyDescent="0.25">
      <c r="W67" s="94">
        <v>42584</v>
      </c>
      <c r="X67" s="368">
        <v>41.99</v>
      </c>
      <c r="Y67" s="40">
        <v>42.05</v>
      </c>
      <c r="Z67" s="40">
        <v>39.29</v>
      </c>
      <c r="AA67" s="368">
        <v>39.76</v>
      </c>
      <c r="AB67" s="95">
        <v>4858200</v>
      </c>
      <c r="AC67" s="243">
        <v>39.76</v>
      </c>
      <c r="AD67" s="2">
        <f t="shared" si="0"/>
        <v>2.759999999999998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1:F35">
    <cfRule type="expression" dxfId="439" priority="17">
      <formula>F28&gt;0</formula>
    </cfRule>
    <cfRule type="expression" dxfId="438" priority="18">
      <formula>F28&lt;0</formula>
    </cfRule>
  </conditionalFormatting>
  <conditionalFormatting sqref="F28 F31:F35">
    <cfRule type="expression" dxfId="437" priority="19">
      <formula>F28&gt;0</formula>
    </cfRule>
    <cfRule type="expression" dxfId="436" priority="20">
      <formula>F28&lt;0</formula>
    </cfRule>
  </conditionalFormatting>
  <conditionalFormatting sqref="H28 H31:H35">
    <cfRule type="expression" dxfId="435" priority="15">
      <formula>H28&gt;0</formula>
    </cfRule>
    <cfRule type="expression" dxfId="434" priority="16">
      <formula>H28&lt;0</formula>
    </cfRule>
  </conditionalFormatting>
  <conditionalFormatting sqref="F21:F27">
    <cfRule type="expression" dxfId="433" priority="13">
      <formula>F21&gt;0</formula>
    </cfRule>
    <cfRule type="expression" dxfId="432" priority="14">
      <formula>F21&lt;0</formula>
    </cfRule>
  </conditionalFormatting>
  <conditionalFormatting sqref="H21:H27">
    <cfRule type="expression" dxfId="431" priority="11">
      <formula>H21&gt;0</formula>
    </cfRule>
    <cfRule type="expression" dxfId="430" priority="12">
      <formula>H21&lt;0</formula>
    </cfRule>
  </conditionalFormatting>
  <conditionalFormatting sqref="Q8">
    <cfRule type="expression" dxfId="429" priority="7">
      <formula>Q8&gt;0</formula>
    </cfRule>
    <cfRule type="expression" dxfId="428" priority="8">
      <formula>Q8&lt;0</formula>
    </cfRule>
  </conditionalFormatting>
  <conditionalFormatting sqref="Q7">
    <cfRule type="expression" dxfId="427" priority="9">
      <formula>Q7&gt;0</formula>
    </cfRule>
    <cfRule type="expression" dxfId="426" priority="10">
      <formula>Q7&lt;0</formula>
    </cfRule>
  </conditionalFormatting>
  <conditionalFormatting sqref="F29:F30">
    <cfRule type="expression" dxfId="425" priority="5">
      <formula>F29&gt;0</formula>
    </cfRule>
    <cfRule type="expression" dxfId="424" priority="6">
      <formula>F29&lt;0</formula>
    </cfRule>
  </conditionalFormatting>
  <conditionalFormatting sqref="H29:H30">
    <cfRule type="expression" dxfId="423" priority="3">
      <formula>H29&gt;0</formula>
    </cfRule>
    <cfRule type="expression" dxfId="422" priority="4">
      <formula>H29&lt;0</formula>
    </cfRule>
  </conditionalFormatting>
  <conditionalFormatting sqref="M37">
    <cfRule type="expression" dxfId="421" priority="1">
      <formula>M37&gt;0</formula>
    </cfRule>
    <cfRule type="expression" dxfId="420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M16" sqref="M16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180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42676</v>
      </c>
      <c r="X2" s="368">
        <v>210.65</v>
      </c>
      <c r="Y2" s="40">
        <v>211.1</v>
      </c>
      <c r="Z2" s="40">
        <v>209.23</v>
      </c>
      <c r="AA2" s="368">
        <v>209.74</v>
      </c>
      <c r="AB2" s="95">
        <v>100108800</v>
      </c>
      <c r="AC2" s="243">
        <v>209.74</v>
      </c>
      <c r="AD2" s="2">
        <f>Y2-Z2</f>
        <v>1.8700000000000045</v>
      </c>
      <c r="AE2" s="138">
        <f>AC2/AC3-1</f>
        <v>-6.0186721008481658E-3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209.74</v>
      </c>
      <c r="T3" s="121"/>
      <c r="W3" s="94">
        <v>42675</v>
      </c>
      <c r="X3" s="368">
        <v>212.93</v>
      </c>
      <c r="Y3" s="40">
        <v>212.99</v>
      </c>
      <c r="Z3" s="40">
        <v>209.6</v>
      </c>
      <c r="AA3" s="368">
        <v>211.01</v>
      </c>
      <c r="AB3" s="95">
        <v>118371900</v>
      </c>
      <c r="AC3" s="243">
        <v>211.01</v>
      </c>
      <c r="AD3" s="2">
        <f>Y3-Z3</f>
        <v>3.3900000000000148</v>
      </c>
      <c r="AE3" s="138">
        <f>AC3/AC4-1</f>
        <v>-7.2453540343450085E-3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209.74</v>
      </c>
      <c r="R4" s="527">
        <v>-6.0000000000000001E-3</v>
      </c>
      <c r="T4" s="121"/>
      <c r="W4" s="94">
        <v>42674</v>
      </c>
      <c r="X4" s="368">
        <v>212.93</v>
      </c>
      <c r="Y4" s="40">
        <v>213.19</v>
      </c>
      <c r="Z4" s="40">
        <v>212.36</v>
      </c>
      <c r="AA4" s="368">
        <v>212.55</v>
      </c>
      <c r="AB4" s="95">
        <v>61272500</v>
      </c>
      <c r="AC4" s="243">
        <v>212.55</v>
      </c>
      <c r="AD4" s="2">
        <f t="shared" ref="AD4:AD67" si="0">Y4-Z4</f>
        <v>0.82999999999998408</v>
      </c>
      <c r="AE4" s="138">
        <f t="shared" ref="AE4:AE67" si="1">AC4/AC5-1</f>
        <v>4.7049967065060372E-5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42671</v>
      </c>
      <c r="X5" s="368">
        <v>213.14</v>
      </c>
      <c r="Y5" s="40">
        <v>213.93</v>
      </c>
      <c r="Z5" s="40">
        <v>211.71</v>
      </c>
      <c r="AA5" s="368">
        <v>212.54</v>
      </c>
      <c r="AB5" s="95">
        <v>140623200</v>
      </c>
      <c r="AC5" s="243">
        <v>212.54</v>
      </c>
      <c r="AD5" s="2">
        <f t="shared" si="0"/>
        <v>2.2199999999999989</v>
      </c>
      <c r="AE5" s="138">
        <f t="shared" si="1"/>
        <v>-2.9553877187221689E-3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42670</v>
      </c>
      <c r="X6" s="368">
        <v>214.58</v>
      </c>
      <c r="Y6" s="40">
        <v>214.62</v>
      </c>
      <c r="Z6" s="40">
        <v>213.08</v>
      </c>
      <c r="AA6" s="368">
        <v>213.17</v>
      </c>
      <c r="AB6" s="95">
        <v>77220200</v>
      </c>
      <c r="AC6" s="243">
        <v>213.17</v>
      </c>
      <c r="AD6" s="2">
        <f t="shared" si="0"/>
        <v>1.539999999999992</v>
      </c>
      <c r="AE6" s="138">
        <f t="shared" si="1"/>
        <v>-2.666791428838855E-3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184</v>
      </c>
      <c r="P7"/>
      <c r="Q7" s="2">
        <f>Q10+Q8</f>
        <v>160.82999999999993</v>
      </c>
      <c r="R7">
        <v>0</v>
      </c>
      <c r="T7" s="85"/>
      <c r="W7" s="94">
        <v>42669</v>
      </c>
      <c r="X7" s="368">
        <v>213.21</v>
      </c>
      <c r="Y7" s="40">
        <v>214.42</v>
      </c>
      <c r="Z7" s="40">
        <v>212.93</v>
      </c>
      <c r="AA7" s="368">
        <v>213.74</v>
      </c>
      <c r="AB7" s="95">
        <v>75705500</v>
      </c>
      <c r="AC7" s="243">
        <v>213.74</v>
      </c>
      <c r="AD7" s="2">
        <f t="shared" si="0"/>
        <v>1.4899999999999807</v>
      </c>
      <c r="AE7" s="138">
        <f t="shared" si="1"/>
        <v>-2.0077508521266774E-3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187</v>
      </c>
      <c r="Q8" s="2">
        <f>K18+M18-F18+Q2*Q4</f>
        <v>0</v>
      </c>
      <c r="W8" s="94">
        <v>42668</v>
      </c>
      <c r="X8" s="368">
        <v>214.68</v>
      </c>
      <c r="Y8" s="40">
        <v>214.98</v>
      </c>
      <c r="Z8" s="40">
        <v>213.98</v>
      </c>
      <c r="AA8" s="368">
        <v>214.17</v>
      </c>
      <c r="AB8" s="95">
        <v>66542300</v>
      </c>
      <c r="AC8" s="243">
        <v>214.17</v>
      </c>
      <c r="AD8" s="2">
        <f t="shared" si="0"/>
        <v>1</v>
      </c>
      <c r="AE8" s="138">
        <f t="shared" si="1"/>
        <v>-3.3505514449253537E-3</v>
      </c>
    </row>
    <row r="9" spans="1:40" x14ac:dyDescent="0.25">
      <c r="O9" s="11" t="s">
        <v>219</v>
      </c>
      <c r="P9"/>
      <c r="Q9" s="138">
        <f>IF(Q2=0, 0, Q8/Q6)</f>
        <v>0</v>
      </c>
      <c r="W9" s="94">
        <v>42667</v>
      </c>
      <c r="X9" s="368">
        <v>215</v>
      </c>
      <c r="Y9" s="40">
        <v>215.32</v>
      </c>
      <c r="Z9" s="40">
        <v>214.48</v>
      </c>
      <c r="AA9" s="368">
        <v>214.89</v>
      </c>
      <c r="AB9" s="95">
        <v>60146600</v>
      </c>
      <c r="AC9" s="243">
        <v>214.89</v>
      </c>
      <c r="AD9" s="2">
        <f t="shared" si="0"/>
        <v>0.84000000000000341</v>
      </c>
      <c r="AE9" s="138">
        <f t="shared" si="1"/>
        <v>4.2527339003644027E-3</v>
      </c>
      <c r="AK9" s="234"/>
      <c r="AN9" s="234"/>
    </row>
    <row r="10" spans="1:40" ht="12.75" customHeight="1" x14ac:dyDescent="0.25">
      <c r="O10" s="11" t="s">
        <v>218</v>
      </c>
      <c r="Q10" s="2">
        <f>M37</f>
        <v>160.82999999999993</v>
      </c>
      <c r="W10" s="94">
        <v>42664</v>
      </c>
      <c r="X10" s="368">
        <v>213.88</v>
      </c>
      <c r="Y10" s="40">
        <v>214.08</v>
      </c>
      <c r="Z10" s="40">
        <v>212.76</v>
      </c>
      <c r="AA10" s="368">
        <v>213.98</v>
      </c>
      <c r="AB10" s="95">
        <v>89089100</v>
      </c>
      <c r="AC10" s="243">
        <v>213.98</v>
      </c>
      <c r="AD10" s="2">
        <f t="shared" si="0"/>
        <v>1.3200000000000216</v>
      </c>
      <c r="AE10" s="138">
        <f t="shared" si="1"/>
        <v>4.6755189826064303E-4</v>
      </c>
    </row>
    <row r="11" spans="1:40" x14ac:dyDescent="0.25">
      <c r="O11" s="11" t="s">
        <v>181</v>
      </c>
      <c r="Q11" s="138">
        <v>0</v>
      </c>
      <c r="W11" s="94">
        <v>42663</v>
      </c>
      <c r="X11" s="368">
        <v>213.87</v>
      </c>
      <c r="Y11" s="40">
        <v>214.53</v>
      </c>
      <c r="Z11" s="40">
        <v>213.11</v>
      </c>
      <c r="AA11" s="368">
        <v>213.88</v>
      </c>
      <c r="AB11" s="95">
        <v>73639800</v>
      </c>
      <c r="AC11" s="243">
        <v>213.88</v>
      </c>
      <c r="AD11" s="2">
        <f t="shared" si="0"/>
        <v>1.4199999999999875</v>
      </c>
      <c r="AE11" s="138">
        <f t="shared" si="1"/>
        <v>-1.8667164457719654E-3</v>
      </c>
      <c r="AK11" s="234"/>
      <c r="AN11" s="234"/>
    </row>
    <row r="12" spans="1:40" x14ac:dyDescent="0.25">
      <c r="W12" s="94">
        <v>42662</v>
      </c>
      <c r="X12" s="368">
        <v>214.02</v>
      </c>
      <c r="Y12" s="40">
        <v>214.64</v>
      </c>
      <c r="Z12" s="40">
        <v>213.6</v>
      </c>
      <c r="AA12" s="368">
        <v>214.28</v>
      </c>
      <c r="AB12" s="95">
        <v>66519200</v>
      </c>
      <c r="AC12" s="243">
        <v>214.28</v>
      </c>
      <c r="AD12" s="2">
        <f t="shared" si="0"/>
        <v>1.039999999999992</v>
      </c>
      <c r="AE12" s="138">
        <f t="shared" si="1"/>
        <v>2.6671657854100417E-3</v>
      </c>
    </row>
    <row r="13" spans="1:40" x14ac:dyDescent="0.25">
      <c r="W13" s="94">
        <v>42661</v>
      </c>
      <c r="X13" s="368">
        <v>214.24</v>
      </c>
      <c r="Y13" s="40">
        <v>214.31</v>
      </c>
      <c r="Z13" s="40">
        <v>213.27</v>
      </c>
      <c r="AA13" s="368">
        <v>213.71</v>
      </c>
      <c r="AB13" s="95">
        <v>76869700</v>
      </c>
      <c r="AC13" s="243">
        <v>213.71</v>
      </c>
      <c r="AD13" s="2">
        <f t="shared" si="0"/>
        <v>1.039999999999992</v>
      </c>
      <c r="AE13" s="138">
        <f t="shared" si="1"/>
        <v>6.2623599208966318E-3</v>
      </c>
      <c r="AK13" s="234"/>
      <c r="AN13" s="234"/>
    </row>
    <row r="14" spans="1:40" x14ac:dyDescent="0.25">
      <c r="T14" s="84"/>
      <c r="U14" s="11"/>
      <c r="W14" s="94">
        <v>42660</v>
      </c>
      <c r="X14" s="368">
        <v>213.09</v>
      </c>
      <c r="Y14" s="40">
        <v>213.39</v>
      </c>
      <c r="Z14" s="40">
        <v>212.17</v>
      </c>
      <c r="AA14" s="368">
        <v>212.38</v>
      </c>
      <c r="AB14" s="95">
        <v>58275700</v>
      </c>
      <c r="AC14" s="243">
        <v>212.38</v>
      </c>
      <c r="AD14" s="2">
        <f t="shared" si="0"/>
        <v>1.2199999999999989</v>
      </c>
      <c r="AE14" s="138">
        <f t="shared" si="1"/>
        <v>-3.4722222222222099E-3</v>
      </c>
    </row>
    <row r="15" spans="1:40" x14ac:dyDescent="0.25">
      <c r="W15" s="94">
        <v>42657</v>
      </c>
      <c r="X15" s="368">
        <v>214.15</v>
      </c>
      <c r="Y15" s="40">
        <v>214.69</v>
      </c>
      <c r="Z15" s="40">
        <v>213.03</v>
      </c>
      <c r="AA15" s="368">
        <v>213.12</v>
      </c>
      <c r="AB15" s="95">
        <v>93346200</v>
      </c>
      <c r="AC15" s="243">
        <v>213.12</v>
      </c>
      <c r="AD15" s="2">
        <f t="shared" si="0"/>
        <v>1.6599999999999966</v>
      </c>
      <c r="AE15" s="138">
        <f t="shared" si="1"/>
        <v>5.1640768039074025E-4</v>
      </c>
      <c r="AK15" s="234"/>
      <c r="AN15" s="234"/>
    </row>
    <row r="16" spans="1:40" x14ac:dyDescent="0.25">
      <c r="W16" s="94">
        <v>42656</v>
      </c>
      <c r="X16" s="368">
        <v>212.16</v>
      </c>
      <c r="Y16" s="40">
        <v>213.59</v>
      </c>
      <c r="Z16" s="40">
        <v>211.21</v>
      </c>
      <c r="AA16" s="368">
        <v>213.01</v>
      </c>
      <c r="AB16" s="95">
        <v>101357000</v>
      </c>
      <c r="AC16" s="243">
        <v>213.01</v>
      </c>
      <c r="AD16" s="2">
        <f t="shared" si="0"/>
        <v>2.3799999999999955</v>
      </c>
      <c r="AE16" s="138">
        <f t="shared" si="1"/>
        <v>-3.2754667540125793E-3</v>
      </c>
    </row>
    <row r="17" spans="1:40" x14ac:dyDescent="0.25">
      <c r="W17" s="94">
        <v>42655</v>
      </c>
      <c r="X17" s="368">
        <v>213.59</v>
      </c>
      <c r="Y17" s="40">
        <v>214.32</v>
      </c>
      <c r="Z17" s="40">
        <v>213.01</v>
      </c>
      <c r="AA17" s="368">
        <v>213.71</v>
      </c>
      <c r="AB17" s="95">
        <v>73866100</v>
      </c>
      <c r="AC17" s="243">
        <v>213.71</v>
      </c>
      <c r="AD17" s="2">
        <f t="shared" si="0"/>
        <v>1.3100000000000023</v>
      </c>
      <c r="AE17" s="138">
        <f t="shared" si="1"/>
        <v>1.3119055428010284E-3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42654</v>
      </c>
      <c r="X18" s="368">
        <v>215.66</v>
      </c>
      <c r="Y18" s="40">
        <v>215.74</v>
      </c>
      <c r="Z18" s="40">
        <v>212.58</v>
      </c>
      <c r="AA18" s="368">
        <v>213.43</v>
      </c>
      <c r="AB18" s="95">
        <v>130367400</v>
      </c>
      <c r="AC18" s="243">
        <v>213.43</v>
      </c>
      <c r="AD18" s="2">
        <f t="shared" si="0"/>
        <v>3.1599999999999966</v>
      </c>
      <c r="AE18" s="138">
        <f t="shared" si="1"/>
        <v>-1.2629533678756411E-2</v>
      </c>
    </row>
    <row r="19" spans="1:40" x14ac:dyDescent="0.25">
      <c r="W19" s="94">
        <v>42653</v>
      </c>
      <c r="X19" s="368">
        <v>216.16</v>
      </c>
      <c r="Y19" s="40">
        <v>216.7</v>
      </c>
      <c r="Z19" s="40">
        <v>215.99</v>
      </c>
      <c r="AA19" s="368">
        <v>216.16</v>
      </c>
      <c r="AB19" s="95">
        <v>51855000</v>
      </c>
      <c r="AC19" s="243">
        <v>216.16</v>
      </c>
      <c r="AD19" s="2">
        <f t="shared" si="0"/>
        <v>0.70999999999997954</v>
      </c>
      <c r="AE19" s="138">
        <f t="shared" si="1"/>
        <v>5.2083333333332593E-3</v>
      </c>
      <c r="AK19" s="234"/>
      <c r="AN19" s="234"/>
    </row>
    <row r="20" spans="1:40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4" t="s">
        <v>65</v>
      </c>
      <c r="G20" s="229" t="s">
        <v>154</v>
      </c>
      <c r="H20" s="229" t="s">
        <v>88</v>
      </c>
      <c r="I20" s="229" t="s">
        <v>158</v>
      </c>
      <c r="W20" s="94">
        <v>42650</v>
      </c>
      <c r="X20" s="368">
        <v>216.1</v>
      </c>
      <c r="Y20" s="40">
        <v>216.3</v>
      </c>
      <c r="Z20" s="40">
        <v>214.19</v>
      </c>
      <c r="AA20" s="368">
        <v>215.04</v>
      </c>
      <c r="AB20" s="95">
        <v>89788300</v>
      </c>
      <c r="AC20" s="243">
        <v>215.04</v>
      </c>
      <c r="AD20" s="2">
        <f t="shared" si="0"/>
        <v>2.1100000000000136</v>
      </c>
      <c r="AE20" s="138">
        <f t="shared" si="1"/>
        <v>-3.4294188525350044E-3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42649</v>
      </c>
      <c r="X21" s="368">
        <v>215.37</v>
      </c>
      <c r="Y21" s="40">
        <v>216.04</v>
      </c>
      <c r="Z21" s="40">
        <v>214.74</v>
      </c>
      <c r="AA21" s="368">
        <v>215.78</v>
      </c>
      <c r="AB21" s="95">
        <v>62927400</v>
      </c>
      <c r="AC21" s="243">
        <v>215.78</v>
      </c>
      <c r="AD21" s="2">
        <f t="shared" si="0"/>
        <v>1.2999999999999829</v>
      </c>
      <c r="AE21" s="138">
        <f t="shared" si="1"/>
        <v>6.9563604322220307E-4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42648</v>
      </c>
      <c r="X22" s="368">
        <v>215.41</v>
      </c>
      <c r="Y22" s="40">
        <v>216.13</v>
      </c>
      <c r="Z22" s="40">
        <v>215.33</v>
      </c>
      <c r="AA22" s="368">
        <v>215.63</v>
      </c>
      <c r="AB22" s="95">
        <v>72816000</v>
      </c>
      <c r="AC22" s="243">
        <v>215.63</v>
      </c>
      <c r="AD22" s="2">
        <f t="shared" si="0"/>
        <v>0.79999999999998295</v>
      </c>
      <c r="AE22" s="138">
        <f t="shared" si="1"/>
        <v>4.4251909819266189E-3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42647</v>
      </c>
      <c r="X23" s="368">
        <v>215.91</v>
      </c>
      <c r="Y23" s="40">
        <v>216.17</v>
      </c>
      <c r="Z23" s="40">
        <v>213.99</v>
      </c>
      <c r="AA23" s="368">
        <v>214.68</v>
      </c>
      <c r="AB23" s="95">
        <v>119948100</v>
      </c>
      <c r="AC23" s="243">
        <v>214.68</v>
      </c>
      <c r="AD23" s="2">
        <f t="shared" si="0"/>
        <v>2.1799999999999784</v>
      </c>
      <c r="AE23" s="138">
        <f t="shared" si="1"/>
        <v>-5.0977847807952559E-3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42646</v>
      </c>
      <c r="X24" s="368">
        <v>215.82</v>
      </c>
      <c r="Y24" s="40">
        <v>216.04</v>
      </c>
      <c r="Z24" s="40">
        <v>215.04</v>
      </c>
      <c r="AA24" s="368">
        <v>215.78</v>
      </c>
      <c r="AB24" s="95">
        <v>83512100</v>
      </c>
      <c r="AC24" s="243">
        <v>215.78</v>
      </c>
      <c r="AD24" s="2">
        <f t="shared" si="0"/>
        <v>1</v>
      </c>
      <c r="AE24" s="138">
        <f t="shared" si="1"/>
        <v>-2.40406842348595E-3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42643</v>
      </c>
      <c r="X25" s="368">
        <v>215.65</v>
      </c>
      <c r="Y25" s="40">
        <v>217.12</v>
      </c>
      <c r="Z25" s="40">
        <v>215.36</v>
      </c>
      <c r="AA25" s="368">
        <v>216.3</v>
      </c>
      <c r="AB25" s="95">
        <v>117202900</v>
      </c>
      <c r="AC25" s="243">
        <v>216.3</v>
      </c>
      <c r="AD25" s="2">
        <f t="shared" si="0"/>
        <v>1.7599999999999909</v>
      </c>
      <c r="AE25" s="138">
        <f t="shared" si="1"/>
        <v>7.5461151481275301E-3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42642</v>
      </c>
      <c r="X26" s="368">
        <v>216.4</v>
      </c>
      <c r="Y26" s="40">
        <v>216.87</v>
      </c>
      <c r="Z26" s="40">
        <v>214.04</v>
      </c>
      <c r="AA26" s="368">
        <v>214.68</v>
      </c>
      <c r="AB26" s="95">
        <v>128070600</v>
      </c>
      <c r="AC26" s="243">
        <v>214.68</v>
      </c>
      <c r="AD26" s="2">
        <f t="shared" si="0"/>
        <v>2.8300000000000125</v>
      </c>
      <c r="AE26" s="138">
        <f t="shared" si="1"/>
        <v>-9.0472673559821581E-3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42641</v>
      </c>
      <c r="X27" s="368">
        <v>215.83</v>
      </c>
      <c r="Y27" s="40">
        <v>216.82</v>
      </c>
      <c r="Z27" s="40">
        <v>214.71</v>
      </c>
      <c r="AA27" s="368">
        <v>216.64</v>
      </c>
      <c r="AB27" s="95">
        <v>87411000</v>
      </c>
      <c r="AC27" s="243">
        <v>216.64</v>
      </c>
      <c r="AD27" s="2">
        <f t="shared" si="0"/>
        <v>2.1099999999999852</v>
      </c>
      <c r="AE27" s="138">
        <f t="shared" si="1"/>
        <v>4.9635849144129551E-3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42640</v>
      </c>
      <c r="X28" s="368">
        <v>214.05</v>
      </c>
      <c r="Y28" s="40">
        <v>215.68</v>
      </c>
      <c r="Z28" s="40">
        <v>213.62</v>
      </c>
      <c r="AA28" s="368">
        <v>215.57</v>
      </c>
      <c r="AB28" s="95">
        <v>78494800</v>
      </c>
      <c r="AC28" s="243">
        <v>215.57</v>
      </c>
      <c r="AD28" s="2">
        <f t="shared" si="0"/>
        <v>2.0600000000000023</v>
      </c>
      <c r="AE28" s="138">
        <f t="shared" si="1"/>
        <v>6.207991038088112E-3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42639</v>
      </c>
      <c r="X29" s="368">
        <v>215.02</v>
      </c>
      <c r="Y29" s="40">
        <v>215.23</v>
      </c>
      <c r="Z29" s="40">
        <v>214.01</v>
      </c>
      <c r="AA29" s="368">
        <v>214.24</v>
      </c>
      <c r="AB29" s="95">
        <v>89827300</v>
      </c>
      <c r="AC29" s="243">
        <v>214.24</v>
      </c>
      <c r="AD29" s="2">
        <f t="shared" si="0"/>
        <v>1.2199999999999989</v>
      </c>
      <c r="AE29" s="138">
        <f t="shared" si="1"/>
        <v>-8.1022269549516635E-3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42636</v>
      </c>
      <c r="X30" s="368">
        <v>216.72</v>
      </c>
      <c r="Y30" s="40">
        <v>216.88</v>
      </c>
      <c r="Z30" s="40">
        <v>215.88</v>
      </c>
      <c r="AA30" s="368">
        <v>215.99</v>
      </c>
      <c r="AB30" s="95">
        <v>73630900</v>
      </c>
      <c r="AC30" s="243">
        <v>215.99</v>
      </c>
      <c r="AD30" s="2">
        <f t="shared" si="0"/>
        <v>1</v>
      </c>
      <c r="AE30" s="138">
        <f t="shared" si="1"/>
        <v>-5.4793259047793974E-3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42635</v>
      </c>
      <c r="X31" s="368">
        <v>217</v>
      </c>
      <c r="Y31" s="40">
        <v>217.53</v>
      </c>
      <c r="Z31" s="40">
        <v>216.71</v>
      </c>
      <c r="AA31" s="368">
        <v>217.18</v>
      </c>
      <c r="AB31" s="95">
        <v>76678700</v>
      </c>
      <c r="AC31" s="243">
        <v>217.18</v>
      </c>
      <c r="AD31" s="2">
        <f t="shared" si="0"/>
        <v>0.81999999999999318</v>
      </c>
      <c r="AE31" s="138">
        <f t="shared" si="1"/>
        <v>6.3015475859513614E-3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42634</v>
      </c>
      <c r="X32" s="368">
        <v>214.24</v>
      </c>
      <c r="Y32" s="40">
        <v>216.03</v>
      </c>
      <c r="Z32" s="40">
        <v>213.44</v>
      </c>
      <c r="AA32" s="368">
        <v>215.82</v>
      </c>
      <c r="AB32" s="95">
        <v>110284400</v>
      </c>
      <c r="AC32" s="243">
        <v>215.82</v>
      </c>
      <c r="AD32" s="2">
        <f t="shared" si="0"/>
        <v>2.5900000000000034</v>
      </c>
      <c r="AE32" s="138">
        <f t="shared" si="1"/>
        <v>1.1245431543435602E-2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42633</v>
      </c>
      <c r="X33" s="368">
        <v>214.41</v>
      </c>
      <c r="Y33" s="40">
        <v>214.59</v>
      </c>
      <c r="Z33" s="40">
        <v>213.38</v>
      </c>
      <c r="AA33" s="368">
        <v>213.42</v>
      </c>
      <c r="AB33" s="95">
        <v>69665300</v>
      </c>
      <c r="AC33" s="243">
        <v>213.42</v>
      </c>
      <c r="AD33" s="2">
        <f t="shared" si="0"/>
        <v>1.210000000000008</v>
      </c>
      <c r="AE33" s="138">
        <f t="shared" si="1"/>
        <v>4.6858160348550726E-5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42632</v>
      </c>
      <c r="X34" s="368">
        <v>214.13</v>
      </c>
      <c r="Y34" s="40">
        <v>214.88</v>
      </c>
      <c r="Z34" s="40">
        <v>213.03</v>
      </c>
      <c r="AA34" s="368">
        <v>213.41</v>
      </c>
      <c r="AB34" s="95">
        <v>80250500</v>
      </c>
      <c r="AC34" s="243">
        <v>213.41</v>
      </c>
      <c r="AD34" s="2">
        <f t="shared" si="0"/>
        <v>1.8499999999999943</v>
      </c>
      <c r="AE34" s="138">
        <f t="shared" si="1"/>
        <v>1.8746777897549194E-4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42629</v>
      </c>
      <c r="X35" s="368">
        <v>213.48</v>
      </c>
      <c r="Y35" s="40">
        <v>213.69</v>
      </c>
      <c r="Z35" s="40">
        <v>212.57</v>
      </c>
      <c r="AA35" s="368">
        <v>213.37</v>
      </c>
      <c r="AB35" s="95">
        <v>155236400</v>
      </c>
      <c r="AC35" s="243">
        <v>213.37</v>
      </c>
      <c r="AD35" s="2">
        <f t="shared" si="0"/>
        <v>1.1200000000000045</v>
      </c>
      <c r="AE35" s="138" t="e">
        <f t="shared" si="1"/>
        <v>#DIV/0!</v>
      </c>
    </row>
    <row r="36" spans="1:31" x14ac:dyDescent="0.25">
      <c r="W36" s="94">
        <v>42629</v>
      </c>
      <c r="X36" s="368" t="s">
        <v>345</v>
      </c>
      <c r="Y36" s="40"/>
      <c r="Z36" s="40"/>
      <c r="AA36" s="368"/>
      <c r="AB36" s="95"/>
      <c r="AC36" s="243"/>
      <c r="AD36" s="2">
        <f t="shared" si="0"/>
        <v>0</v>
      </c>
      <c r="AE36" s="138">
        <f t="shared" si="1"/>
        <v>-1</v>
      </c>
    </row>
    <row r="37" spans="1:31" x14ac:dyDescent="0.25">
      <c r="L37" t="s">
        <v>218</v>
      </c>
      <c r="M37" s="2">
        <f>M55+K55-F55</f>
        <v>160.82999999999993</v>
      </c>
      <c r="W37" s="94">
        <v>42628</v>
      </c>
      <c r="X37" s="368">
        <v>212.96</v>
      </c>
      <c r="Y37" s="40">
        <v>215.73</v>
      </c>
      <c r="Z37" s="40">
        <v>212.75</v>
      </c>
      <c r="AA37" s="368">
        <v>215.28</v>
      </c>
      <c r="AB37" s="95">
        <v>134427900</v>
      </c>
      <c r="AC37" s="243">
        <v>214.2</v>
      </c>
      <c r="AD37" s="2">
        <f t="shared" si="0"/>
        <v>2.9799999999999898</v>
      </c>
      <c r="AE37" s="138">
        <f t="shared" si="1"/>
        <v>9.9962278385514747E-3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42627</v>
      </c>
      <c r="X38" s="368">
        <v>213.29</v>
      </c>
      <c r="Y38" s="40">
        <v>214.7</v>
      </c>
      <c r="Z38" s="40">
        <v>212.5</v>
      </c>
      <c r="AA38" s="368">
        <v>213.15</v>
      </c>
      <c r="AB38" s="95">
        <v>134185500</v>
      </c>
      <c r="AC38" s="243">
        <v>212.08</v>
      </c>
      <c r="AD38" s="2">
        <f t="shared" si="0"/>
        <v>2.1999999999999886</v>
      </c>
      <c r="AE38" s="138">
        <f t="shared" si="1"/>
        <v>-3.7707390648555883E-4</v>
      </c>
    </row>
    <row r="39" spans="1:31" ht="20.25" thickBot="1" x14ac:dyDescent="0.35">
      <c r="A39" s="265" t="s">
        <v>180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588" t="s">
        <v>78</v>
      </c>
      <c r="Q39" s="588"/>
      <c r="R39" s="34"/>
      <c r="T39" s="91" t="s">
        <v>113</v>
      </c>
      <c r="W39" s="94">
        <v>42626</v>
      </c>
      <c r="X39" s="368">
        <v>214.84</v>
      </c>
      <c r="Y39" s="40">
        <v>215.15</v>
      </c>
      <c r="Z39" s="40">
        <v>212.5</v>
      </c>
      <c r="AA39" s="368">
        <v>213.23</v>
      </c>
      <c r="AB39" s="95">
        <v>182828800</v>
      </c>
      <c r="AC39" s="243">
        <v>212.16</v>
      </c>
      <c r="AD39" s="2">
        <f t="shared" si="0"/>
        <v>2.6500000000000057</v>
      </c>
      <c r="AE39" s="138">
        <f t="shared" si="1"/>
        <v>-1.435540069686414E-2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230.71400000000003</v>
      </c>
      <c r="R40" s="34"/>
      <c r="T40" s="97" t="s">
        <v>98</v>
      </c>
      <c r="U40" s="129">
        <v>211.01</v>
      </c>
      <c r="W40" s="94">
        <v>42625</v>
      </c>
      <c r="X40" s="368">
        <v>212.39</v>
      </c>
      <c r="Y40" s="40">
        <v>216.81</v>
      </c>
      <c r="Z40" s="40">
        <v>212.31</v>
      </c>
      <c r="AA40" s="368">
        <v>216.34</v>
      </c>
      <c r="AB40" s="95">
        <v>168110900</v>
      </c>
      <c r="AC40" s="243">
        <v>215.25</v>
      </c>
      <c r="AD40" s="2">
        <f t="shared" si="0"/>
        <v>4.5</v>
      </c>
      <c r="AE40" s="138">
        <f t="shared" si="1"/>
        <v>1.4325432354742818E-2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228.61660000000003</v>
      </c>
      <c r="R41" s="34"/>
      <c r="T41" s="87" t="s">
        <v>99</v>
      </c>
      <c r="U41" s="130">
        <v>210.65</v>
      </c>
      <c r="W41" s="94">
        <v>42622</v>
      </c>
      <c r="X41" s="368">
        <v>216.97</v>
      </c>
      <c r="Y41" s="40">
        <v>217.03</v>
      </c>
      <c r="Z41" s="40">
        <v>213.25</v>
      </c>
      <c r="AA41" s="368">
        <v>213.28</v>
      </c>
      <c r="AB41" s="95">
        <v>221589100</v>
      </c>
      <c r="AC41" s="243">
        <v>212.21</v>
      </c>
      <c r="AD41" s="2">
        <f t="shared" si="0"/>
        <v>3.7800000000000011</v>
      </c>
      <c r="AE41" s="138">
        <f t="shared" si="1"/>
        <v>-2.3917943056897095E-2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226.51920000000001</v>
      </c>
      <c r="R42" s="34"/>
      <c r="T42" s="87" t="s">
        <v>100</v>
      </c>
      <c r="U42" s="130" t="s">
        <v>653</v>
      </c>
      <c r="W42" s="94">
        <v>42621</v>
      </c>
      <c r="X42" s="368">
        <v>218.62</v>
      </c>
      <c r="Y42" s="40">
        <v>218.94</v>
      </c>
      <c r="Z42" s="40">
        <v>218.15</v>
      </c>
      <c r="AA42" s="368">
        <v>218.51</v>
      </c>
      <c r="AB42" s="95">
        <v>74102900</v>
      </c>
      <c r="AC42" s="243">
        <v>217.41</v>
      </c>
      <c r="AD42" s="2">
        <f t="shared" si="0"/>
        <v>0.78999999999999204</v>
      </c>
      <c r="AE42" s="138">
        <f t="shared" si="1"/>
        <v>-2.2945252627231127E-3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224.42180000000002</v>
      </c>
      <c r="R43" s="83"/>
      <c r="T43" s="87" t="s">
        <v>101</v>
      </c>
      <c r="U43" s="130" t="s">
        <v>654</v>
      </c>
      <c r="W43" s="94">
        <v>42620</v>
      </c>
      <c r="X43" s="368">
        <v>218.84</v>
      </c>
      <c r="Y43" s="40">
        <v>219.22</v>
      </c>
      <c r="Z43" s="40">
        <v>218.3</v>
      </c>
      <c r="AA43" s="368">
        <v>219.01</v>
      </c>
      <c r="AB43" s="95">
        <v>76554900</v>
      </c>
      <c r="AC43" s="243">
        <v>217.91</v>
      </c>
      <c r="AD43" s="2">
        <f t="shared" si="0"/>
        <v>0.91999999999998749</v>
      </c>
      <c r="AE43" s="138">
        <f t="shared" si="1"/>
        <v>-9.1772587528127225E-5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222.32440000000003</v>
      </c>
      <c r="R44" s="83"/>
      <c r="T44" s="87" t="s">
        <v>232</v>
      </c>
      <c r="U44" s="130">
        <v>211.02</v>
      </c>
      <c r="W44" s="94">
        <v>42619</v>
      </c>
      <c r="X44" s="368">
        <v>218.7</v>
      </c>
      <c r="Y44" s="40">
        <v>219.12</v>
      </c>
      <c r="Z44" s="40">
        <v>217.86</v>
      </c>
      <c r="AA44" s="368">
        <v>219.03</v>
      </c>
      <c r="AB44" s="95">
        <v>56702100</v>
      </c>
      <c r="AC44" s="243">
        <v>217.93</v>
      </c>
      <c r="AD44" s="2">
        <f t="shared" si="0"/>
        <v>1.2599999999999909</v>
      </c>
      <c r="AE44" s="138">
        <f t="shared" si="1"/>
        <v>3.0376950338288911E-3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220.22700000000003</v>
      </c>
      <c r="R45" s="83"/>
      <c r="T45" s="87" t="s">
        <v>233</v>
      </c>
      <c r="U45" s="130" t="s">
        <v>375</v>
      </c>
      <c r="W45" s="94">
        <v>42615</v>
      </c>
      <c r="X45" s="368">
        <v>218.39</v>
      </c>
      <c r="Y45" s="40">
        <v>218.87</v>
      </c>
      <c r="Z45" s="40">
        <v>217.7</v>
      </c>
      <c r="AA45" s="368">
        <v>218.37</v>
      </c>
      <c r="AB45" s="95">
        <v>79293900</v>
      </c>
      <c r="AC45" s="243">
        <v>217.27</v>
      </c>
      <c r="AD45" s="2">
        <f t="shared" si="0"/>
        <v>1.1700000000000159</v>
      </c>
      <c r="AE45" s="138">
        <f t="shared" si="1"/>
        <v>4.4845122515024816E-3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218.12960000000001</v>
      </c>
      <c r="R46" s="83"/>
      <c r="T46" s="87" t="s">
        <v>234</v>
      </c>
      <c r="U46" s="232">
        <v>7.7399999999999997E-2</v>
      </c>
      <c r="W46" s="94">
        <v>42614</v>
      </c>
      <c r="X46" s="368">
        <v>217.37</v>
      </c>
      <c r="Y46" s="40">
        <v>217.73</v>
      </c>
      <c r="Z46" s="40">
        <v>216.03</v>
      </c>
      <c r="AA46" s="368">
        <v>217.39</v>
      </c>
      <c r="AB46" s="95">
        <v>97844200</v>
      </c>
      <c r="AC46" s="243">
        <v>216.3</v>
      </c>
      <c r="AD46" s="2">
        <f t="shared" si="0"/>
        <v>1.6999999999999886</v>
      </c>
      <c r="AE46" s="138">
        <f t="shared" si="1"/>
        <v>4.6234222571550632E-5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216.03220000000002</v>
      </c>
      <c r="R47" s="83"/>
      <c r="T47" s="87"/>
      <c r="U47" s="130"/>
      <c r="W47" s="94">
        <v>42613</v>
      </c>
      <c r="X47" s="368">
        <v>217.61</v>
      </c>
      <c r="Y47" s="40">
        <v>217.75</v>
      </c>
      <c r="Z47" s="40">
        <v>216.47</v>
      </c>
      <c r="AA47" s="368">
        <v>217.38</v>
      </c>
      <c r="AB47" s="95">
        <v>85269500</v>
      </c>
      <c r="AC47" s="243">
        <v>216.29</v>
      </c>
      <c r="AD47" s="2">
        <f t="shared" si="0"/>
        <v>1.2800000000000011</v>
      </c>
      <c r="AE47" s="138">
        <f t="shared" si="1"/>
        <v>-2.8123559243892204E-3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213.93480000000002</v>
      </c>
      <c r="R48" s="83"/>
      <c r="T48" s="87" t="s">
        <v>105</v>
      </c>
      <c r="U48" s="130" t="s">
        <v>655</v>
      </c>
      <c r="W48" s="94">
        <v>42612</v>
      </c>
      <c r="X48" s="368">
        <v>218.26</v>
      </c>
      <c r="Y48" s="40">
        <v>218.59</v>
      </c>
      <c r="Z48" s="40">
        <v>217.35</v>
      </c>
      <c r="AA48" s="368">
        <v>218</v>
      </c>
      <c r="AB48" s="95">
        <v>58114500</v>
      </c>
      <c r="AC48" s="243">
        <v>216.9</v>
      </c>
      <c r="AD48" s="2">
        <f t="shared" si="0"/>
        <v>1.2400000000000091</v>
      </c>
      <c r="AE48" s="138">
        <f t="shared" si="1"/>
        <v>-1.657000828500399E-3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211.8374</v>
      </c>
      <c r="R49" s="83"/>
      <c r="T49" s="87" t="s">
        <v>106</v>
      </c>
      <c r="U49" s="130" t="s">
        <v>309</v>
      </c>
      <c r="W49" s="94">
        <v>42611</v>
      </c>
      <c r="X49" s="368">
        <v>217.44</v>
      </c>
      <c r="Y49" s="40">
        <v>218.67</v>
      </c>
      <c r="Z49" s="40">
        <v>217.4</v>
      </c>
      <c r="AA49" s="368">
        <v>218.36</v>
      </c>
      <c r="AB49" s="95">
        <v>70502200</v>
      </c>
      <c r="AC49" s="243">
        <v>217.26</v>
      </c>
      <c r="AD49" s="2">
        <f t="shared" si="0"/>
        <v>1.2699999999999818</v>
      </c>
      <c r="AE49" s="138">
        <f t="shared" si="1"/>
        <v>4.9028677150786404E-3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209.74</v>
      </c>
      <c r="R50" s="83"/>
      <c r="T50" s="87" t="s">
        <v>107</v>
      </c>
      <c r="U50" s="131">
        <v>103330806</v>
      </c>
      <c r="W50" s="94">
        <v>42608</v>
      </c>
      <c r="X50" s="368">
        <v>217.92</v>
      </c>
      <c r="Y50" s="40">
        <v>219.12</v>
      </c>
      <c r="Z50" s="40">
        <v>216.25</v>
      </c>
      <c r="AA50" s="368">
        <v>217.29</v>
      </c>
      <c r="AB50" s="95">
        <v>122506300</v>
      </c>
      <c r="AC50" s="243">
        <v>216.2</v>
      </c>
      <c r="AD50" s="2">
        <f t="shared" si="0"/>
        <v>2.8700000000000045</v>
      </c>
      <c r="AE50" s="138">
        <f t="shared" si="1"/>
        <v>-1.8928027330226138E-3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207.64260000000002</v>
      </c>
      <c r="R51" s="83"/>
      <c r="T51" s="87" t="s">
        <v>110</v>
      </c>
      <c r="U51" s="131">
        <v>86078000</v>
      </c>
      <c r="W51" s="94">
        <v>42607</v>
      </c>
      <c r="X51" s="368">
        <v>217.4</v>
      </c>
      <c r="Y51" s="40">
        <v>218.19</v>
      </c>
      <c r="Z51" s="40">
        <v>217.22</v>
      </c>
      <c r="AA51" s="368">
        <v>217.7</v>
      </c>
      <c r="AB51" s="95">
        <v>69224800</v>
      </c>
      <c r="AC51" s="243">
        <v>216.61</v>
      </c>
      <c r="AD51" s="2">
        <f t="shared" si="0"/>
        <v>0.96999999999999886</v>
      </c>
      <c r="AE51" s="138">
        <f t="shared" si="1"/>
        <v>-6.9200959586623867E-4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205.54519999999999</v>
      </c>
      <c r="R52" s="83"/>
      <c r="T52" s="87" t="s">
        <v>235</v>
      </c>
      <c r="U52" s="130">
        <v>19</v>
      </c>
      <c r="W52" s="94">
        <v>42606</v>
      </c>
      <c r="X52" s="368">
        <v>218.8</v>
      </c>
      <c r="Y52" s="40">
        <v>218.91</v>
      </c>
      <c r="Z52" s="40">
        <v>217.36</v>
      </c>
      <c r="AA52" s="368">
        <v>217.85</v>
      </c>
      <c r="AB52" s="95">
        <v>71728900</v>
      </c>
      <c r="AC52" s="243">
        <v>216.76</v>
      </c>
      <c r="AD52" s="2">
        <f t="shared" si="0"/>
        <v>1.5499999999999829</v>
      </c>
      <c r="AE52" s="138">
        <f t="shared" si="1"/>
        <v>-5.0947812915960178E-3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203.4478</v>
      </c>
      <c r="R53" s="83"/>
      <c r="T53" s="87" t="s">
        <v>236</v>
      </c>
      <c r="U53" s="130">
        <v>2.04</v>
      </c>
      <c r="W53" s="94">
        <v>42605</v>
      </c>
      <c r="X53" s="368">
        <v>219.25</v>
      </c>
      <c r="Y53" s="40">
        <v>219.6</v>
      </c>
      <c r="Z53" s="40">
        <v>218.9</v>
      </c>
      <c r="AA53" s="368">
        <v>218.97</v>
      </c>
      <c r="AB53" s="95">
        <v>53399200</v>
      </c>
      <c r="AC53" s="243">
        <v>217.87</v>
      </c>
      <c r="AD53" s="2">
        <f t="shared" si="0"/>
        <v>0.69999999999998863</v>
      </c>
      <c r="AE53" s="138">
        <f t="shared" si="1"/>
        <v>2.0236397921169491E-3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201.35040000000001</v>
      </c>
      <c r="R54" s="83"/>
      <c r="T54" s="87"/>
      <c r="U54" s="130"/>
      <c r="W54" s="94">
        <v>42604</v>
      </c>
      <c r="X54" s="368">
        <v>218.26</v>
      </c>
      <c r="Y54" s="40">
        <v>218.8</v>
      </c>
      <c r="Z54" s="40">
        <v>217.83</v>
      </c>
      <c r="AA54" s="368">
        <v>218.53</v>
      </c>
      <c r="AB54" s="95">
        <v>61368800</v>
      </c>
      <c r="AC54" s="243">
        <v>217.43</v>
      </c>
      <c r="AD54" s="2">
        <f t="shared" si="0"/>
        <v>0.96999999999999886</v>
      </c>
      <c r="AE54" s="138">
        <f t="shared" si="1"/>
        <v>-4.5989698307491444E-5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199.25299999999999</v>
      </c>
      <c r="R55" s="83"/>
      <c r="T55" s="87"/>
      <c r="U55" s="130"/>
      <c r="W55" s="94">
        <v>42601</v>
      </c>
      <c r="X55" s="368">
        <v>218.31</v>
      </c>
      <c r="Y55" s="40">
        <v>218.75</v>
      </c>
      <c r="Z55" s="40">
        <v>217.74</v>
      </c>
      <c r="AA55" s="368">
        <v>218.54</v>
      </c>
      <c r="AB55" s="95">
        <v>75443000</v>
      </c>
      <c r="AC55" s="243">
        <v>217.44</v>
      </c>
      <c r="AD55" s="2">
        <f t="shared" si="0"/>
        <v>1.0099999999999909</v>
      </c>
      <c r="AE55" s="138">
        <f t="shared" si="1"/>
        <v>-1.4695077149154967E-3</v>
      </c>
    </row>
    <row r="56" spans="1:31" x14ac:dyDescent="0.25">
      <c r="O56" s="2"/>
      <c r="P56" s="83">
        <v>0.94</v>
      </c>
      <c r="Q56" s="83">
        <f t="shared" si="5"/>
        <v>197.15559999999999</v>
      </c>
      <c r="R56" s="83"/>
      <c r="W56" s="94">
        <v>42600</v>
      </c>
      <c r="X56" s="368">
        <v>218.34</v>
      </c>
      <c r="Y56" s="40">
        <v>218.9</v>
      </c>
      <c r="Z56" s="40">
        <v>218.21</v>
      </c>
      <c r="AA56" s="368">
        <v>218.86</v>
      </c>
      <c r="AB56" s="95">
        <v>52989300</v>
      </c>
      <c r="AC56" s="243">
        <v>217.76</v>
      </c>
      <c r="AD56" s="2">
        <f t="shared" si="0"/>
        <v>0.68999999999999773</v>
      </c>
      <c r="AE56" s="138">
        <f t="shared" si="1"/>
        <v>2.2552584342061532E-3</v>
      </c>
    </row>
    <row r="57" spans="1:31" x14ac:dyDescent="0.25">
      <c r="O57" s="2"/>
      <c r="P57" s="83">
        <v>0.93</v>
      </c>
      <c r="Q57" s="83">
        <f t="shared" si="5"/>
        <v>195.05820000000003</v>
      </c>
      <c r="R57" s="83"/>
      <c r="W57" s="94">
        <v>42599</v>
      </c>
      <c r="X57" s="368">
        <v>218</v>
      </c>
      <c r="Y57" s="40">
        <v>218.53</v>
      </c>
      <c r="Z57" s="40">
        <v>217.02</v>
      </c>
      <c r="AA57" s="368">
        <v>218.37</v>
      </c>
      <c r="AB57" s="95">
        <v>75134300</v>
      </c>
      <c r="AC57" s="243">
        <v>217.27</v>
      </c>
      <c r="AD57" s="2">
        <f t="shared" si="0"/>
        <v>1.5099999999999909</v>
      </c>
      <c r="AE57" s="138">
        <f t="shared" si="1"/>
        <v>1.8906206769344625E-3</v>
      </c>
    </row>
    <row r="58" spans="1:31" x14ac:dyDescent="0.25">
      <c r="O58" s="2"/>
      <c r="P58" s="83">
        <v>0.92</v>
      </c>
      <c r="Q58" s="83">
        <f t="shared" si="5"/>
        <v>192.96080000000001</v>
      </c>
      <c r="R58" s="83"/>
      <c r="W58" s="94">
        <v>42598</v>
      </c>
      <c r="X58" s="368">
        <v>218.6</v>
      </c>
      <c r="Y58" s="40">
        <v>218.68</v>
      </c>
      <c r="Z58" s="40">
        <v>217.96</v>
      </c>
      <c r="AA58" s="368">
        <v>217.96</v>
      </c>
      <c r="AB58" s="95">
        <v>53213600</v>
      </c>
      <c r="AC58" s="243">
        <v>216.86</v>
      </c>
      <c r="AD58" s="2">
        <f t="shared" si="0"/>
        <v>0.71999999999999886</v>
      </c>
      <c r="AE58" s="138">
        <f t="shared" si="1"/>
        <v>-5.1837240240377724E-3</v>
      </c>
    </row>
    <row r="59" spans="1:31" x14ac:dyDescent="0.25">
      <c r="O59" s="2"/>
      <c r="P59" s="83">
        <v>0.91</v>
      </c>
      <c r="Q59" s="83">
        <f t="shared" si="5"/>
        <v>190.86340000000001</v>
      </c>
      <c r="R59" s="83"/>
      <c r="W59" s="94">
        <v>42597</v>
      </c>
      <c r="X59" s="368">
        <v>218.89</v>
      </c>
      <c r="Y59" s="40">
        <v>219.5</v>
      </c>
      <c r="Z59" s="40">
        <v>218.88</v>
      </c>
      <c r="AA59" s="368">
        <v>219.09</v>
      </c>
      <c r="AB59" s="95">
        <v>49813500</v>
      </c>
      <c r="AC59" s="243">
        <v>217.99</v>
      </c>
      <c r="AD59" s="2">
        <f t="shared" si="0"/>
        <v>0.62000000000000455</v>
      </c>
      <c r="AE59" s="138">
        <f t="shared" si="1"/>
        <v>2.8984173721016138E-3</v>
      </c>
    </row>
    <row r="60" spans="1:31" x14ac:dyDescent="0.25">
      <c r="O60" s="2"/>
      <c r="P60" s="83">
        <v>0.9</v>
      </c>
      <c r="Q60" s="83">
        <f t="shared" si="5"/>
        <v>188.76600000000002</v>
      </c>
      <c r="R60" s="83"/>
      <c r="W60" s="94">
        <v>42594</v>
      </c>
      <c r="X60" s="368">
        <v>218.29</v>
      </c>
      <c r="Y60" s="40">
        <v>218.71</v>
      </c>
      <c r="Z60" s="40">
        <v>217.99</v>
      </c>
      <c r="AA60" s="368">
        <v>218.46</v>
      </c>
      <c r="AB60" s="95">
        <v>61313500</v>
      </c>
      <c r="AC60" s="243">
        <v>217.36</v>
      </c>
      <c r="AD60" s="2">
        <f t="shared" si="0"/>
        <v>0.71999999999999886</v>
      </c>
      <c r="AE60" s="138">
        <f t="shared" si="1"/>
        <v>-8.7336244541480479E-4</v>
      </c>
    </row>
    <row r="61" spans="1:31" x14ac:dyDescent="0.25">
      <c r="W61" s="94">
        <v>42593</v>
      </c>
      <c r="X61" s="368">
        <v>218.26</v>
      </c>
      <c r="Y61" s="40">
        <v>218.94</v>
      </c>
      <c r="Z61" s="40">
        <v>217.95</v>
      </c>
      <c r="AA61" s="368">
        <v>218.65</v>
      </c>
      <c r="AB61" s="95">
        <v>72504300</v>
      </c>
      <c r="AC61" s="243">
        <v>217.55</v>
      </c>
      <c r="AD61" s="2">
        <f t="shared" si="0"/>
        <v>0.99000000000000909</v>
      </c>
      <c r="AE61" s="138">
        <f t="shared" si="1"/>
        <v>4.617871161394671E-3</v>
      </c>
    </row>
    <row r="62" spans="1:31" x14ac:dyDescent="0.25">
      <c r="W62" s="94">
        <v>42592</v>
      </c>
      <c r="X62" s="368">
        <v>218.31</v>
      </c>
      <c r="Y62" s="40">
        <v>218.4</v>
      </c>
      <c r="Z62" s="40">
        <v>217.23</v>
      </c>
      <c r="AA62" s="368">
        <v>217.64</v>
      </c>
      <c r="AB62" s="95">
        <v>57941100</v>
      </c>
      <c r="AC62" s="243">
        <v>216.55</v>
      </c>
      <c r="AD62" s="2">
        <f t="shared" si="0"/>
        <v>1.1700000000000159</v>
      </c>
      <c r="AE62" s="138">
        <f t="shared" si="1"/>
        <v>-2.4414962225907111E-3</v>
      </c>
    </row>
    <row r="63" spans="1:31" x14ac:dyDescent="0.25">
      <c r="W63" s="94">
        <v>42591</v>
      </c>
      <c r="X63" s="368">
        <v>218.13</v>
      </c>
      <c r="Y63" s="40">
        <v>218.76</v>
      </c>
      <c r="Z63" s="40">
        <v>217.8</v>
      </c>
      <c r="AA63" s="368">
        <v>218.18</v>
      </c>
      <c r="AB63" s="95">
        <v>51251700</v>
      </c>
      <c r="AC63" s="243">
        <v>217.08</v>
      </c>
      <c r="AD63" s="2">
        <f t="shared" si="0"/>
        <v>0.95999999999997954</v>
      </c>
      <c r="AE63" s="138">
        <f t="shared" si="1"/>
        <v>5.9921640931093201E-4</v>
      </c>
    </row>
    <row r="64" spans="1:31" x14ac:dyDescent="0.25">
      <c r="W64" s="94">
        <v>42590</v>
      </c>
      <c r="X64" s="368">
        <v>218.4</v>
      </c>
      <c r="Y64" s="40">
        <v>218.52</v>
      </c>
      <c r="Z64" s="40">
        <v>217.74</v>
      </c>
      <c r="AA64" s="368">
        <v>218.05</v>
      </c>
      <c r="AB64" s="95">
        <v>39906500</v>
      </c>
      <c r="AC64" s="243">
        <v>216.95</v>
      </c>
      <c r="AD64" s="2">
        <f t="shared" si="0"/>
        <v>0.78000000000000114</v>
      </c>
      <c r="AE64" s="138">
        <f t="shared" si="1"/>
        <v>-5.9885756403177393E-4</v>
      </c>
    </row>
    <row r="65" spans="23:31" x14ac:dyDescent="0.25">
      <c r="W65" s="94">
        <v>42587</v>
      </c>
      <c r="X65" s="368">
        <v>216.41</v>
      </c>
      <c r="Y65" s="40">
        <v>218.23</v>
      </c>
      <c r="Z65" s="40">
        <v>216.41</v>
      </c>
      <c r="AA65" s="368">
        <v>218.18</v>
      </c>
      <c r="AB65" s="95">
        <v>71892200</v>
      </c>
      <c r="AC65" s="243">
        <v>217.08</v>
      </c>
      <c r="AD65" s="2">
        <f t="shared" si="0"/>
        <v>1.8199999999999932</v>
      </c>
      <c r="AE65" s="138">
        <f t="shared" si="1"/>
        <v>8.173880735649286E-3</v>
      </c>
    </row>
    <row r="66" spans="23:31" x14ac:dyDescent="0.25">
      <c r="W66" s="94">
        <v>42586</v>
      </c>
      <c r="X66" s="368">
        <v>216.31</v>
      </c>
      <c r="Y66" s="40">
        <v>216.78</v>
      </c>
      <c r="Z66" s="40">
        <v>214.25</v>
      </c>
      <c r="AA66" s="368">
        <v>216.41</v>
      </c>
      <c r="AB66" s="95">
        <v>46585500</v>
      </c>
      <c r="AC66" s="243">
        <v>215.32</v>
      </c>
      <c r="AD66" s="2">
        <f t="shared" si="0"/>
        <v>2.5300000000000011</v>
      </c>
      <c r="AE66" s="138">
        <f t="shared" si="1"/>
        <v>1.0693198196103371E-3</v>
      </c>
    </row>
    <row r="67" spans="23:31" x14ac:dyDescent="0.25">
      <c r="W67" s="94">
        <v>42585</v>
      </c>
      <c r="X67" s="368">
        <v>215.48</v>
      </c>
      <c r="Y67" s="40">
        <v>216.25</v>
      </c>
      <c r="Z67" s="40">
        <v>215.13</v>
      </c>
      <c r="AA67" s="368">
        <v>216.18</v>
      </c>
      <c r="AB67" s="95">
        <v>53993600</v>
      </c>
      <c r="AC67" s="243">
        <v>215.09</v>
      </c>
      <c r="AD67" s="2">
        <f t="shared" si="0"/>
        <v>1.1200000000000045</v>
      </c>
      <c r="AE67" s="138">
        <f t="shared" si="1"/>
        <v>2.8908472047373124E-3</v>
      </c>
    </row>
    <row r="68" spans="23:31" x14ac:dyDescent="0.25">
      <c r="W68" s="94">
        <v>42584</v>
      </c>
      <c r="X68" s="10">
        <v>216.65</v>
      </c>
      <c r="Y68" s="40">
        <v>216.83</v>
      </c>
      <c r="Z68" s="40">
        <v>214.57</v>
      </c>
      <c r="AA68" s="10">
        <v>215.55</v>
      </c>
      <c r="AB68" s="95">
        <v>92295500</v>
      </c>
      <c r="AC68" s="243">
        <v>214.47</v>
      </c>
      <c r="AD68" s="2">
        <f>Y68-Z68</f>
        <v>2.2600000000000193</v>
      </c>
      <c r="AE68" s="138" t="e">
        <f>AC68/AC69-1</f>
        <v>#DIV/0!</v>
      </c>
    </row>
    <row r="69" spans="23:31" x14ac:dyDescent="0.25">
      <c r="W69" s="215" t="s">
        <v>121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19" priority="19">
      <formula>F25&gt;0</formula>
    </cfRule>
    <cfRule type="expression" dxfId="418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17" priority="11">
      <formula>F28&gt;0</formula>
    </cfRule>
    <cfRule type="expression" dxfId="416" priority="12">
      <formula>F28&lt;0</formula>
    </cfRule>
  </conditionalFormatting>
  <conditionalFormatting sqref="F28:F35">
    <cfRule type="expression" dxfId="415" priority="13">
      <formula>F28&gt;0</formula>
    </cfRule>
    <cfRule type="expression" dxfId="414" priority="14">
      <formula>F28&lt;0</formula>
    </cfRule>
  </conditionalFormatting>
  <conditionalFormatting sqref="H25:H35">
    <cfRule type="expression" dxfId="413" priority="9">
      <formula>H25&gt;0</formula>
    </cfRule>
    <cfRule type="expression" dxfId="412" priority="10">
      <formula>H25&lt;0</formula>
    </cfRule>
  </conditionalFormatting>
  <conditionalFormatting sqref="F21:F24">
    <cfRule type="expression" dxfId="411" priority="7">
      <formula>F21&gt;0</formula>
    </cfRule>
    <cfRule type="expression" dxfId="410" priority="8">
      <formula>F21&lt;0</formula>
    </cfRule>
  </conditionalFormatting>
  <conditionalFormatting sqref="H21:H24">
    <cfRule type="expression" dxfId="409" priority="5">
      <formula>H21&gt;0</formula>
    </cfRule>
    <cfRule type="expression" dxfId="408" priority="6">
      <formula>H21&lt;0</formula>
    </cfRule>
  </conditionalFormatting>
  <conditionalFormatting sqref="Q8">
    <cfRule type="expression" dxfId="407" priority="1">
      <formula>Q8&gt;0</formula>
    </cfRule>
    <cfRule type="expression" dxfId="406" priority="2">
      <formula>Q8&lt;0</formula>
    </cfRule>
  </conditionalFormatting>
  <conditionalFormatting sqref="Q7">
    <cfRule type="expression" dxfId="405" priority="3">
      <formula>Q7&gt;0</formula>
    </cfRule>
    <cfRule type="expression" dxfId="40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x14ac:dyDescent="0.25">
      <c r="A2" s="6" t="s">
        <v>175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42676</v>
      </c>
      <c r="X2" s="10">
        <v>75.650000000000006</v>
      </c>
      <c r="Y2" s="40">
        <v>76.37</v>
      </c>
      <c r="Z2" s="40">
        <v>74.819999999999993</v>
      </c>
      <c r="AA2" s="10">
        <v>75.03</v>
      </c>
      <c r="AB2" s="95">
        <v>1670300</v>
      </c>
      <c r="AC2" s="243">
        <v>75.03</v>
      </c>
      <c r="AD2" s="2">
        <f>Y2-Z2</f>
        <v>1.5500000000000114</v>
      </c>
      <c r="AE2" s="138">
        <f>AC2/AC3-1</f>
        <v>-1.0288880094974306E-2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75.03</v>
      </c>
      <c r="T3" s="121"/>
      <c r="W3" s="94">
        <v>42675</v>
      </c>
      <c r="X3" s="10">
        <v>76.92</v>
      </c>
      <c r="Y3" s="40">
        <v>77.760000000000005</v>
      </c>
      <c r="Z3" s="40">
        <v>74.760000000000005</v>
      </c>
      <c r="AA3" s="10">
        <v>75.81</v>
      </c>
      <c r="AB3" s="95">
        <v>1782700</v>
      </c>
      <c r="AC3" s="243">
        <v>75.81</v>
      </c>
      <c r="AD3" s="2">
        <f>Y3-Z3</f>
        <v>3</v>
      </c>
      <c r="AE3" s="138">
        <f>AC3/AC4-1</f>
        <v>-1.4686768910839532E-2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75.03</v>
      </c>
      <c r="R4" s="527">
        <v>-1.03E-2</v>
      </c>
      <c r="T4" s="121"/>
      <c r="W4" s="94">
        <v>42674</v>
      </c>
      <c r="X4" s="10">
        <v>75.95</v>
      </c>
      <c r="Y4" s="40">
        <v>77.260000000000005</v>
      </c>
      <c r="Z4" s="40">
        <v>75.02</v>
      </c>
      <c r="AA4" s="10">
        <v>76.94</v>
      </c>
      <c r="AB4" s="95">
        <v>1886400</v>
      </c>
      <c r="AC4" s="243">
        <v>76.94</v>
      </c>
      <c r="AD4" s="2">
        <f t="shared" ref="AD4:AD67" si="0">Y4-Z4</f>
        <v>2.2400000000000091</v>
      </c>
      <c r="AE4" s="138">
        <f t="shared" ref="AE4:AE67" si="1">AC4/AC5-1</f>
        <v>1.6111991547807625E-2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42671</v>
      </c>
      <c r="X5" s="10">
        <v>77.91</v>
      </c>
      <c r="Y5" s="40">
        <v>77.989999999999995</v>
      </c>
      <c r="Z5" s="40">
        <v>75.62</v>
      </c>
      <c r="AA5" s="10">
        <v>75.72</v>
      </c>
      <c r="AB5" s="95">
        <v>2715600</v>
      </c>
      <c r="AC5" s="243">
        <v>75.72</v>
      </c>
      <c r="AD5" s="2">
        <f t="shared" si="0"/>
        <v>2.3699999999999903</v>
      </c>
      <c r="AE5" s="138">
        <f t="shared" si="1"/>
        <v>-1.9932694796790162E-2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42670</v>
      </c>
      <c r="X6" s="10">
        <v>78.180000000000007</v>
      </c>
      <c r="Y6" s="40">
        <v>78.58</v>
      </c>
      <c r="Z6" s="40">
        <v>77.05</v>
      </c>
      <c r="AA6" s="10">
        <v>77.260000000000005</v>
      </c>
      <c r="AB6" s="95">
        <v>1460700</v>
      </c>
      <c r="AC6" s="243">
        <v>77.260000000000005</v>
      </c>
      <c r="AD6" s="2">
        <f t="shared" si="0"/>
        <v>1.5300000000000011</v>
      </c>
      <c r="AE6" s="138">
        <f t="shared" si="1"/>
        <v>-3.6110394635027188E-3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184</v>
      </c>
      <c r="P7"/>
      <c r="Q7" s="2">
        <f>Q10+Q8</f>
        <v>1368.8999999999978</v>
      </c>
      <c r="R7">
        <v>0</v>
      </c>
      <c r="T7" s="85"/>
      <c r="W7" s="94">
        <v>42669</v>
      </c>
      <c r="X7" s="10">
        <v>77.44</v>
      </c>
      <c r="Y7" s="40">
        <v>78.69</v>
      </c>
      <c r="Z7" s="40">
        <v>77.19</v>
      </c>
      <c r="AA7" s="10">
        <v>77.540000000000006</v>
      </c>
      <c r="AB7" s="95">
        <v>2190400</v>
      </c>
      <c r="AC7" s="243">
        <v>77.540000000000006</v>
      </c>
      <c r="AD7" s="2">
        <f t="shared" si="0"/>
        <v>1.5</v>
      </c>
      <c r="AE7" s="138">
        <f t="shared" si="1"/>
        <v>-6.9159836065573188E-3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Q8" s="2">
        <f>K18+M18-F18+Q2*Q4</f>
        <v>0</v>
      </c>
      <c r="W8" s="94">
        <v>42668</v>
      </c>
      <c r="X8" s="10">
        <v>78.180000000000007</v>
      </c>
      <c r="Y8" s="40">
        <v>79.14</v>
      </c>
      <c r="Z8" s="40">
        <v>77.91</v>
      </c>
      <c r="AA8" s="10">
        <v>78.08</v>
      </c>
      <c r="AB8" s="95">
        <v>1669600</v>
      </c>
      <c r="AC8" s="243">
        <v>78.08</v>
      </c>
      <c r="AD8" s="2">
        <f t="shared" si="0"/>
        <v>1.230000000000004</v>
      </c>
      <c r="AE8" s="138">
        <f t="shared" si="1"/>
        <v>-5.2235953624665266E-3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219</v>
      </c>
      <c r="P9"/>
      <c r="Q9" s="138">
        <f>IF(Q2=0, 0, Q8/Q6)</f>
        <v>0</v>
      </c>
      <c r="W9" s="94">
        <v>42667</v>
      </c>
      <c r="X9" s="10">
        <v>78.010000000000005</v>
      </c>
      <c r="Y9" s="40">
        <v>79.19</v>
      </c>
      <c r="Z9" s="40">
        <v>78.010000000000005</v>
      </c>
      <c r="AA9" s="10">
        <v>78.489999999999995</v>
      </c>
      <c r="AB9" s="95">
        <v>1728000</v>
      </c>
      <c r="AC9" s="243">
        <v>78.489999999999995</v>
      </c>
      <c r="AD9" s="2">
        <f t="shared" si="0"/>
        <v>1.1799999999999926</v>
      </c>
      <c r="AE9" s="138">
        <f t="shared" si="1"/>
        <v>1.3166386988511691E-2</v>
      </c>
      <c r="AK9" s="234"/>
      <c r="AN9" s="234"/>
    </row>
    <row r="10" spans="1:40" ht="12.75" customHeight="1" x14ac:dyDescent="0.25">
      <c r="H10" s="72"/>
      <c r="O10" s="11" t="s">
        <v>218</v>
      </c>
      <c r="Q10" s="2">
        <f>M48+M61</f>
        <v>1368.8999999999978</v>
      </c>
      <c r="W10" s="94">
        <v>42664</v>
      </c>
      <c r="X10" s="10">
        <v>77.75</v>
      </c>
      <c r="Y10" s="40">
        <v>78.09</v>
      </c>
      <c r="Z10" s="40">
        <v>76.87</v>
      </c>
      <c r="AA10" s="10">
        <v>77.47</v>
      </c>
      <c r="AB10" s="95">
        <v>1900500</v>
      </c>
      <c r="AC10" s="243">
        <v>77.47</v>
      </c>
      <c r="AD10" s="2">
        <f t="shared" si="0"/>
        <v>1.2199999999999989</v>
      </c>
      <c r="AE10" s="138">
        <f t="shared" si="1"/>
        <v>-7.9395569215009454E-3</v>
      </c>
    </row>
    <row r="11" spans="1:40" x14ac:dyDescent="0.25">
      <c r="H11" s="72"/>
      <c r="O11" s="11" t="s">
        <v>181</v>
      </c>
      <c r="Q11" s="138">
        <f>VALUE(TRIM(CLEAN(MID(U55, FIND("(", U55)+1, 5))))</f>
        <v>1.4800000000000001E-2</v>
      </c>
      <c r="W11" s="94">
        <v>42663</v>
      </c>
      <c r="X11" s="10">
        <v>77.72</v>
      </c>
      <c r="Y11" s="40">
        <v>78.5</v>
      </c>
      <c r="Z11" s="40">
        <v>77.05</v>
      </c>
      <c r="AA11" s="10">
        <v>78.09</v>
      </c>
      <c r="AB11" s="95">
        <v>1264700</v>
      </c>
      <c r="AC11" s="243">
        <v>78.09</v>
      </c>
      <c r="AD11" s="2">
        <f t="shared" si="0"/>
        <v>1.4500000000000028</v>
      </c>
      <c r="AE11" s="138">
        <f t="shared" si="1"/>
        <v>2.3103581055063938E-3</v>
      </c>
      <c r="AK11" s="234"/>
      <c r="AN11" s="234"/>
    </row>
    <row r="12" spans="1:40" x14ac:dyDescent="0.25">
      <c r="H12" s="72"/>
      <c r="W12" s="94">
        <v>42662</v>
      </c>
      <c r="X12" s="10">
        <v>77.19</v>
      </c>
      <c r="Y12" s="40">
        <v>78.03</v>
      </c>
      <c r="Z12" s="40">
        <v>76.77</v>
      </c>
      <c r="AA12" s="10">
        <v>77.91</v>
      </c>
      <c r="AB12" s="95">
        <v>1071900</v>
      </c>
      <c r="AC12" s="243">
        <v>77.91</v>
      </c>
      <c r="AD12" s="2">
        <f t="shared" si="0"/>
        <v>1.2600000000000051</v>
      </c>
      <c r="AE12" s="138">
        <f t="shared" si="1"/>
        <v>3.3483580167417148E-3</v>
      </c>
    </row>
    <row r="13" spans="1:40" x14ac:dyDescent="0.25">
      <c r="H13" s="72"/>
      <c r="W13" s="94">
        <v>42661</v>
      </c>
      <c r="X13" s="10">
        <v>78.099999999999994</v>
      </c>
      <c r="Y13" s="40">
        <v>78.37</v>
      </c>
      <c r="Z13" s="40">
        <v>77.53</v>
      </c>
      <c r="AA13" s="10">
        <v>77.650000000000006</v>
      </c>
      <c r="AB13" s="95">
        <v>1112200</v>
      </c>
      <c r="AC13" s="243">
        <v>77.650000000000006</v>
      </c>
      <c r="AD13" s="2">
        <f t="shared" si="0"/>
        <v>0.84000000000000341</v>
      </c>
      <c r="AE13" s="138">
        <f t="shared" si="1"/>
        <v>1.2385919165580184E-2</v>
      </c>
      <c r="AK13" s="234"/>
      <c r="AN13" s="234"/>
    </row>
    <row r="14" spans="1:40" x14ac:dyDescent="0.25">
      <c r="H14" s="72"/>
      <c r="T14" s="84"/>
      <c r="U14" s="11"/>
      <c r="W14" s="94">
        <v>42660</v>
      </c>
      <c r="X14" s="10">
        <v>77.63</v>
      </c>
      <c r="Y14" s="40">
        <v>78.14</v>
      </c>
      <c r="Z14" s="40">
        <v>76.48</v>
      </c>
      <c r="AA14" s="10">
        <v>76.7</v>
      </c>
      <c r="AB14" s="95">
        <v>1726900</v>
      </c>
      <c r="AC14" s="243">
        <v>76.7</v>
      </c>
      <c r="AD14" s="2">
        <f t="shared" si="0"/>
        <v>1.6599999999999966</v>
      </c>
      <c r="AE14" s="138">
        <f t="shared" si="1"/>
        <v>-1.1979904676027164E-2</v>
      </c>
    </row>
    <row r="15" spans="1:40" x14ac:dyDescent="0.25">
      <c r="H15" s="72"/>
      <c r="W15" s="94">
        <v>42657</v>
      </c>
      <c r="X15" s="10">
        <v>77.86</v>
      </c>
      <c r="Y15" s="40">
        <v>79.489999999999995</v>
      </c>
      <c r="Z15" s="40">
        <v>77.44</v>
      </c>
      <c r="AA15" s="10">
        <v>77.63</v>
      </c>
      <c r="AB15" s="95">
        <v>2067900</v>
      </c>
      <c r="AC15" s="243">
        <v>77.63</v>
      </c>
      <c r="AD15" s="2">
        <f t="shared" si="0"/>
        <v>2.0499999999999972</v>
      </c>
      <c r="AE15" s="138">
        <f t="shared" si="1"/>
        <v>2.8420100762174272E-3</v>
      </c>
      <c r="AK15" s="234"/>
      <c r="AN15" s="234"/>
    </row>
    <row r="16" spans="1:40" x14ac:dyDescent="0.25">
      <c r="H16" s="72"/>
      <c r="W16" s="94">
        <v>42656</v>
      </c>
      <c r="X16" s="10">
        <v>77.98</v>
      </c>
      <c r="Y16" s="40">
        <v>78.03</v>
      </c>
      <c r="Z16" s="40">
        <v>76.2</v>
      </c>
      <c r="AA16" s="10">
        <v>77.41</v>
      </c>
      <c r="AB16" s="95">
        <v>2204700</v>
      </c>
      <c r="AC16" s="243">
        <v>77.41</v>
      </c>
      <c r="AD16" s="2">
        <f t="shared" si="0"/>
        <v>1.8299999999999983</v>
      </c>
      <c r="AE16" s="138">
        <f t="shared" si="1"/>
        <v>-1.7888860695254971E-2</v>
      </c>
    </row>
    <row r="17" spans="1:40" x14ac:dyDescent="0.25">
      <c r="H17" s="72"/>
      <c r="W17" s="94">
        <v>42655</v>
      </c>
      <c r="X17" s="10">
        <v>79.459999999999994</v>
      </c>
      <c r="Y17" s="40">
        <v>79.510000000000005</v>
      </c>
      <c r="Z17" s="40">
        <v>78.150000000000006</v>
      </c>
      <c r="AA17" s="10">
        <v>78.819999999999993</v>
      </c>
      <c r="AB17" s="95">
        <v>2056100</v>
      </c>
      <c r="AC17" s="243">
        <v>78.819999999999993</v>
      </c>
      <c r="AD17" s="2">
        <f t="shared" si="0"/>
        <v>1.3599999999999994</v>
      </c>
      <c r="AE17" s="138">
        <f t="shared" si="1"/>
        <v>-7.6797179906837876E-3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42654</v>
      </c>
      <c r="X18" s="10">
        <v>80.709999999999994</v>
      </c>
      <c r="Y18" s="40">
        <v>82.28</v>
      </c>
      <c r="Z18" s="40">
        <v>78.66</v>
      </c>
      <c r="AA18" s="10">
        <v>79.430000000000007</v>
      </c>
      <c r="AB18" s="95">
        <v>5012700</v>
      </c>
      <c r="AC18" s="243">
        <v>79.430000000000007</v>
      </c>
      <c r="AD18" s="2">
        <f t="shared" si="0"/>
        <v>3.6200000000000045</v>
      </c>
      <c r="AE18" s="138">
        <f t="shared" si="1"/>
        <v>-8.9831565814098013E-3</v>
      </c>
    </row>
    <row r="19" spans="1:40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42653</v>
      </c>
      <c r="X19" s="10">
        <v>79.78</v>
      </c>
      <c r="Y19" s="40">
        <v>81.19</v>
      </c>
      <c r="Z19" s="40">
        <v>79.61</v>
      </c>
      <c r="AA19" s="10">
        <v>80.150000000000006</v>
      </c>
      <c r="AB19" s="95">
        <v>2327500</v>
      </c>
      <c r="AC19" s="243">
        <v>80.150000000000006</v>
      </c>
      <c r="AD19" s="2">
        <f t="shared" si="0"/>
        <v>1.5799999999999983</v>
      </c>
      <c r="AE19" s="138">
        <f t="shared" si="1"/>
        <v>9.8273907017765172E-3</v>
      </c>
      <c r="AK19" s="234"/>
      <c r="AN19" s="234"/>
    </row>
    <row r="20" spans="1:40" x14ac:dyDescent="0.25">
      <c r="W20" s="94">
        <v>42650</v>
      </c>
      <c r="X20" s="10">
        <v>79.36</v>
      </c>
      <c r="Y20" s="40">
        <v>79.569999999999993</v>
      </c>
      <c r="Z20" s="40">
        <v>77.63</v>
      </c>
      <c r="AA20" s="10">
        <v>79.37</v>
      </c>
      <c r="AB20" s="95">
        <v>2984800</v>
      </c>
      <c r="AC20" s="243">
        <v>79.37</v>
      </c>
      <c r="AD20" s="2">
        <f t="shared" si="0"/>
        <v>1.9399999999999977</v>
      </c>
      <c r="AE20" s="138">
        <f t="shared" si="1"/>
        <v>3.7811948575749987E-4</v>
      </c>
    </row>
    <row r="21" spans="1:40" x14ac:dyDescent="0.25">
      <c r="W21" s="94">
        <v>42649</v>
      </c>
      <c r="X21" s="10">
        <v>78.180000000000007</v>
      </c>
      <c r="Y21" s="40">
        <v>79.42</v>
      </c>
      <c r="Z21" s="40">
        <v>77.709999999999994</v>
      </c>
      <c r="AA21" s="10">
        <v>79.34</v>
      </c>
      <c r="AB21" s="95">
        <v>2603900</v>
      </c>
      <c r="AC21" s="243">
        <v>79.34</v>
      </c>
      <c r="AD21" s="2">
        <f t="shared" si="0"/>
        <v>1.710000000000008</v>
      </c>
      <c r="AE21" s="138">
        <f t="shared" si="1"/>
        <v>2.0450160771704251E-2</v>
      </c>
      <c r="AK21" s="234"/>
      <c r="AN21" s="234"/>
    </row>
    <row r="22" spans="1:40" x14ac:dyDescent="0.25">
      <c r="B22" s="191" t="s">
        <v>114</v>
      </c>
      <c r="C22" s="191" t="s">
        <v>149</v>
      </c>
      <c r="D22" s="192" t="s">
        <v>148</v>
      </c>
      <c r="E22" s="194" t="s">
        <v>150</v>
      </c>
      <c r="F22" s="194" t="s">
        <v>65</v>
      </c>
      <c r="G22" s="229" t="s">
        <v>154</v>
      </c>
      <c r="H22" s="229" t="s">
        <v>88</v>
      </c>
      <c r="I22" s="229" t="s">
        <v>158</v>
      </c>
      <c r="W22" s="94">
        <v>42648</v>
      </c>
      <c r="X22" s="10">
        <v>77.150000000000006</v>
      </c>
      <c r="Y22" s="40">
        <v>78.19</v>
      </c>
      <c r="Z22" s="40">
        <v>76.81</v>
      </c>
      <c r="AA22" s="10">
        <v>77.75</v>
      </c>
      <c r="AB22" s="95">
        <v>2111300</v>
      </c>
      <c r="AC22" s="243">
        <v>77.75</v>
      </c>
      <c r="AD22" s="2">
        <f t="shared" si="0"/>
        <v>1.3799999999999955</v>
      </c>
      <c r="AE22" s="138">
        <f t="shared" si="1"/>
        <v>1.5145580362971645E-2</v>
      </c>
    </row>
    <row r="23" spans="1:40" x14ac:dyDescent="0.25">
      <c r="B23" s="193">
        <v>42546</v>
      </c>
      <c r="C23" s="455">
        <v>60</v>
      </c>
      <c r="D23" s="457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42647</v>
      </c>
      <c r="X23" s="10">
        <v>75.400000000000006</v>
      </c>
      <c r="Y23" s="40">
        <v>77.17</v>
      </c>
      <c r="Z23" s="40">
        <v>75.400000000000006</v>
      </c>
      <c r="AA23" s="10">
        <v>76.59</v>
      </c>
      <c r="AB23" s="95">
        <v>2962000</v>
      </c>
      <c r="AC23" s="243">
        <v>76.59</v>
      </c>
      <c r="AD23" s="2">
        <f t="shared" si="0"/>
        <v>1.769999999999996</v>
      </c>
      <c r="AE23" s="138">
        <f t="shared" si="1"/>
        <v>1.6726403823178027E-2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42646</v>
      </c>
      <c r="X24" s="10">
        <v>75.760000000000005</v>
      </c>
      <c r="Y24" s="40">
        <v>76.77</v>
      </c>
      <c r="Z24" s="40">
        <v>75.16</v>
      </c>
      <c r="AA24" s="10">
        <v>75.33</v>
      </c>
      <c r="AB24" s="95">
        <v>2286000</v>
      </c>
      <c r="AC24" s="243">
        <v>75.33</v>
      </c>
      <c r="AD24" s="2">
        <f t="shared" si="0"/>
        <v>1.6099999999999994</v>
      </c>
      <c r="AE24" s="138">
        <f t="shared" si="1"/>
        <v>-1.0638297872340496E-2</v>
      </c>
    </row>
    <row r="25" spans="1:40" x14ac:dyDescent="0.25">
      <c r="B25" s="193">
        <v>42549</v>
      </c>
      <c r="C25" s="468">
        <v>120</v>
      </c>
      <c r="D25" s="479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42643</v>
      </c>
      <c r="X25" s="10">
        <v>73.91</v>
      </c>
      <c r="Y25" s="40">
        <v>76.319999999999993</v>
      </c>
      <c r="Z25" s="40">
        <v>73.88</v>
      </c>
      <c r="AA25" s="10">
        <v>76.14</v>
      </c>
      <c r="AB25" s="95">
        <v>4110200</v>
      </c>
      <c r="AC25" s="243">
        <v>76.14</v>
      </c>
      <c r="AD25" s="2">
        <f t="shared" si="0"/>
        <v>2.4399999999999977</v>
      </c>
      <c r="AE25" s="138">
        <f t="shared" si="1"/>
        <v>3.9312039312039193E-2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42642</v>
      </c>
      <c r="X26" s="10">
        <v>73.790000000000006</v>
      </c>
      <c r="Y26" s="40">
        <v>74.430000000000007</v>
      </c>
      <c r="Z26" s="40">
        <v>72.06</v>
      </c>
      <c r="AA26" s="10">
        <v>73.260000000000005</v>
      </c>
      <c r="AB26" s="95">
        <v>3419800</v>
      </c>
      <c r="AC26" s="243">
        <v>73.260000000000005</v>
      </c>
      <c r="AD26" s="2">
        <f t="shared" si="0"/>
        <v>2.3700000000000045</v>
      </c>
      <c r="AE26" s="138">
        <f t="shared" si="1"/>
        <v>-1.3599030564157677E-2</v>
      </c>
    </row>
    <row r="27" spans="1:40" x14ac:dyDescent="0.25">
      <c r="B27" s="193">
        <v>42551</v>
      </c>
      <c r="C27" s="444">
        <v>60</v>
      </c>
      <c r="D27" s="462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42641</v>
      </c>
      <c r="X27" s="10">
        <v>74.84</v>
      </c>
      <c r="Y27" s="40">
        <v>75.64</v>
      </c>
      <c r="Z27" s="40">
        <v>73.849999999999994</v>
      </c>
      <c r="AA27" s="10">
        <v>74.27</v>
      </c>
      <c r="AB27" s="95">
        <v>1938100</v>
      </c>
      <c r="AC27" s="243">
        <v>74.27</v>
      </c>
      <c r="AD27" s="2">
        <f t="shared" si="0"/>
        <v>1.7900000000000063</v>
      </c>
      <c r="AE27" s="138">
        <f t="shared" si="1"/>
        <v>4.7348484848483974E-3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42640</v>
      </c>
      <c r="X28" s="10">
        <v>72.95</v>
      </c>
      <c r="Y28" s="40">
        <v>73.97</v>
      </c>
      <c r="Z28" s="40">
        <v>72.349999999999994</v>
      </c>
      <c r="AA28" s="10">
        <v>73.92</v>
      </c>
      <c r="AB28" s="95">
        <v>2408600</v>
      </c>
      <c r="AC28" s="243">
        <v>73.92</v>
      </c>
      <c r="AD28" s="2">
        <f t="shared" si="0"/>
        <v>1.6200000000000045</v>
      </c>
      <c r="AE28" s="138">
        <f t="shared" si="1"/>
        <v>1.5105740181269089E-2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42639</v>
      </c>
      <c r="X29" s="10">
        <v>73.94</v>
      </c>
      <c r="Y29" s="40">
        <v>74.42</v>
      </c>
      <c r="Z29" s="40">
        <v>72.73</v>
      </c>
      <c r="AA29" s="10">
        <v>72.819999999999993</v>
      </c>
      <c r="AB29" s="95">
        <v>3044600</v>
      </c>
      <c r="AC29" s="243">
        <v>72.819999999999993</v>
      </c>
      <c r="AD29" s="2">
        <f t="shared" si="0"/>
        <v>1.6899999999999977</v>
      </c>
      <c r="AE29" s="138">
        <f t="shared" si="1"/>
        <v>-2.6079978601043274E-2</v>
      </c>
    </row>
    <row r="30" spans="1:40" x14ac:dyDescent="0.25">
      <c r="B30" s="193">
        <v>42557</v>
      </c>
      <c r="C30" s="429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42636</v>
      </c>
      <c r="X30" s="10">
        <v>76.680000000000007</v>
      </c>
      <c r="Y30" s="40">
        <v>76.91</v>
      </c>
      <c r="Z30" s="40">
        <v>74.06</v>
      </c>
      <c r="AA30" s="10">
        <v>74.77</v>
      </c>
      <c r="AB30" s="95">
        <v>3570300</v>
      </c>
      <c r="AC30" s="243">
        <v>74.77</v>
      </c>
      <c r="AD30" s="2">
        <f t="shared" si="0"/>
        <v>2.8499999999999943</v>
      </c>
      <c r="AE30" s="138">
        <f t="shared" si="1"/>
        <v>-2.7698309492848017E-2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42635</v>
      </c>
      <c r="X31" s="10">
        <v>77.28</v>
      </c>
      <c r="Y31" s="40">
        <v>77.44</v>
      </c>
      <c r="Z31" s="40">
        <v>76.37</v>
      </c>
      <c r="AA31" s="10">
        <v>76.900000000000006</v>
      </c>
      <c r="AB31" s="95">
        <v>1736500</v>
      </c>
      <c r="AC31" s="243">
        <v>76.900000000000006</v>
      </c>
      <c r="AD31" s="2">
        <f t="shared" si="0"/>
        <v>1.0699999999999932</v>
      </c>
      <c r="AE31" s="138">
        <f t="shared" si="1"/>
        <v>2.0849622100600484E-3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42634</v>
      </c>
      <c r="X32" s="10">
        <v>76.19</v>
      </c>
      <c r="Y32" s="40">
        <v>77</v>
      </c>
      <c r="Z32" s="40">
        <v>75.7</v>
      </c>
      <c r="AA32" s="10">
        <v>76.739999999999995</v>
      </c>
      <c r="AB32" s="95">
        <v>2552400</v>
      </c>
      <c r="AC32" s="243">
        <v>76.739999999999995</v>
      </c>
      <c r="AD32" s="2">
        <f t="shared" si="0"/>
        <v>1.2999999999999972</v>
      </c>
      <c r="AE32" s="138">
        <f t="shared" si="1"/>
        <v>1.3470681458003009E-2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42633</v>
      </c>
      <c r="X33" s="10">
        <v>76.3</v>
      </c>
      <c r="Y33" s="40">
        <v>76.36</v>
      </c>
      <c r="Z33" s="40">
        <v>75.02</v>
      </c>
      <c r="AA33" s="10">
        <v>75.72</v>
      </c>
      <c r="AB33" s="95">
        <v>2729000</v>
      </c>
      <c r="AC33" s="243">
        <v>75.72</v>
      </c>
      <c r="AD33" s="2">
        <f t="shared" si="0"/>
        <v>1.3400000000000034</v>
      </c>
      <c r="AE33" s="138">
        <f t="shared" si="1"/>
        <v>-4.8626626363517111E-3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42632</v>
      </c>
      <c r="X34" s="10">
        <v>76.739999999999995</v>
      </c>
      <c r="Y34" s="40">
        <v>77.88</v>
      </c>
      <c r="Z34" s="40">
        <v>75.790000000000006</v>
      </c>
      <c r="AA34" s="10">
        <v>76.09</v>
      </c>
      <c r="AB34" s="95">
        <v>2554500</v>
      </c>
      <c r="AC34" s="243">
        <v>76.09</v>
      </c>
      <c r="AD34" s="2">
        <f t="shared" si="0"/>
        <v>2.0899999999999892</v>
      </c>
      <c r="AE34" s="138">
        <f t="shared" si="1"/>
        <v>2.6291573550696334E-4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42629</v>
      </c>
      <c r="X35" s="10">
        <v>77.150000000000006</v>
      </c>
      <c r="Y35" s="40">
        <v>77.239999999999995</v>
      </c>
      <c r="Z35" s="40">
        <v>75</v>
      </c>
      <c r="AA35" s="10">
        <v>76.069999999999993</v>
      </c>
      <c r="AB35" s="95">
        <v>5447700</v>
      </c>
      <c r="AC35" s="243">
        <v>76.069999999999993</v>
      </c>
      <c r="AD35" s="2">
        <f t="shared" si="0"/>
        <v>2.2399999999999949</v>
      </c>
      <c r="AE35" s="138">
        <f t="shared" si="1"/>
        <v>-1.2334458582186514E-2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282</v>
      </c>
      <c r="O36" s="11"/>
      <c r="P36" s="259" t="s">
        <v>78</v>
      </c>
      <c r="Q36" s="259"/>
      <c r="R36" s="34"/>
      <c r="W36" s="94">
        <v>42628</v>
      </c>
      <c r="X36" s="10">
        <v>73</v>
      </c>
      <c r="Y36" s="40">
        <v>77.25</v>
      </c>
      <c r="Z36" s="40">
        <v>72.98</v>
      </c>
      <c r="AA36" s="10">
        <v>77.02</v>
      </c>
      <c r="AB36" s="95">
        <v>7839200</v>
      </c>
      <c r="AC36" s="243">
        <v>77.02</v>
      </c>
      <c r="AD36" s="2">
        <f t="shared" si="0"/>
        <v>4.269999999999996</v>
      </c>
      <c r="AE36" s="138">
        <f t="shared" si="1"/>
        <v>6.381215469613255E-2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82.533000000000001</v>
      </c>
      <c r="R37" s="34"/>
      <c r="W37" s="94">
        <v>42627</v>
      </c>
      <c r="X37" s="10">
        <v>69.73</v>
      </c>
      <c r="Y37" s="40">
        <v>72.430000000000007</v>
      </c>
      <c r="Z37" s="40">
        <v>69.510000000000005</v>
      </c>
      <c r="AA37" s="10">
        <v>72.400000000000006</v>
      </c>
      <c r="AB37" s="95">
        <v>5304900</v>
      </c>
      <c r="AC37" s="243">
        <v>72.400000000000006</v>
      </c>
      <c r="AD37" s="2">
        <f t="shared" si="0"/>
        <v>2.9200000000000017</v>
      </c>
      <c r="AE37" s="138">
        <f t="shared" si="1"/>
        <v>4.3829296424452213E-2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287</v>
      </c>
      <c r="O38" s="2"/>
      <c r="P38" s="83">
        <v>1.0900000000000001</v>
      </c>
      <c r="Q38" s="83">
        <f t="shared" ref="Q38:Q57" si="48">P38*$Q$4</f>
        <v>81.782700000000006</v>
      </c>
      <c r="R38" s="34"/>
      <c r="W38" s="94">
        <v>42626</v>
      </c>
      <c r="X38" s="10">
        <v>68.5</v>
      </c>
      <c r="Y38" s="40">
        <v>70.45</v>
      </c>
      <c r="Z38" s="40">
        <v>68.25</v>
      </c>
      <c r="AA38" s="10">
        <v>69.36</v>
      </c>
      <c r="AB38" s="95">
        <v>4815800</v>
      </c>
      <c r="AC38" s="243">
        <v>69.36</v>
      </c>
      <c r="AD38" s="2">
        <f t="shared" si="0"/>
        <v>2.2000000000000028</v>
      </c>
      <c r="AE38" s="138">
        <f t="shared" si="1"/>
        <v>1.4925373134328401E-2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81.03240000000001</v>
      </c>
      <c r="R39" s="34"/>
      <c r="T39" s="91" t="s">
        <v>113</v>
      </c>
      <c r="W39" s="94">
        <v>42625</v>
      </c>
      <c r="X39" s="10">
        <v>66</v>
      </c>
      <c r="Y39" s="40">
        <v>68.58</v>
      </c>
      <c r="Z39" s="40">
        <v>65.760000000000005</v>
      </c>
      <c r="AA39" s="10">
        <v>68.34</v>
      </c>
      <c r="AB39" s="95">
        <v>4484100</v>
      </c>
      <c r="AC39" s="243">
        <v>68.34</v>
      </c>
      <c r="AD39" s="2">
        <f t="shared" si="0"/>
        <v>2.8199999999999932</v>
      </c>
      <c r="AE39" s="138">
        <f t="shared" si="1"/>
        <v>2.3666866387058061E-2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80.2821</v>
      </c>
      <c r="R40" s="83"/>
      <c r="T40" s="97" t="s">
        <v>98</v>
      </c>
      <c r="U40" s="129">
        <v>75.81</v>
      </c>
      <c r="W40" s="94">
        <v>42622</v>
      </c>
      <c r="X40" s="10">
        <v>70.510000000000005</v>
      </c>
      <c r="Y40" s="40">
        <v>70.69</v>
      </c>
      <c r="Z40" s="40">
        <v>66.06</v>
      </c>
      <c r="AA40" s="10">
        <v>66.760000000000005</v>
      </c>
      <c r="AB40" s="95">
        <v>7590700</v>
      </c>
      <c r="AC40" s="243">
        <v>66.760000000000005</v>
      </c>
      <c r="AD40" s="2">
        <f t="shared" si="0"/>
        <v>4.6299999999999955</v>
      </c>
      <c r="AE40" s="138">
        <f t="shared" si="1"/>
        <v>-6.5378692426151463E-2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79.531800000000004</v>
      </c>
      <c r="R41" s="83"/>
      <c r="T41" s="87" t="s">
        <v>99</v>
      </c>
      <c r="U41" s="130">
        <v>75.650000000000006</v>
      </c>
      <c r="W41" s="94">
        <v>42621</v>
      </c>
      <c r="X41" s="10">
        <v>71.930000000000007</v>
      </c>
      <c r="Y41" s="40">
        <v>71.94</v>
      </c>
      <c r="Z41" s="40">
        <v>70.84</v>
      </c>
      <c r="AA41" s="10">
        <v>71.430000000000007</v>
      </c>
      <c r="AB41" s="95">
        <v>3039400</v>
      </c>
      <c r="AC41" s="243">
        <v>71.430000000000007</v>
      </c>
      <c r="AD41" s="2">
        <f t="shared" si="0"/>
        <v>1.0999999999999943</v>
      </c>
      <c r="AE41" s="138">
        <f t="shared" si="1"/>
        <v>-8.6051353226924698E-3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78.781500000000008</v>
      </c>
      <c r="R42" s="83"/>
      <c r="T42" s="87" t="s">
        <v>100</v>
      </c>
      <c r="U42" s="130" t="s">
        <v>494</v>
      </c>
      <c r="W42" s="94">
        <v>42620</v>
      </c>
      <c r="X42" s="10">
        <v>73.180000000000007</v>
      </c>
      <c r="Y42" s="40">
        <v>73.77</v>
      </c>
      <c r="Z42" s="40">
        <v>71.569999999999993</v>
      </c>
      <c r="AA42" s="10">
        <v>72.05</v>
      </c>
      <c r="AB42" s="95">
        <v>3401000</v>
      </c>
      <c r="AC42" s="243">
        <v>72.05</v>
      </c>
      <c r="AD42" s="2">
        <f t="shared" si="0"/>
        <v>2.2000000000000028</v>
      </c>
      <c r="AE42" s="138">
        <f t="shared" si="1"/>
        <v>-1.31488837145598E-2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78.031199999999998</v>
      </c>
      <c r="R43" s="83"/>
      <c r="T43" s="87" t="s">
        <v>101</v>
      </c>
      <c r="U43" s="130" t="s">
        <v>495</v>
      </c>
      <c r="W43" s="94">
        <v>42619</v>
      </c>
      <c r="X43" s="10">
        <v>74.290000000000006</v>
      </c>
      <c r="Y43" s="40">
        <v>74.52</v>
      </c>
      <c r="Z43" s="40">
        <v>72.25</v>
      </c>
      <c r="AA43" s="10">
        <v>73.010000000000005</v>
      </c>
      <c r="AB43" s="95">
        <v>4263600</v>
      </c>
      <c r="AC43" s="243">
        <v>73.010000000000005</v>
      </c>
      <c r="AD43" s="2">
        <f t="shared" si="0"/>
        <v>2.269999999999996</v>
      </c>
      <c r="AE43" s="138">
        <f t="shared" si="1"/>
        <v>-2.1575984990619079E-2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77.280900000000003</v>
      </c>
      <c r="R44" s="83"/>
      <c r="T44" s="87" t="s">
        <v>102</v>
      </c>
      <c r="U44" s="130">
        <v>84.38</v>
      </c>
      <c r="W44" s="94">
        <v>42615</v>
      </c>
      <c r="X44" s="10">
        <v>75.25</v>
      </c>
      <c r="Y44" s="40">
        <v>75.430000000000007</v>
      </c>
      <c r="Z44" s="40">
        <v>74.209999999999994</v>
      </c>
      <c r="AA44" s="10">
        <v>74.62</v>
      </c>
      <c r="AB44" s="95">
        <v>1508800</v>
      </c>
      <c r="AC44" s="243">
        <v>74.62</v>
      </c>
      <c r="AD44" s="2">
        <f t="shared" si="0"/>
        <v>1.2200000000000131</v>
      </c>
      <c r="AE44" s="138">
        <f t="shared" si="1"/>
        <v>-6.259155679850803E-3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76.530600000000007</v>
      </c>
      <c r="R45" s="83"/>
      <c r="T45" s="87" t="s">
        <v>103</v>
      </c>
      <c r="U45" s="130">
        <v>0.771231</v>
      </c>
      <c r="W45" s="94">
        <v>42614</v>
      </c>
      <c r="X45" s="10">
        <v>74.790000000000006</v>
      </c>
      <c r="Y45" s="40">
        <v>75.19</v>
      </c>
      <c r="Z45" s="40">
        <v>74.209999999999994</v>
      </c>
      <c r="AA45" s="10">
        <v>75.09</v>
      </c>
      <c r="AB45" s="95">
        <v>2094400</v>
      </c>
      <c r="AC45" s="243">
        <v>75.09</v>
      </c>
      <c r="AD45" s="2">
        <f t="shared" si="0"/>
        <v>0.98000000000000398</v>
      </c>
      <c r="AE45" s="138">
        <f t="shared" si="1"/>
        <v>3.0724018167245237E-3</v>
      </c>
    </row>
    <row r="46" spans="1:31" x14ac:dyDescent="0.25">
      <c r="O46" s="2"/>
      <c r="P46" s="83">
        <v>1.01</v>
      </c>
      <c r="Q46" s="83">
        <f t="shared" si="48"/>
        <v>75.780299999999997</v>
      </c>
      <c r="R46" s="83"/>
      <c r="T46" s="87" t="s">
        <v>104</v>
      </c>
      <c r="U46" s="94" t="s">
        <v>383</v>
      </c>
      <c r="W46" s="94">
        <v>42613</v>
      </c>
      <c r="X46" s="10">
        <v>74.13</v>
      </c>
      <c r="Y46" s="40">
        <v>75.239999999999995</v>
      </c>
      <c r="Z46" s="40">
        <v>73.900000000000006</v>
      </c>
      <c r="AA46" s="10">
        <v>74.86</v>
      </c>
      <c r="AB46" s="95">
        <v>2113900</v>
      </c>
      <c r="AC46" s="243">
        <v>74.86</v>
      </c>
      <c r="AD46" s="2">
        <f t="shared" si="0"/>
        <v>1.3399999999999892</v>
      </c>
      <c r="AE46" s="138">
        <f t="shared" si="1"/>
        <v>8.8948787061993162E-3</v>
      </c>
    </row>
    <row r="47" spans="1:31" x14ac:dyDescent="0.25">
      <c r="O47" s="2"/>
      <c r="P47" s="83">
        <v>1</v>
      </c>
      <c r="Q47" s="83">
        <f t="shared" si="48"/>
        <v>75.03</v>
      </c>
      <c r="R47" s="83"/>
      <c r="T47" s="87"/>
      <c r="U47" s="130"/>
      <c r="W47" s="94">
        <v>42612</v>
      </c>
      <c r="X47" s="10">
        <v>74.400000000000006</v>
      </c>
      <c r="Y47" s="40">
        <v>75.790000000000006</v>
      </c>
      <c r="Z47" s="40">
        <v>73.84</v>
      </c>
      <c r="AA47" s="10">
        <v>74.2</v>
      </c>
      <c r="AB47" s="95">
        <v>3899200</v>
      </c>
      <c r="AC47" s="243">
        <v>74.2</v>
      </c>
      <c r="AD47" s="2">
        <f t="shared" si="0"/>
        <v>1.9500000000000028</v>
      </c>
      <c r="AE47" s="138">
        <f t="shared" si="1"/>
        <v>-1.3560223344855071E-2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4">
        <f>K59+M59-F59</f>
        <v>414.59000000000015</v>
      </c>
      <c r="O48" s="2"/>
      <c r="P48" s="83">
        <v>0.99</v>
      </c>
      <c r="Q48" s="83">
        <f t="shared" si="48"/>
        <v>74.279700000000005</v>
      </c>
      <c r="R48" s="83"/>
      <c r="T48" s="87" t="s">
        <v>105</v>
      </c>
      <c r="U48" s="130" t="s">
        <v>496</v>
      </c>
      <c r="W48" s="94">
        <v>42611</v>
      </c>
      <c r="X48" s="10">
        <v>74.790000000000006</v>
      </c>
      <c r="Y48" s="40">
        <v>75.650000000000006</v>
      </c>
      <c r="Z48" s="40">
        <v>74.5</v>
      </c>
      <c r="AA48" s="10">
        <v>75.22</v>
      </c>
      <c r="AB48" s="95">
        <v>2021900</v>
      </c>
      <c r="AC48" s="243">
        <v>75.22</v>
      </c>
      <c r="AD48" s="2">
        <f t="shared" si="0"/>
        <v>1.1500000000000057</v>
      </c>
      <c r="AE48" s="138">
        <f t="shared" si="1"/>
        <v>5.0774986638160158E-3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73.529399999999995</v>
      </c>
      <c r="R49" s="83"/>
      <c r="T49" s="87" t="s">
        <v>106</v>
      </c>
      <c r="U49" s="130" t="s">
        <v>352</v>
      </c>
      <c r="W49" s="94">
        <v>42608</v>
      </c>
      <c r="X49" s="10">
        <v>74.349999999999994</v>
      </c>
      <c r="Y49" s="40">
        <v>75</v>
      </c>
      <c r="Z49" s="40">
        <v>73.739999999999995</v>
      </c>
      <c r="AA49" s="10">
        <v>74.84</v>
      </c>
      <c r="AB49" s="95">
        <v>2630300</v>
      </c>
      <c r="AC49" s="243">
        <v>74.84</v>
      </c>
      <c r="AD49" s="2">
        <f t="shared" si="0"/>
        <v>1.2600000000000051</v>
      </c>
      <c r="AE49" s="138">
        <f t="shared" si="1"/>
        <v>6.8612942284407286E-3</v>
      </c>
    </row>
    <row r="50" spans="1:31" x14ac:dyDescent="0.25">
      <c r="A50" s="265" t="s">
        <v>175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72.7791</v>
      </c>
      <c r="R50" s="83"/>
      <c r="T50" s="87" t="s">
        <v>107</v>
      </c>
      <c r="U50" s="131">
        <v>1681778</v>
      </c>
      <c r="W50" s="94">
        <v>42607</v>
      </c>
      <c r="X50" s="10">
        <v>73.16</v>
      </c>
      <c r="Y50" s="40">
        <v>74.75</v>
      </c>
      <c r="Z50" s="40">
        <v>73.11</v>
      </c>
      <c r="AA50" s="10">
        <v>74.33</v>
      </c>
      <c r="AB50" s="95">
        <v>2791300</v>
      </c>
      <c r="AC50" s="243">
        <v>74.33</v>
      </c>
      <c r="AD50" s="2">
        <f t="shared" si="0"/>
        <v>1.6400000000000006</v>
      </c>
      <c r="AE50" s="138">
        <f t="shared" si="1"/>
        <v>1.4190203301950977E-2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72.028800000000004</v>
      </c>
      <c r="R51" s="83"/>
      <c r="T51" s="87" t="s">
        <v>110</v>
      </c>
      <c r="U51" s="131">
        <v>2714490</v>
      </c>
      <c r="W51" s="94">
        <v>42606</v>
      </c>
      <c r="X51" s="10">
        <v>73.95</v>
      </c>
      <c r="Y51" s="40">
        <v>74.31</v>
      </c>
      <c r="Z51" s="40">
        <v>72.98</v>
      </c>
      <c r="AA51" s="10">
        <v>73.290000000000006</v>
      </c>
      <c r="AB51" s="95">
        <v>2138500</v>
      </c>
      <c r="AC51" s="243">
        <v>73.290000000000006</v>
      </c>
      <c r="AD51" s="2">
        <f t="shared" si="0"/>
        <v>1.3299999999999983</v>
      </c>
      <c r="AE51" s="138">
        <f t="shared" si="1"/>
        <v>-6.6413662239088733E-3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71.278499999999994</v>
      </c>
      <c r="R52" s="83"/>
      <c r="T52" s="87" t="s">
        <v>108</v>
      </c>
      <c r="U52" s="130" t="s">
        <v>497</v>
      </c>
      <c r="W52" s="94">
        <v>42605</v>
      </c>
      <c r="X52" s="10">
        <v>73.13</v>
      </c>
      <c r="Y52" s="40">
        <v>73.900000000000006</v>
      </c>
      <c r="Z52" s="40">
        <v>72.89</v>
      </c>
      <c r="AA52" s="10">
        <v>73.78</v>
      </c>
      <c r="AB52" s="95">
        <v>1771300</v>
      </c>
      <c r="AC52" s="243">
        <v>73.78</v>
      </c>
      <c r="AD52" s="2">
        <f t="shared" si="0"/>
        <v>1.0100000000000051</v>
      </c>
      <c r="AE52" s="138">
        <f t="shared" si="1"/>
        <v>1.5973561002478709E-2</v>
      </c>
    </row>
    <row r="53" spans="1:31" x14ac:dyDescent="0.25">
      <c r="A53" s="261"/>
      <c r="B53" s="266">
        <v>42402</v>
      </c>
      <c r="C53" s="275">
        <v>30</v>
      </c>
      <c r="D53" s="373">
        <v>67.2</v>
      </c>
      <c r="E53" s="373">
        <v>0</v>
      </c>
      <c r="F53" s="373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70.528199999999998</v>
      </c>
      <c r="R53" s="83"/>
      <c r="T53" s="87" t="s">
        <v>111</v>
      </c>
      <c r="U53" s="130">
        <v>14.86</v>
      </c>
      <c r="W53" s="94">
        <v>42604</v>
      </c>
      <c r="X53" s="10">
        <v>72.34</v>
      </c>
      <c r="Y53" s="40">
        <v>72.89</v>
      </c>
      <c r="Z53" s="40">
        <v>71.94</v>
      </c>
      <c r="AA53" s="10">
        <v>72.62</v>
      </c>
      <c r="AB53" s="95">
        <v>1735700</v>
      </c>
      <c r="AC53" s="243">
        <v>72.62</v>
      </c>
      <c r="AD53" s="2">
        <f t="shared" si="0"/>
        <v>0.95000000000000284</v>
      </c>
      <c r="AE53" s="138">
        <f t="shared" si="1"/>
        <v>4.564946742287912E-3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69.777900000000002</v>
      </c>
      <c r="R54" s="83"/>
      <c r="T54" s="87" t="s">
        <v>112</v>
      </c>
      <c r="U54" s="130">
        <v>5.05</v>
      </c>
      <c r="W54" s="94">
        <v>42601</v>
      </c>
      <c r="X54" s="10">
        <v>71.56</v>
      </c>
      <c r="Y54" s="40">
        <v>73.400000000000006</v>
      </c>
      <c r="Z54" s="40">
        <v>71.56</v>
      </c>
      <c r="AA54" s="10">
        <v>72.290000000000006</v>
      </c>
      <c r="AB54" s="95">
        <v>3110000</v>
      </c>
      <c r="AC54" s="243">
        <v>72.290000000000006</v>
      </c>
      <c r="AD54" s="2">
        <f t="shared" si="0"/>
        <v>1.8400000000000034</v>
      </c>
      <c r="AE54" s="138">
        <f t="shared" si="1"/>
        <v>6.8245125348189717E-3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69.027600000000007</v>
      </c>
      <c r="R55" s="83"/>
      <c r="T55" s="87" t="s">
        <v>109</v>
      </c>
      <c r="U55" s="130" t="s">
        <v>428</v>
      </c>
      <c r="W55" s="94">
        <v>42600</v>
      </c>
      <c r="X55" s="10">
        <v>70.48</v>
      </c>
      <c r="Y55" s="40">
        <v>72.06</v>
      </c>
      <c r="Z55" s="40">
        <v>70.290000000000006</v>
      </c>
      <c r="AA55" s="10">
        <v>71.8</v>
      </c>
      <c r="AB55" s="95">
        <v>3745500</v>
      </c>
      <c r="AC55" s="243">
        <v>71.8</v>
      </c>
      <c r="AD55" s="2">
        <f t="shared" si="0"/>
        <v>1.769999999999996</v>
      </c>
      <c r="AE55" s="138">
        <f t="shared" si="1"/>
        <v>2.2937740418863095E-2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68.277299999999997</v>
      </c>
      <c r="R56" s="83"/>
      <c r="W56" s="94">
        <v>42599</v>
      </c>
      <c r="X56" s="10">
        <v>69.7</v>
      </c>
      <c r="Y56" s="40">
        <v>70.42</v>
      </c>
      <c r="Z56" s="40">
        <v>69.2</v>
      </c>
      <c r="AA56" s="10">
        <v>70.19</v>
      </c>
      <c r="AB56" s="95">
        <v>3107200</v>
      </c>
      <c r="AC56" s="243">
        <v>70.19</v>
      </c>
      <c r="AD56" s="2">
        <f t="shared" si="0"/>
        <v>1.2199999999999989</v>
      </c>
      <c r="AE56" s="138">
        <f t="shared" si="1"/>
        <v>8.4770114942529506E-3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67.527000000000001</v>
      </c>
      <c r="R57" s="83"/>
      <c r="W57" s="94">
        <v>42598</v>
      </c>
      <c r="X57" s="10">
        <v>69.349999999999994</v>
      </c>
      <c r="Y57" s="40">
        <v>69.81</v>
      </c>
      <c r="Z57" s="40">
        <v>68.599999999999994</v>
      </c>
      <c r="AA57" s="10">
        <v>69.599999999999994</v>
      </c>
      <c r="AB57" s="95">
        <v>2404300</v>
      </c>
      <c r="AC57" s="243">
        <v>69.599999999999994</v>
      </c>
      <c r="AD57" s="2">
        <f t="shared" si="0"/>
        <v>1.210000000000008</v>
      </c>
      <c r="AE57" s="138">
        <f t="shared" si="1"/>
        <v>1.4388489208632116E-3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42597</v>
      </c>
      <c r="X58" s="10">
        <v>67.61</v>
      </c>
      <c r="Y58" s="40">
        <v>69.59</v>
      </c>
      <c r="Z58" s="40">
        <v>67.55</v>
      </c>
      <c r="AA58" s="10">
        <v>69.5</v>
      </c>
      <c r="AB58" s="95">
        <v>2218300</v>
      </c>
      <c r="AC58" s="243">
        <v>69.5</v>
      </c>
      <c r="AD58" s="2">
        <f t="shared" si="0"/>
        <v>2.0400000000000063</v>
      </c>
      <c r="AE58" s="138">
        <f t="shared" si="1"/>
        <v>2.9172219754183271E-2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42594</v>
      </c>
      <c r="X59" s="10">
        <v>67.45</v>
      </c>
      <c r="Y59" s="40">
        <v>67.849999999999994</v>
      </c>
      <c r="Z59" s="40">
        <v>67.010000000000005</v>
      </c>
      <c r="AA59" s="10">
        <v>67.53</v>
      </c>
      <c r="AB59" s="95">
        <v>1452200</v>
      </c>
      <c r="AC59" s="243">
        <v>67.53</v>
      </c>
      <c r="AD59" s="2">
        <f t="shared" si="0"/>
        <v>0.8399999999999892</v>
      </c>
      <c r="AE59" s="138">
        <f t="shared" si="1"/>
        <v>1.7801513128616886E-3</v>
      </c>
    </row>
    <row r="60" spans="1:31" x14ac:dyDescent="0.25">
      <c r="W60" s="94">
        <v>42593</v>
      </c>
      <c r="X60" s="10">
        <v>66.38</v>
      </c>
      <c r="Y60" s="40">
        <v>67.58</v>
      </c>
      <c r="Z60" s="40">
        <v>66.22</v>
      </c>
      <c r="AA60" s="10">
        <v>67.41</v>
      </c>
      <c r="AB60" s="95">
        <v>1580000</v>
      </c>
      <c r="AC60" s="243">
        <v>67.41</v>
      </c>
      <c r="AD60" s="2">
        <f t="shared" si="0"/>
        <v>1.3599999999999994</v>
      </c>
      <c r="AE60" s="138">
        <f t="shared" si="1"/>
        <v>1.5057973196807684E-2</v>
      </c>
    </row>
    <row r="61" spans="1:31" x14ac:dyDescent="0.25">
      <c r="L61" t="s">
        <v>65</v>
      </c>
      <c r="M61" s="467">
        <f>K79+M79-F79</f>
        <v>954.30999999999767</v>
      </c>
      <c r="W61" s="94">
        <v>42592</v>
      </c>
      <c r="X61" s="10">
        <v>67.03</v>
      </c>
      <c r="Y61" s="40">
        <v>67.040000000000006</v>
      </c>
      <c r="Z61" s="40">
        <v>65.7</v>
      </c>
      <c r="AA61" s="10">
        <v>66.41</v>
      </c>
      <c r="AB61" s="95">
        <v>1385400</v>
      </c>
      <c r="AC61" s="243">
        <v>66.41</v>
      </c>
      <c r="AD61" s="2">
        <f t="shared" si="0"/>
        <v>1.3400000000000034</v>
      </c>
      <c r="AE61" s="138">
        <f t="shared" si="1"/>
        <v>-8.8059701492537723E-3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42591</v>
      </c>
      <c r="X62" s="10">
        <v>66.45</v>
      </c>
      <c r="Y62" s="40">
        <v>67.64</v>
      </c>
      <c r="Z62" s="40">
        <v>66.33</v>
      </c>
      <c r="AA62" s="10">
        <v>67</v>
      </c>
      <c r="AB62" s="95">
        <v>1724800</v>
      </c>
      <c r="AC62" s="243">
        <v>67</v>
      </c>
      <c r="AD62" s="2">
        <f t="shared" si="0"/>
        <v>1.3100000000000023</v>
      </c>
      <c r="AE62" s="138">
        <f t="shared" si="1"/>
        <v>1.6075219896875881E-2</v>
      </c>
    </row>
    <row r="63" spans="1:31" x14ac:dyDescent="0.25">
      <c r="A63" s="265" t="s">
        <v>175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42590</v>
      </c>
      <c r="X63" s="10">
        <v>66.569999999999993</v>
      </c>
      <c r="Y63" s="40">
        <v>67.22</v>
      </c>
      <c r="Z63" s="40">
        <v>65.72</v>
      </c>
      <c r="AA63" s="10">
        <v>65.94</v>
      </c>
      <c r="AB63" s="95">
        <v>1236300</v>
      </c>
      <c r="AC63" s="243">
        <v>65.94</v>
      </c>
      <c r="AD63" s="2">
        <f t="shared" si="0"/>
        <v>1.5</v>
      </c>
      <c r="AE63" s="138">
        <f t="shared" si="1"/>
        <v>-9.1660405709992343E-3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42587</v>
      </c>
      <c r="X64" s="10">
        <v>65.59</v>
      </c>
      <c r="Y64" s="40">
        <v>66.569999999999993</v>
      </c>
      <c r="Z64" s="40">
        <v>65.14</v>
      </c>
      <c r="AA64" s="10">
        <v>66.55</v>
      </c>
      <c r="AB64" s="95">
        <v>2178500</v>
      </c>
      <c r="AC64" s="243">
        <v>66.55</v>
      </c>
      <c r="AD64" s="2">
        <f t="shared" si="0"/>
        <v>1.4299999999999926</v>
      </c>
      <c r="AE64" s="138">
        <f t="shared" si="1"/>
        <v>2.1332105586249206E-2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42586</v>
      </c>
      <c r="X65" s="10">
        <v>64.45</v>
      </c>
      <c r="Y65" s="40">
        <v>65.260000000000005</v>
      </c>
      <c r="Z65" s="40">
        <v>64.02</v>
      </c>
      <c r="AA65" s="10">
        <v>65.16</v>
      </c>
      <c r="AB65" s="95">
        <v>3069800</v>
      </c>
      <c r="AC65" s="243">
        <v>65.16</v>
      </c>
      <c r="AD65" s="2">
        <f t="shared" si="0"/>
        <v>1.2400000000000091</v>
      </c>
      <c r="AE65" s="138">
        <f t="shared" si="1"/>
        <v>1.1958378630221977E-2</v>
      </c>
    </row>
    <row r="66" spans="1:31" x14ac:dyDescent="0.25">
      <c r="A66" s="261"/>
      <c r="B66" s="266">
        <v>42573</v>
      </c>
      <c r="C66" s="275">
        <v>20</v>
      </c>
      <c r="D66" s="373">
        <v>63.68</v>
      </c>
      <c r="E66" s="373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42585</v>
      </c>
      <c r="X66" s="10">
        <v>63.33</v>
      </c>
      <c r="Y66" s="40">
        <v>65.03</v>
      </c>
      <c r="Z66" s="40">
        <v>63.3</v>
      </c>
      <c r="AA66" s="10">
        <v>64.39</v>
      </c>
      <c r="AB66" s="95">
        <v>3477200</v>
      </c>
      <c r="AC66" s="243">
        <v>64.39</v>
      </c>
      <c r="AD66" s="2">
        <f t="shared" si="0"/>
        <v>1.730000000000004</v>
      </c>
      <c r="AE66" s="138">
        <f t="shared" si="1"/>
        <v>-9.9938499384994994E-3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42584</v>
      </c>
      <c r="X67" s="10">
        <v>65.569999999999993</v>
      </c>
      <c r="Y67" s="40">
        <v>65.959999999999994</v>
      </c>
      <c r="Z67" s="40">
        <v>64.430000000000007</v>
      </c>
      <c r="AA67" s="10">
        <v>65.040000000000006</v>
      </c>
      <c r="AB67" s="95">
        <v>2304100</v>
      </c>
      <c r="AC67" s="243">
        <v>65.040000000000006</v>
      </c>
      <c r="AD67" s="2">
        <f t="shared" si="0"/>
        <v>1.5299999999999869</v>
      </c>
      <c r="AE67" s="138" t="e">
        <f t="shared" si="1"/>
        <v>#DIV/0!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42584</v>
      </c>
      <c r="X68" s="10" t="s">
        <v>292</v>
      </c>
      <c r="Y68" s="40"/>
      <c r="Z68" s="40"/>
      <c r="AA68" s="10"/>
      <c r="AB68" s="95"/>
      <c r="AC68" s="243"/>
      <c r="AD68" s="2">
        <f>Y68-Z68</f>
        <v>0</v>
      </c>
      <c r="AE68" s="138" t="e">
        <f>AC68/#REF!-1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215" t="s">
        <v>121</v>
      </c>
      <c r="X69" s="96"/>
      <c r="Y69" s="243"/>
      <c r="Z69" s="243"/>
      <c r="AA69" s="96"/>
      <c r="AB69" s="216"/>
      <c r="AC69" s="243"/>
      <c r="AD69" s="2" t="e">
        <f>#REF!-#REF!</f>
        <v>#REF!</v>
      </c>
      <c r="AE69" s="138" t="e">
        <f>#REF!/AC69-1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84" t="s">
        <v>201</v>
      </c>
      <c r="B80" s="485"/>
      <c r="C80" s="486">
        <f>SumByColor($A$19,C63:C78)</f>
        <v>0</v>
      </c>
      <c r="D80" s="486"/>
      <c r="E80" s="486"/>
      <c r="F80" s="487">
        <f>SumByColor($A$19,F63:F78)</f>
        <v>0</v>
      </c>
      <c r="G80" s="486"/>
      <c r="H80" s="486">
        <f>SumByColor($A$19,H63:H78)</f>
        <v>0</v>
      </c>
      <c r="I80" s="486"/>
      <c r="J80" s="486"/>
      <c r="K80" s="487">
        <f>SumByColor($A$19,K63:K78)</f>
        <v>0</v>
      </c>
      <c r="L80" s="486"/>
      <c r="M80" s="487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403" priority="27">
      <formula>F40&gt;0</formula>
    </cfRule>
    <cfRule type="expression" dxfId="402" priority="28">
      <formula>F40&lt;0</formula>
    </cfRule>
  </conditionalFormatting>
  <conditionalFormatting sqref="F40:F45">
    <cfRule type="expression" dxfId="401" priority="29">
      <formula>F40&gt;0</formula>
    </cfRule>
    <cfRule type="expression" dxfId="400" priority="30">
      <formula>F40&lt;0</formula>
    </cfRule>
  </conditionalFormatting>
  <conditionalFormatting sqref="H40:H45">
    <cfRule type="expression" dxfId="399" priority="25">
      <formula>H40&gt;0</formula>
    </cfRule>
    <cfRule type="expression" dxfId="398" priority="26">
      <formula>H40&lt;0</formula>
    </cfRule>
  </conditionalFormatting>
  <conditionalFormatting sqref="F23:F39">
    <cfRule type="expression" dxfId="397" priority="11">
      <formula>F23&gt;0</formula>
    </cfRule>
    <cfRule type="expression" dxfId="396" priority="12">
      <formula>F23&lt;0</formula>
    </cfRule>
  </conditionalFormatting>
  <conditionalFormatting sqref="H23:H39">
    <cfRule type="expression" dxfId="395" priority="9">
      <formula>H23&gt;0</formula>
    </cfRule>
    <cfRule type="expression" dxfId="394" priority="10">
      <formula>H23&lt;0</formula>
    </cfRule>
  </conditionalFormatting>
  <conditionalFormatting sqref="Q7">
    <cfRule type="expression" dxfId="393" priority="7">
      <formula>Q7&gt;0</formula>
    </cfRule>
    <cfRule type="expression" dxfId="392" priority="8">
      <formula>Q7&lt;0</formula>
    </cfRule>
  </conditionalFormatting>
  <conditionalFormatting sqref="Q8">
    <cfRule type="expression" dxfId="391" priority="5">
      <formula>Q8&gt;0</formula>
    </cfRule>
    <cfRule type="expression" dxfId="390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42676</v>
      </c>
      <c r="X2" s="41">
        <v>62.15</v>
      </c>
      <c r="Y2" s="41">
        <v>62.61</v>
      </c>
      <c r="Z2" s="41">
        <v>62.02</v>
      </c>
      <c r="AA2" s="41">
        <v>62.3</v>
      </c>
      <c r="AB2" s="104">
        <v>1051500</v>
      </c>
      <c r="AC2" s="9">
        <v>62.3</v>
      </c>
      <c r="AD2" s="2">
        <f>Y2-Z2</f>
        <v>0.58999999999999631</v>
      </c>
      <c r="AE2" s="138">
        <f>AC2/AC3-1</f>
        <v>3.5438144329895671E-3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62.3</v>
      </c>
      <c r="W3" s="123">
        <v>42675</v>
      </c>
      <c r="X3" s="41">
        <v>63.02</v>
      </c>
      <c r="Y3" s="41">
        <v>63.11</v>
      </c>
      <c r="Z3" s="41">
        <v>61.85</v>
      </c>
      <c r="AA3" s="41">
        <v>62.08</v>
      </c>
      <c r="AB3" s="104">
        <v>1430800</v>
      </c>
      <c r="AC3" s="9">
        <v>62.08</v>
      </c>
      <c r="AD3" s="2">
        <f t="shared" ref="AD3:AD66" si="0">Y3-Z3</f>
        <v>1.259999999999998</v>
      </c>
      <c r="AE3" s="138">
        <f t="shared" ref="AE3:AE66" si="1">AC3/AC4-1</f>
        <v>-1.2565611579449687E-2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62.3</v>
      </c>
      <c r="R4" s="527">
        <v>3.5000000000000001E-3</v>
      </c>
      <c r="T4" s="1"/>
      <c r="W4" s="123">
        <v>42674</v>
      </c>
      <c r="X4" s="41">
        <v>62.99</v>
      </c>
      <c r="Y4" s="41">
        <v>63.38</v>
      </c>
      <c r="Z4" s="41">
        <v>62.83</v>
      </c>
      <c r="AA4" s="41">
        <v>62.87</v>
      </c>
      <c r="AB4" s="104">
        <v>1134800</v>
      </c>
      <c r="AC4" s="9">
        <v>62.87</v>
      </c>
      <c r="AD4" s="2">
        <f t="shared" si="0"/>
        <v>0.55000000000000426</v>
      </c>
      <c r="AE4" s="138">
        <f t="shared" si="1"/>
        <v>-3.645007923930299E-3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42671</v>
      </c>
      <c r="X5" s="41">
        <v>63.2</v>
      </c>
      <c r="Y5" s="41">
        <v>63.85</v>
      </c>
      <c r="Z5" s="41">
        <v>62.9</v>
      </c>
      <c r="AA5" s="41">
        <v>63.1</v>
      </c>
      <c r="AB5" s="104">
        <v>812700</v>
      </c>
      <c r="AC5" s="9">
        <v>63.1</v>
      </c>
      <c r="AD5" s="2">
        <f t="shared" si="0"/>
        <v>0.95000000000000284</v>
      </c>
      <c r="AE5" s="138">
        <f t="shared" si="1"/>
        <v>-4.8888187982967235E-3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42670</v>
      </c>
      <c r="X6" s="41">
        <v>63.7</v>
      </c>
      <c r="Y6" s="41">
        <v>63.78</v>
      </c>
      <c r="Z6" s="41">
        <v>62.84</v>
      </c>
      <c r="AA6" s="41">
        <v>63.41</v>
      </c>
      <c r="AB6" s="104">
        <v>1158000</v>
      </c>
      <c r="AC6" s="9">
        <v>63.41</v>
      </c>
      <c r="AD6" s="2">
        <f t="shared" si="0"/>
        <v>0.93999999999999773</v>
      </c>
      <c r="AE6" s="138">
        <f t="shared" si="1"/>
        <v>5.0721191948008837E-3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184</v>
      </c>
      <c r="Q7" s="2">
        <f>Q10+Q8</f>
        <v>121.94999999999982</v>
      </c>
      <c r="R7">
        <v>0</v>
      </c>
      <c r="W7" s="123">
        <v>42669</v>
      </c>
      <c r="X7" s="41">
        <v>65.72</v>
      </c>
      <c r="Y7" s="41">
        <v>65.930000000000007</v>
      </c>
      <c r="Z7" s="41">
        <v>62.87</v>
      </c>
      <c r="AA7" s="41">
        <v>63.09</v>
      </c>
      <c r="AB7" s="104">
        <v>3165600</v>
      </c>
      <c r="AC7" s="9">
        <v>63.09</v>
      </c>
      <c r="AD7" s="2">
        <f t="shared" si="0"/>
        <v>3.0600000000000094</v>
      </c>
      <c r="AE7" s="138">
        <f t="shared" si="1"/>
        <v>-3.9579844725224467E-2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187</v>
      </c>
      <c r="P8" s="34"/>
      <c r="Q8" s="2">
        <f>K18+M18-F18+Q2*Q4</f>
        <v>0</v>
      </c>
      <c r="R8" s="166"/>
      <c r="W8" s="123">
        <v>42668</v>
      </c>
      <c r="X8" s="41">
        <v>65.52</v>
      </c>
      <c r="Y8" s="41">
        <v>65.88</v>
      </c>
      <c r="Z8" s="41">
        <v>65.349999999999994</v>
      </c>
      <c r="AA8" s="41">
        <v>65.69</v>
      </c>
      <c r="AB8" s="104">
        <v>1079200</v>
      </c>
      <c r="AC8" s="9">
        <v>65.69</v>
      </c>
      <c r="AD8" s="2">
        <f t="shared" si="0"/>
        <v>0.53000000000000114</v>
      </c>
      <c r="AE8" s="138">
        <f t="shared" si="1"/>
        <v>1.9829164124465226E-3</v>
      </c>
      <c r="AL8" s="234"/>
      <c r="AO8" s="234"/>
    </row>
    <row r="9" spans="1:42" x14ac:dyDescent="0.25">
      <c r="O9" s="11" t="s">
        <v>219</v>
      </c>
      <c r="Q9" s="138">
        <f>IF(Q2=0, 0, Q8/Q6)</f>
        <v>0</v>
      </c>
      <c r="W9" s="123">
        <v>42667</v>
      </c>
      <c r="X9" s="41">
        <v>65.819999999999993</v>
      </c>
      <c r="Y9" s="41">
        <v>65.84</v>
      </c>
      <c r="Z9" s="41">
        <v>65.290000000000006</v>
      </c>
      <c r="AA9" s="41">
        <v>65.56</v>
      </c>
      <c r="AB9" s="104">
        <v>939000</v>
      </c>
      <c r="AC9" s="9">
        <v>65.56</v>
      </c>
      <c r="AD9" s="2">
        <f t="shared" si="0"/>
        <v>0.54999999999999716</v>
      </c>
      <c r="AE9" s="138">
        <f t="shared" si="1"/>
        <v>-3.0497102775228768E-4</v>
      </c>
      <c r="AL9" s="234"/>
      <c r="AO9" s="234"/>
    </row>
    <row r="10" spans="1:42" x14ac:dyDescent="0.25">
      <c r="O10" s="11" t="s">
        <v>218</v>
      </c>
      <c r="P10" s="34"/>
      <c r="Q10" s="2">
        <f>M36</f>
        <v>121.94999999999982</v>
      </c>
      <c r="W10" s="123">
        <v>42664</v>
      </c>
      <c r="X10" s="41">
        <v>64.989999999999995</v>
      </c>
      <c r="Y10" s="41">
        <v>65.64</v>
      </c>
      <c r="Z10" s="41">
        <v>64.58</v>
      </c>
      <c r="AA10" s="41">
        <v>65.58</v>
      </c>
      <c r="AB10" s="104">
        <v>912600</v>
      </c>
      <c r="AC10" s="9">
        <v>65.58</v>
      </c>
      <c r="AD10" s="2">
        <f t="shared" si="0"/>
        <v>1.0600000000000023</v>
      </c>
      <c r="AE10" s="138">
        <f t="shared" si="1"/>
        <v>-1.3704888076747634E-3</v>
      </c>
      <c r="AL10" s="234"/>
      <c r="AO10" s="234"/>
    </row>
    <row r="11" spans="1:42" x14ac:dyDescent="0.25">
      <c r="O11" s="11" t="s">
        <v>181</v>
      </c>
      <c r="P11" s="34"/>
      <c r="Q11" s="138">
        <f>IF(U58="N/A (N/A)", 0, VALUE(TRIM(CLEAN(MID(U58, FIND("(", U58)+1, 5)))))</f>
        <v>1.78E-2</v>
      </c>
      <c r="T11" s="11"/>
      <c r="W11" s="123">
        <v>42663</v>
      </c>
      <c r="X11" s="41">
        <v>66.31</v>
      </c>
      <c r="Y11" s="41">
        <v>66.510000000000005</v>
      </c>
      <c r="Z11" s="41">
        <v>65.5</v>
      </c>
      <c r="AA11" s="41">
        <v>65.67</v>
      </c>
      <c r="AB11" s="104">
        <v>1204300</v>
      </c>
      <c r="AC11" s="9">
        <v>65.67</v>
      </c>
      <c r="AD11" s="2">
        <f t="shared" si="0"/>
        <v>1.0100000000000051</v>
      </c>
      <c r="AE11" s="138">
        <f t="shared" si="1"/>
        <v>-1.6768977391825146E-2</v>
      </c>
      <c r="AL11" s="234"/>
      <c r="AO11" s="234"/>
    </row>
    <row r="12" spans="1:42" x14ac:dyDescent="0.25">
      <c r="W12" s="123">
        <v>42662</v>
      </c>
      <c r="X12" s="41">
        <v>66.5</v>
      </c>
      <c r="Y12" s="41">
        <v>67.48</v>
      </c>
      <c r="Z12" s="41">
        <v>66.040000000000006</v>
      </c>
      <c r="AA12" s="41">
        <v>66.790000000000006</v>
      </c>
      <c r="AB12" s="104">
        <v>1077100</v>
      </c>
      <c r="AC12" s="9">
        <v>66.790000000000006</v>
      </c>
      <c r="AD12" s="2">
        <f t="shared" si="0"/>
        <v>1.4399999999999977</v>
      </c>
      <c r="AE12" s="138">
        <f t="shared" si="1"/>
        <v>-2.389843166542116E-3</v>
      </c>
      <c r="AL12" s="234"/>
      <c r="AO12" s="234"/>
    </row>
    <row r="13" spans="1:42" x14ac:dyDescent="0.25">
      <c r="W13" s="123">
        <v>42661</v>
      </c>
      <c r="X13" s="41">
        <v>66.97</v>
      </c>
      <c r="Y13" s="41">
        <v>67.33</v>
      </c>
      <c r="Z13" s="41">
        <v>66.42</v>
      </c>
      <c r="AA13" s="41">
        <v>66.95</v>
      </c>
      <c r="AB13" s="104">
        <v>1106400</v>
      </c>
      <c r="AC13" s="9">
        <v>66.95</v>
      </c>
      <c r="AD13" s="2">
        <f t="shared" si="0"/>
        <v>0.90999999999999659</v>
      </c>
      <c r="AE13" s="138">
        <f t="shared" si="1"/>
        <v>9.6516362539587064E-3</v>
      </c>
    </row>
    <row r="14" spans="1:42" x14ac:dyDescent="0.25">
      <c r="W14" s="123">
        <v>42660</v>
      </c>
      <c r="X14" s="41">
        <v>65.95</v>
      </c>
      <c r="Y14" s="41">
        <v>66.400000000000006</v>
      </c>
      <c r="Z14" s="41">
        <v>65.849999999999994</v>
      </c>
      <c r="AA14" s="41">
        <v>66.31</v>
      </c>
      <c r="AB14" s="104">
        <v>1093100</v>
      </c>
      <c r="AC14" s="9">
        <v>66.31</v>
      </c>
      <c r="AD14" s="2">
        <f t="shared" si="0"/>
        <v>0.55000000000001137</v>
      </c>
      <c r="AE14" s="138">
        <f t="shared" si="1"/>
        <v>-1.507840772012603E-4</v>
      </c>
    </row>
    <row r="15" spans="1:42" x14ac:dyDescent="0.25">
      <c r="V15" s="2"/>
      <c r="W15" s="123">
        <v>42657</v>
      </c>
      <c r="X15" s="41">
        <v>67.12</v>
      </c>
      <c r="Y15" s="41">
        <v>67.45</v>
      </c>
      <c r="Z15" s="41">
        <v>66.3</v>
      </c>
      <c r="AA15" s="41">
        <v>66.319999999999993</v>
      </c>
      <c r="AB15" s="104">
        <v>978300</v>
      </c>
      <c r="AC15" s="9">
        <v>66.319999999999993</v>
      </c>
      <c r="AD15" s="2">
        <f t="shared" si="0"/>
        <v>1.1500000000000057</v>
      </c>
      <c r="AE15" s="138">
        <f t="shared" si="1"/>
        <v>-2.5567754549556954E-3</v>
      </c>
      <c r="AL15" s="234"/>
      <c r="AO15" s="234"/>
      <c r="AP15" s="234"/>
    </row>
    <row r="16" spans="1:42" x14ac:dyDescent="0.25">
      <c r="V16" s="2"/>
      <c r="W16" s="123">
        <v>42656</v>
      </c>
      <c r="X16" s="41">
        <v>65.709999999999994</v>
      </c>
      <c r="Y16" s="41">
        <v>66.709999999999994</v>
      </c>
      <c r="Z16" s="41">
        <v>65.42</v>
      </c>
      <c r="AA16" s="41">
        <v>66.489999999999995</v>
      </c>
      <c r="AB16" s="104">
        <v>861300</v>
      </c>
      <c r="AC16" s="9">
        <v>66.489999999999995</v>
      </c>
      <c r="AD16" s="2">
        <f t="shared" si="0"/>
        <v>1.289999999999992</v>
      </c>
      <c r="AE16" s="138">
        <f t="shared" si="1"/>
        <v>3.7741545893719142E-3</v>
      </c>
    </row>
    <row r="17" spans="1:42" x14ac:dyDescent="0.25">
      <c r="V17" s="2"/>
      <c r="W17" s="123">
        <v>42655</v>
      </c>
      <c r="X17" s="41">
        <v>66.36</v>
      </c>
      <c r="Y17" s="41">
        <v>66.47</v>
      </c>
      <c r="Z17" s="41">
        <v>65.989999999999995</v>
      </c>
      <c r="AA17" s="41">
        <v>66.239999999999995</v>
      </c>
      <c r="AB17" s="104">
        <v>806100</v>
      </c>
      <c r="AC17" s="9">
        <v>66.239999999999995</v>
      </c>
      <c r="AD17" s="2">
        <f t="shared" si="0"/>
        <v>0.48000000000000398</v>
      </c>
      <c r="AE17" s="138">
        <f t="shared" si="1"/>
        <v>-5.1066386302193179E-3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42654</v>
      </c>
      <c r="X18" s="41">
        <v>66.86</v>
      </c>
      <c r="Y18" s="41">
        <v>67.66</v>
      </c>
      <c r="Z18" s="41">
        <v>66.38</v>
      </c>
      <c r="AA18" s="41">
        <v>66.58</v>
      </c>
      <c r="AB18" s="104">
        <v>1392300</v>
      </c>
      <c r="AC18" s="9">
        <v>66.58</v>
      </c>
      <c r="AD18" s="2">
        <f t="shared" si="0"/>
        <v>1.2800000000000011</v>
      </c>
      <c r="AE18" s="138">
        <f t="shared" si="1"/>
        <v>-6.4169526936279642E-3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42653</v>
      </c>
      <c r="X19" s="41">
        <v>66.87</v>
      </c>
      <c r="Y19" s="41">
        <v>67.099999999999994</v>
      </c>
      <c r="Z19" s="41">
        <v>66.84</v>
      </c>
      <c r="AA19" s="41">
        <v>67.010000000000005</v>
      </c>
      <c r="AB19" s="104">
        <v>594900</v>
      </c>
      <c r="AC19" s="9">
        <v>67.010000000000005</v>
      </c>
      <c r="AD19" s="2">
        <f t="shared" si="0"/>
        <v>0.25999999999999091</v>
      </c>
      <c r="AE19" s="138">
        <f t="shared" si="1"/>
        <v>8.5791691751957444E-3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42650</v>
      </c>
      <c r="X20" s="41">
        <v>66.930000000000007</v>
      </c>
      <c r="Y20" s="41">
        <v>67.180000000000007</v>
      </c>
      <c r="Z20" s="41">
        <v>65.95</v>
      </c>
      <c r="AA20" s="41">
        <v>66.44</v>
      </c>
      <c r="AB20" s="104">
        <v>688200</v>
      </c>
      <c r="AC20" s="9">
        <v>66.44</v>
      </c>
      <c r="AD20" s="2">
        <f t="shared" si="0"/>
        <v>1.230000000000004</v>
      </c>
      <c r="AE20" s="138">
        <f t="shared" si="1"/>
        <v>-8.0621080919678345E-3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42649</v>
      </c>
      <c r="X21" s="41">
        <v>67.03</v>
      </c>
      <c r="Y21" s="41">
        <v>67.3</v>
      </c>
      <c r="Z21" s="41">
        <v>66.7</v>
      </c>
      <c r="AA21" s="41">
        <v>66.98</v>
      </c>
      <c r="AB21" s="104">
        <v>629100</v>
      </c>
      <c r="AC21" s="9">
        <v>66.98</v>
      </c>
      <c r="AD21" s="2">
        <f t="shared" si="0"/>
        <v>0.59999999999999432</v>
      </c>
      <c r="AE21" s="138">
        <f t="shared" si="1"/>
        <v>-2.9850746268655914E-4</v>
      </c>
    </row>
    <row r="22" spans="1:42" x14ac:dyDescent="0.25">
      <c r="B22" s="191" t="s">
        <v>114</v>
      </c>
      <c r="C22" s="191" t="s">
        <v>149</v>
      </c>
      <c r="D22" s="199" t="s">
        <v>148</v>
      </c>
      <c r="E22" s="195" t="s">
        <v>150</v>
      </c>
      <c r="F22" s="195" t="s">
        <v>65</v>
      </c>
      <c r="G22" s="229" t="s">
        <v>154</v>
      </c>
      <c r="H22" s="195" t="s">
        <v>88</v>
      </c>
      <c r="I22" s="241" t="s">
        <v>158</v>
      </c>
      <c r="J22" s="3"/>
      <c r="K22" s="3"/>
      <c r="L22" s="4"/>
      <c r="W22" s="123">
        <v>42648</v>
      </c>
      <c r="X22" s="41">
        <v>66.17</v>
      </c>
      <c r="Y22" s="41">
        <v>67.22</v>
      </c>
      <c r="Z22" s="41">
        <v>66.13</v>
      </c>
      <c r="AA22" s="41">
        <v>67</v>
      </c>
      <c r="AB22" s="104">
        <v>1395200</v>
      </c>
      <c r="AC22" s="9">
        <v>67</v>
      </c>
      <c r="AD22" s="2">
        <f t="shared" si="0"/>
        <v>1.0900000000000034</v>
      </c>
      <c r="AE22" s="138">
        <f t="shared" si="1"/>
        <v>1.6229334142271901E-2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42647</v>
      </c>
      <c r="X23" s="41">
        <v>65.819999999999993</v>
      </c>
      <c r="Y23" s="41">
        <v>66.72</v>
      </c>
      <c r="Z23" s="41">
        <v>65.819999999999993</v>
      </c>
      <c r="AA23" s="41">
        <v>65.930000000000007</v>
      </c>
      <c r="AB23" s="104">
        <v>2005700</v>
      </c>
      <c r="AC23" s="9">
        <v>65.930000000000007</v>
      </c>
      <c r="AD23" s="2">
        <f t="shared" si="0"/>
        <v>0.90000000000000568</v>
      </c>
      <c r="AE23" s="138">
        <f t="shared" si="1"/>
        <v>-1.5165301789488161E-4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42646</v>
      </c>
      <c r="X24" s="41">
        <v>65.22</v>
      </c>
      <c r="Y24" s="41">
        <v>66.03</v>
      </c>
      <c r="Z24" s="41">
        <v>64.930000000000007</v>
      </c>
      <c r="AA24" s="41">
        <v>65.94</v>
      </c>
      <c r="AB24" s="104">
        <v>1006300</v>
      </c>
      <c r="AC24" s="9">
        <v>65.94</v>
      </c>
      <c r="AD24" s="2">
        <f t="shared" si="0"/>
        <v>1.0999999999999943</v>
      </c>
      <c r="AE24" s="138">
        <f t="shared" si="1"/>
        <v>8.2568807339449268E-3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42643</v>
      </c>
      <c r="X25" s="41">
        <v>65.12</v>
      </c>
      <c r="Y25" s="41">
        <v>65.67</v>
      </c>
      <c r="Z25" s="41">
        <v>64.7</v>
      </c>
      <c r="AA25" s="41">
        <v>65.400000000000006</v>
      </c>
      <c r="AB25" s="104">
        <v>891800</v>
      </c>
      <c r="AC25" s="9">
        <v>65.400000000000006</v>
      </c>
      <c r="AD25" s="2">
        <f t="shared" si="0"/>
        <v>0.96999999999999886</v>
      </c>
      <c r="AE25" s="138">
        <f t="shared" si="1"/>
        <v>1.3168086754454134E-2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42642</v>
      </c>
      <c r="X26" s="41">
        <v>64.5</v>
      </c>
      <c r="Y26" s="41">
        <v>64.84</v>
      </c>
      <c r="Z26" s="41">
        <v>64.2</v>
      </c>
      <c r="AA26" s="41">
        <v>64.55</v>
      </c>
      <c r="AB26" s="104">
        <v>773300</v>
      </c>
      <c r="AC26" s="9">
        <v>64.55</v>
      </c>
      <c r="AD26" s="2">
        <f t="shared" si="0"/>
        <v>0.64000000000000057</v>
      </c>
      <c r="AE26" s="138">
        <f t="shared" si="1"/>
        <v>1.3962147067949626E-3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42641</v>
      </c>
      <c r="X27" s="41">
        <v>64.150000000000006</v>
      </c>
      <c r="Y27" s="41">
        <v>64.489999999999995</v>
      </c>
      <c r="Z27" s="41">
        <v>63.94</v>
      </c>
      <c r="AA27" s="41">
        <v>64.459999999999994</v>
      </c>
      <c r="AB27" s="104">
        <v>1255800</v>
      </c>
      <c r="AC27" s="9">
        <v>64.459999999999994</v>
      </c>
      <c r="AD27" s="2">
        <f t="shared" si="0"/>
        <v>0.54999999999999716</v>
      </c>
      <c r="AE27" s="138">
        <f t="shared" si="1"/>
        <v>7.1874999999999023E-3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42640</v>
      </c>
      <c r="X28" s="41">
        <v>63.45</v>
      </c>
      <c r="Y28" s="41">
        <v>64.150000000000006</v>
      </c>
      <c r="Z28" s="41">
        <v>63.17</v>
      </c>
      <c r="AA28" s="41">
        <v>64</v>
      </c>
      <c r="AB28" s="104">
        <v>920100</v>
      </c>
      <c r="AC28" s="9">
        <v>64</v>
      </c>
      <c r="AD28" s="2">
        <f t="shared" si="0"/>
        <v>0.98000000000000398</v>
      </c>
      <c r="AE28" s="138">
        <f t="shared" si="1"/>
        <v>4.3942247332078299E-3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42639</v>
      </c>
      <c r="X29" s="41">
        <v>63.81</v>
      </c>
      <c r="Y29" s="41">
        <v>64.040000000000006</v>
      </c>
      <c r="Z29" s="41">
        <v>63.5</v>
      </c>
      <c r="AA29" s="41">
        <v>63.72</v>
      </c>
      <c r="AB29" s="104">
        <v>670700</v>
      </c>
      <c r="AC29" s="9">
        <v>63.72</v>
      </c>
      <c r="AD29" s="2">
        <f t="shared" si="0"/>
        <v>0.54000000000000625</v>
      </c>
      <c r="AE29" s="138">
        <f t="shared" si="1"/>
        <v>-6.0832943378568149E-3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42636</v>
      </c>
      <c r="X30" s="41">
        <v>64.66</v>
      </c>
      <c r="Y30" s="41">
        <v>64.790000000000006</v>
      </c>
      <c r="Z30" s="41">
        <v>63.99</v>
      </c>
      <c r="AA30" s="41">
        <v>64.11</v>
      </c>
      <c r="AB30" s="104">
        <v>726700</v>
      </c>
      <c r="AC30" s="9">
        <v>64.11</v>
      </c>
      <c r="AD30" s="2">
        <f t="shared" si="0"/>
        <v>0.80000000000000426</v>
      </c>
      <c r="AE30" s="138">
        <f t="shared" si="1"/>
        <v>-1.2628985060834874E-2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42635</v>
      </c>
      <c r="X31" s="41">
        <v>65.010000000000005</v>
      </c>
      <c r="Y31" s="41">
        <v>65.239999999999995</v>
      </c>
      <c r="Z31" s="41">
        <v>64.849999999999994</v>
      </c>
      <c r="AA31" s="41">
        <v>64.930000000000007</v>
      </c>
      <c r="AB31" s="104">
        <v>1245200</v>
      </c>
      <c r="AC31" s="9">
        <v>64.930000000000007</v>
      </c>
      <c r="AD31" s="2">
        <f t="shared" si="0"/>
        <v>0.39000000000000057</v>
      </c>
      <c r="AE31" s="138">
        <f t="shared" si="1"/>
        <v>9.9548918960958854E-3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42634</v>
      </c>
      <c r="X32" s="41">
        <v>63.2</v>
      </c>
      <c r="Y32" s="41">
        <v>64.37</v>
      </c>
      <c r="Z32" s="41">
        <v>63.13</v>
      </c>
      <c r="AA32" s="41">
        <v>64.290000000000006</v>
      </c>
      <c r="AB32" s="104">
        <v>1177800</v>
      </c>
      <c r="AC32" s="9">
        <v>64.290000000000006</v>
      </c>
      <c r="AD32" s="2">
        <f t="shared" si="0"/>
        <v>1.240000000000002</v>
      </c>
      <c r="AE32" s="138">
        <f t="shared" si="1"/>
        <v>2.3726114649681662E-2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42633</v>
      </c>
      <c r="X33" s="41">
        <v>63.25</v>
      </c>
      <c r="Y33" s="41">
        <v>63.62</v>
      </c>
      <c r="Z33" s="41">
        <v>62.66</v>
      </c>
      <c r="AA33" s="41">
        <v>62.8</v>
      </c>
      <c r="AB33" s="104">
        <v>892200</v>
      </c>
      <c r="AC33" s="9">
        <v>62.8</v>
      </c>
      <c r="AD33" s="2">
        <f t="shared" si="0"/>
        <v>0.96000000000000085</v>
      </c>
      <c r="AE33" s="138">
        <f t="shared" si="1"/>
        <v>-2.0657873828063833E-3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42632</v>
      </c>
      <c r="X34" s="41">
        <v>62.86</v>
      </c>
      <c r="Y34" s="41">
        <v>63.22</v>
      </c>
      <c r="Z34" s="41">
        <v>62.79</v>
      </c>
      <c r="AA34" s="41">
        <v>62.93</v>
      </c>
      <c r="AB34" s="104">
        <v>1130900</v>
      </c>
      <c r="AC34" s="9">
        <v>62.93</v>
      </c>
      <c r="AD34" s="2">
        <f t="shared" si="0"/>
        <v>0.42999999999999972</v>
      </c>
      <c r="AE34" s="138">
        <f t="shared" si="1"/>
        <v>4.1487154938566473E-3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42629</v>
      </c>
      <c r="X35" s="41">
        <v>62.29</v>
      </c>
      <c r="Y35" s="41">
        <v>62.93</v>
      </c>
      <c r="Z35" s="41">
        <v>61.9</v>
      </c>
      <c r="AA35" s="41">
        <v>62.67</v>
      </c>
      <c r="AB35" s="104">
        <v>785200</v>
      </c>
      <c r="AC35" s="9">
        <v>62.67</v>
      </c>
      <c r="AD35" s="2">
        <f t="shared" si="0"/>
        <v>1.0300000000000011</v>
      </c>
      <c r="AE35" s="138">
        <f t="shared" si="1"/>
        <v>7.9846694346863423E-4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218</v>
      </c>
      <c r="M36" s="2">
        <f>K54+M54-F54</f>
        <v>121.94999999999982</v>
      </c>
      <c r="W36" s="123">
        <v>42628</v>
      </c>
      <c r="X36" s="41">
        <v>61.23</v>
      </c>
      <c r="Y36" s="41">
        <v>62.69</v>
      </c>
      <c r="Z36" s="41">
        <v>61.23</v>
      </c>
      <c r="AA36" s="41">
        <v>62.62</v>
      </c>
      <c r="AB36" s="104">
        <v>1026400</v>
      </c>
      <c r="AC36" s="9">
        <v>62.62</v>
      </c>
      <c r="AD36" s="2">
        <f t="shared" si="0"/>
        <v>1.4600000000000009</v>
      </c>
      <c r="AE36" s="138">
        <f t="shared" si="1"/>
        <v>2.1366824335344869E-2</v>
      </c>
    </row>
    <row r="37" spans="1:41" x14ac:dyDescent="0.25">
      <c r="A37" s="390" t="s">
        <v>1</v>
      </c>
      <c r="B37" s="390" t="s">
        <v>2</v>
      </c>
      <c r="C37" s="390" t="s">
        <v>4</v>
      </c>
      <c r="D37" s="391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1" t="s">
        <v>7</v>
      </c>
      <c r="J37" s="392" t="s">
        <v>95</v>
      </c>
      <c r="K37" s="392" t="s">
        <v>61</v>
      </c>
      <c r="L37" s="22" t="s">
        <v>37</v>
      </c>
      <c r="M37" s="22" t="s">
        <v>38</v>
      </c>
      <c r="W37" s="123">
        <v>42627</v>
      </c>
      <c r="X37" s="41">
        <v>61.19</v>
      </c>
      <c r="Y37" s="41">
        <v>61.9</v>
      </c>
      <c r="Z37" s="41">
        <v>61.11</v>
      </c>
      <c r="AA37" s="41">
        <v>61.31</v>
      </c>
      <c r="AB37" s="104">
        <v>849400</v>
      </c>
      <c r="AC37" s="9">
        <v>61.31</v>
      </c>
      <c r="AD37" s="2">
        <f t="shared" si="0"/>
        <v>0.78999999999999915</v>
      </c>
      <c r="AE37" s="138">
        <f t="shared" si="1"/>
        <v>-1.4657980456025399E-3</v>
      </c>
    </row>
    <row r="38" spans="1:41" x14ac:dyDescent="0.25">
      <c r="A38" s="393" t="s">
        <v>8</v>
      </c>
      <c r="B38" s="383">
        <v>42375</v>
      </c>
      <c r="C38" s="388">
        <v>40</v>
      </c>
      <c r="D38" s="389">
        <v>52.4</v>
      </c>
      <c r="E38" s="385">
        <v>0</v>
      </c>
      <c r="F38" s="385">
        <f>C38*D38+E38</f>
        <v>2096</v>
      </c>
      <c r="G38" s="383">
        <v>42416</v>
      </c>
      <c r="H38" s="388">
        <v>40</v>
      </c>
      <c r="I38" s="389">
        <v>55.45</v>
      </c>
      <c r="J38" s="385">
        <v>0.05</v>
      </c>
      <c r="K38" s="385">
        <f>H38*I38-J38</f>
        <v>2217.9499999999998</v>
      </c>
      <c r="L38" s="384"/>
      <c r="M38" s="384"/>
      <c r="W38" s="123">
        <v>42626</v>
      </c>
      <c r="X38" s="41">
        <v>62.05</v>
      </c>
      <c r="Y38" s="41">
        <v>62.55</v>
      </c>
      <c r="Z38" s="41">
        <v>61.37</v>
      </c>
      <c r="AA38" s="41">
        <v>61.4</v>
      </c>
      <c r="AB38" s="104">
        <v>819700</v>
      </c>
      <c r="AC38" s="9">
        <v>61.4</v>
      </c>
      <c r="AD38" s="2">
        <f t="shared" si="0"/>
        <v>1.1799999999999997</v>
      </c>
      <c r="AE38" s="138">
        <f t="shared" si="1"/>
        <v>-2.2759828107591917E-2</v>
      </c>
    </row>
    <row r="39" spans="1:41" x14ac:dyDescent="0.25">
      <c r="A39" s="394"/>
      <c r="B39" s="383"/>
      <c r="C39" s="388"/>
      <c r="D39" s="389"/>
      <c r="E39" s="385"/>
      <c r="F39" s="385"/>
      <c r="G39" s="383"/>
      <c r="H39" s="388"/>
      <c r="I39" s="389"/>
      <c r="J39" s="385"/>
      <c r="K39" s="385"/>
      <c r="L39" s="384"/>
      <c r="M39" s="384"/>
      <c r="W39" s="123">
        <v>42625</v>
      </c>
      <c r="X39" s="41">
        <v>61.81</v>
      </c>
      <c r="Y39" s="41">
        <v>63.35</v>
      </c>
      <c r="Z39" s="41">
        <v>61.56</v>
      </c>
      <c r="AA39" s="41">
        <v>62.83</v>
      </c>
      <c r="AB39" s="104">
        <v>1160200</v>
      </c>
      <c r="AC39" s="9">
        <v>62.83</v>
      </c>
      <c r="AD39" s="2">
        <f t="shared" si="0"/>
        <v>1.7899999999999991</v>
      </c>
      <c r="AE39" s="138">
        <f t="shared" si="1"/>
        <v>1.0453522032807916E-2</v>
      </c>
    </row>
    <row r="40" spans="1:41" x14ac:dyDescent="0.25">
      <c r="A40" s="384"/>
      <c r="B40" s="383"/>
      <c r="C40" s="388"/>
      <c r="D40" s="389"/>
      <c r="E40" s="385"/>
      <c r="F40" s="385"/>
      <c r="G40" s="383"/>
      <c r="H40" s="388"/>
      <c r="I40" s="389"/>
      <c r="J40" s="385"/>
      <c r="K40" s="385"/>
      <c r="L40" s="384"/>
      <c r="M40" s="384"/>
      <c r="W40" s="123">
        <v>42622</v>
      </c>
      <c r="X40" s="41">
        <v>63.88</v>
      </c>
      <c r="Y40" s="41">
        <v>63.94</v>
      </c>
      <c r="Z40" s="41">
        <v>62.18</v>
      </c>
      <c r="AA40" s="41">
        <v>62.18</v>
      </c>
      <c r="AB40" s="104">
        <v>1121100</v>
      </c>
      <c r="AC40" s="9">
        <v>62.18</v>
      </c>
      <c r="AD40" s="2">
        <f t="shared" si="0"/>
        <v>1.759999999999998</v>
      </c>
      <c r="AE40" s="138">
        <f t="shared" si="1"/>
        <v>-4.058015738311993E-2</v>
      </c>
    </row>
    <row r="41" spans="1:41" x14ac:dyDescent="0.25">
      <c r="A41" s="384"/>
      <c r="B41" s="383"/>
      <c r="C41" s="388"/>
      <c r="D41" s="389"/>
      <c r="E41" s="385"/>
      <c r="F41" s="385"/>
      <c r="G41" s="383"/>
      <c r="H41" s="388"/>
      <c r="I41" s="389"/>
      <c r="J41" s="385"/>
      <c r="K41" s="385"/>
      <c r="L41" s="384"/>
      <c r="M41" s="384"/>
      <c r="W41" s="123">
        <v>42621</v>
      </c>
      <c r="X41" s="41">
        <v>65.03</v>
      </c>
      <c r="Y41" s="41">
        <v>65.099999999999994</v>
      </c>
      <c r="Z41" s="41">
        <v>64.37</v>
      </c>
      <c r="AA41" s="41">
        <v>64.81</v>
      </c>
      <c r="AB41" s="104">
        <v>409500</v>
      </c>
      <c r="AC41" s="9">
        <v>64.81</v>
      </c>
      <c r="AD41" s="2">
        <f t="shared" si="0"/>
        <v>0.72999999999998977</v>
      </c>
      <c r="AE41" s="138">
        <f t="shared" si="1"/>
        <v>-3.6894696387393955E-3</v>
      </c>
      <c r="AL41" s="234"/>
      <c r="AO41" s="234"/>
    </row>
    <row r="42" spans="1:41" ht="20.25" thickBot="1" x14ac:dyDescent="0.35">
      <c r="A42" s="384"/>
      <c r="B42" s="383"/>
      <c r="C42" s="388"/>
      <c r="D42" s="389"/>
      <c r="E42" s="385"/>
      <c r="F42" s="385"/>
      <c r="G42" s="383"/>
      <c r="H42" s="388"/>
      <c r="I42" s="389"/>
      <c r="J42" s="385"/>
      <c r="K42" s="385"/>
      <c r="L42" s="384"/>
      <c r="M42" s="384"/>
      <c r="O42" s="377" t="s">
        <v>78</v>
      </c>
      <c r="P42" s="377"/>
      <c r="T42" s="105" t="s">
        <v>92</v>
      </c>
      <c r="U42" s="109"/>
      <c r="W42" s="123">
        <v>42620</v>
      </c>
      <c r="X42" s="41">
        <v>65.260000000000005</v>
      </c>
      <c r="Y42" s="41">
        <v>65.73</v>
      </c>
      <c r="Z42" s="41">
        <v>64.95</v>
      </c>
      <c r="AA42" s="41">
        <v>65.05</v>
      </c>
      <c r="AB42" s="104">
        <v>747000</v>
      </c>
      <c r="AC42" s="9">
        <v>65.05</v>
      </c>
      <c r="AD42" s="2">
        <f t="shared" si="0"/>
        <v>0.78000000000000114</v>
      </c>
      <c r="AE42" s="138" t="e">
        <f t="shared" si="1"/>
        <v>#DIV/0!</v>
      </c>
    </row>
    <row r="43" spans="1:41" ht="15.75" thickTop="1" x14ac:dyDescent="0.25">
      <c r="A43" s="384"/>
      <c r="B43" s="383"/>
      <c r="C43" s="388"/>
      <c r="D43" s="389"/>
      <c r="E43" s="385"/>
      <c r="F43" s="385"/>
      <c r="G43" s="383"/>
      <c r="H43" s="388"/>
      <c r="I43" s="389"/>
      <c r="J43" s="385"/>
      <c r="K43" s="385"/>
      <c r="L43" s="384"/>
      <c r="M43" s="384"/>
      <c r="O43" s="83">
        <v>1.1000000000000001</v>
      </c>
      <c r="P43" s="83">
        <f t="shared" ref="P43:P63" si="2">O43*$Q$4</f>
        <v>68.53</v>
      </c>
      <c r="T43" s="139" t="s">
        <v>98</v>
      </c>
      <c r="U43" s="140">
        <v>62.08</v>
      </c>
      <c r="W43" s="123">
        <v>42620</v>
      </c>
      <c r="X43" s="41" t="s">
        <v>326</v>
      </c>
      <c r="Y43" s="41"/>
      <c r="Z43" s="41"/>
      <c r="AA43" s="41"/>
      <c r="AB43" s="104"/>
      <c r="AC43" s="9"/>
      <c r="AD43" s="2">
        <f t="shared" si="0"/>
        <v>0</v>
      </c>
      <c r="AE43" s="138">
        <f t="shared" si="1"/>
        <v>-1</v>
      </c>
    </row>
    <row r="44" spans="1:41" x14ac:dyDescent="0.25">
      <c r="A44" s="384"/>
      <c r="B44" s="383"/>
      <c r="C44" s="388"/>
      <c r="D44" s="389"/>
      <c r="E44" s="385"/>
      <c r="F44" s="385"/>
      <c r="G44" s="383"/>
      <c r="H44" s="388"/>
      <c r="I44" s="389"/>
      <c r="J44" s="385"/>
      <c r="K44" s="385"/>
      <c r="L44" s="384"/>
      <c r="M44" s="384"/>
      <c r="O44" s="83">
        <v>1.0900000000000001</v>
      </c>
      <c r="P44" s="83">
        <f t="shared" si="2"/>
        <v>67.906999999999996</v>
      </c>
      <c r="T44" s="108" t="s">
        <v>99</v>
      </c>
      <c r="U44" s="106">
        <v>62.15</v>
      </c>
      <c r="W44" s="123">
        <v>42619</v>
      </c>
      <c r="X44" s="41">
        <v>65.73</v>
      </c>
      <c r="Y44" s="41">
        <v>65.790000000000006</v>
      </c>
      <c r="Z44" s="41">
        <v>65.349999999999994</v>
      </c>
      <c r="AA44" s="41">
        <v>65.44</v>
      </c>
      <c r="AB44" s="104">
        <v>685700</v>
      </c>
      <c r="AC44" s="9">
        <v>65.150000000000006</v>
      </c>
      <c r="AD44" s="2">
        <f t="shared" si="0"/>
        <v>0.44000000000001194</v>
      </c>
      <c r="AE44" s="138">
        <f t="shared" si="1"/>
        <v>-3.0688967316239157E-4</v>
      </c>
    </row>
    <row r="45" spans="1:41" x14ac:dyDescent="0.25">
      <c r="A45" s="384"/>
      <c r="B45" s="384"/>
      <c r="C45" s="384"/>
      <c r="D45" s="389"/>
      <c r="E45" s="385"/>
      <c r="F45" s="385"/>
      <c r="G45" s="384"/>
      <c r="H45" s="384"/>
      <c r="I45" s="389"/>
      <c r="J45" s="385"/>
      <c r="K45" s="385"/>
      <c r="L45" s="384"/>
      <c r="M45" s="384"/>
      <c r="O45" s="83">
        <v>1.08</v>
      </c>
      <c r="P45" s="83">
        <f t="shared" si="2"/>
        <v>67.284000000000006</v>
      </c>
      <c r="Q45" s="2"/>
      <c r="T45" s="108" t="s">
        <v>100</v>
      </c>
      <c r="U45" s="106" t="s">
        <v>498</v>
      </c>
      <c r="W45" s="123">
        <v>42615</v>
      </c>
      <c r="X45" s="41">
        <v>65.12</v>
      </c>
      <c r="Y45" s="41">
        <v>65.81</v>
      </c>
      <c r="Z45" s="41">
        <v>64.900000000000006</v>
      </c>
      <c r="AA45" s="41">
        <v>65.459999999999994</v>
      </c>
      <c r="AB45" s="104">
        <v>897400</v>
      </c>
      <c r="AC45" s="9">
        <v>65.17</v>
      </c>
      <c r="AD45" s="2">
        <f t="shared" si="0"/>
        <v>0.90999999999999659</v>
      </c>
      <c r="AE45" s="138">
        <f t="shared" si="1"/>
        <v>1.2270891581236398E-2</v>
      </c>
      <c r="AL45" s="234"/>
      <c r="AO45" s="234"/>
    </row>
    <row r="46" spans="1:41" x14ac:dyDescent="0.25">
      <c r="A46" s="384"/>
      <c r="B46" s="384"/>
      <c r="C46" s="384"/>
      <c r="D46" s="389"/>
      <c r="E46" s="385"/>
      <c r="F46" s="385"/>
      <c r="G46" s="384"/>
      <c r="H46" s="384"/>
      <c r="I46" s="389"/>
      <c r="J46" s="385"/>
      <c r="K46" s="385"/>
      <c r="L46" s="384"/>
      <c r="M46" s="384"/>
      <c r="O46" s="83">
        <v>1.07</v>
      </c>
      <c r="P46" s="83">
        <f t="shared" si="2"/>
        <v>66.661000000000001</v>
      </c>
      <c r="Q46" s="2"/>
      <c r="T46" s="108" t="s">
        <v>101</v>
      </c>
      <c r="U46" s="106" t="s">
        <v>499</v>
      </c>
      <c r="W46" s="123">
        <v>42614</v>
      </c>
      <c r="X46" s="41">
        <v>64.19</v>
      </c>
      <c r="Y46" s="41">
        <v>64.67</v>
      </c>
      <c r="Z46" s="41">
        <v>63.98</v>
      </c>
      <c r="AA46" s="41">
        <v>64.67</v>
      </c>
      <c r="AB46" s="104">
        <v>637700</v>
      </c>
      <c r="AC46" s="9">
        <v>64.38</v>
      </c>
      <c r="AD46" s="2">
        <f t="shared" si="0"/>
        <v>0.69000000000000483</v>
      </c>
      <c r="AE46" s="138">
        <f t="shared" si="1"/>
        <v>5.623242736644718E-3</v>
      </c>
    </row>
    <row r="47" spans="1:41" x14ac:dyDescent="0.25">
      <c r="A47" s="384"/>
      <c r="B47" s="384"/>
      <c r="C47" s="384"/>
      <c r="D47" s="389"/>
      <c r="E47" s="385"/>
      <c r="F47" s="385"/>
      <c r="G47" s="384"/>
      <c r="H47" s="384"/>
      <c r="I47" s="389"/>
      <c r="J47" s="385"/>
      <c r="K47" s="385"/>
      <c r="L47" s="384"/>
      <c r="M47" s="384"/>
      <c r="O47" s="83">
        <v>1.06</v>
      </c>
      <c r="P47" s="83">
        <f t="shared" si="2"/>
        <v>66.037999999999997</v>
      </c>
      <c r="Q47" s="2"/>
      <c r="T47" s="108" t="s">
        <v>102</v>
      </c>
      <c r="U47" s="106">
        <v>65.5</v>
      </c>
      <c r="W47" s="123">
        <v>42613</v>
      </c>
      <c r="X47" s="41">
        <v>64.63</v>
      </c>
      <c r="Y47" s="41">
        <v>64.72</v>
      </c>
      <c r="Z47" s="41">
        <v>63.99</v>
      </c>
      <c r="AA47" s="41">
        <v>64.31</v>
      </c>
      <c r="AB47" s="104">
        <v>692300</v>
      </c>
      <c r="AC47" s="9">
        <v>64.02</v>
      </c>
      <c r="AD47" s="2">
        <f t="shared" si="0"/>
        <v>0.72999999999999687</v>
      </c>
      <c r="AE47" s="138">
        <f t="shared" si="1"/>
        <v>-9.5915841584158779E-3</v>
      </c>
    </row>
    <row r="48" spans="1:41" x14ac:dyDescent="0.25">
      <c r="A48" s="384"/>
      <c r="B48" s="384"/>
      <c r="C48" s="384"/>
      <c r="D48" s="389"/>
      <c r="E48" s="385"/>
      <c r="F48" s="385"/>
      <c r="G48" s="384"/>
      <c r="H48" s="384"/>
      <c r="I48" s="389"/>
      <c r="J48" s="385"/>
      <c r="K48" s="385"/>
      <c r="L48" s="384"/>
      <c r="M48" s="384"/>
      <c r="O48" s="83">
        <v>1.05</v>
      </c>
      <c r="P48" s="83">
        <f t="shared" si="2"/>
        <v>65.415000000000006</v>
      </c>
      <c r="Q48" s="2"/>
      <c r="T48" s="108" t="s">
        <v>103</v>
      </c>
      <c r="U48" s="106">
        <v>1.18563</v>
      </c>
      <c r="W48" s="123">
        <v>42612</v>
      </c>
      <c r="X48" s="41">
        <v>65.150000000000006</v>
      </c>
      <c r="Y48" s="41">
        <v>65.53</v>
      </c>
      <c r="Z48" s="41">
        <v>64.790000000000006</v>
      </c>
      <c r="AA48" s="41">
        <v>64.930000000000007</v>
      </c>
      <c r="AB48" s="104">
        <v>479700</v>
      </c>
      <c r="AC48" s="9">
        <v>64.64</v>
      </c>
      <c r="AD48" s="2">
        <f t="shared" si="0"/>
        <v>0.73999999999999488</v>
      </c>
      <c r="AE48" s="138">
        <f t="shared" si="1"/>
        <v>-6.9135043785528705E-3</v>
      </c>
    </row>
    <row r="49" spans="1:42" x14ac:dyDescent="0.25">
      <c r="A49" s="384"/>
      <c r="B49" s="384"/>
      <c r="C49" s="384"/>
      <c r="D49" s="389"/>
      <c r="E49" s="385"/>
      <c r="F49" s="385"/>
      <c r="G49" s="384"/>
      <c r="H49" s="384"/>
      <c r="I49" s="389"/>
      <c r="J49" s="385"/>
      <c r="K49" s="385"/>
      <c r="L49" s="384"/>
      <c r="M49" s="384"/>
      <c r="O49" s="83">
        <v>1.04</v>
      </c>
      <c r="P49" s="83">
        <f t="shared" si="2"/>
        <v>64.792000000000002</v>
      </c>
      <c r="Q49" s="2"/>
      <c r="T49" s="108" t="s">
        <v>104</v>
      </c>
      <c r="U49" s="106" t="s">
        <v>129</v>
      </c>
      <c r="W49" s="123">
        <v>42611</v>
      </c>
      <c r="X49" s="41">
        <v>64.98</v>
      </c>
      <c r="Y49" s="41">
        <v>65.73</v>
      </c>
      <c r="Z49" s="41">
        <v>64.86</v>
      </c>
      <c r="AA49" s="41">
        <v>65.38</v>
      </c>
      <c r="AB49" s="104">
        <v>798800</v>
      </c>
      <c r="AC49" s="9">
        <v>65.09</v>
      </c>
      <c r="AD49" s="2">
        <f t="shared" si="0"/>
        <v>0.87000000000000455</v>
      </c>
      <c r="AE49" s="138">
        <f t="shared" si="1"/>
        <v>4.3203209381268426E-3</v>
      </c>
    </row>
    <row r="50" spans="1:42" x14ac:dyDescent="0.25">
      <c r="A50" s="384"/>
      <c r="B50" s="384"/>
      <c r="C50" s="384"/>
      <c r="D50" s="389"/>
      <c r="E50" s="385"/>
      <c r="F50" s="385"/>
      <c r="G50" s="384"/>
      <c r="H50" s="384"/>
      <c r="I50" s="389"/>
      <c r="J50" s="385"/>
      <c r="K50" s="385"/>
      <c r="L50" s="384"/>
      <c r="M50" s="384"/>
      <c r="O50" s="83">
        <v>1.03</v>
      </c>
      <c r="P50" s="83">
        <f t="shared" si="2"/>
        <v>64.168999999999997</v>
      </c>
      <c r="Q50" s="2"/>
      <c r="T50" s="108"/>
      <c r="U50" s="106"/>
      <c r="W50" s="123">
        <v>42608</v>
      </c>
      <c r="X50" s="41">
        <v>65.2</v>
      </c>
      <c r="Y50" s="41">
        <v>65.8</v>
      </c>
      <c r="Z50" s="41">
        <v>64.63</v>
      </c>
      <c r="AA50" s="41">
        <v>65.099999999999994</v>
      </c>
      <c r="AB50" s="104">
        <v>804500</v>
      </c>
      <c r="AC50" s="9">
        <v>64.81</v>
      </c>
      <c r="AD50" s="2">
        <f t="shared" si="0"/>
        <v>1.1700000000000017</v>
      </c>
      <c r="AE50" s="138">
        <f t="shared" si="1"/>
        <v>2.1648368640792004E-3</v>
      </c>
    </row>
    <row r="51" spans="1:42" x14ac:dyDescent="0.25">
      <c r="A51" s="384"/>
      <c r="B51" s="384"/>
      <c r="C51" s="384"/>
      <c r="D51" s="389"/>
      <c r="E51" s="385"/>
      <c r="F51" s="385"/>
      <c r="G51" s="384"/>
      <c r="H51" s="384"/>
      <c r="I51" s="389"/>
      <c r="J51" s="385"/>
      <c r="K51" s="385"/>
      <c r="L51" s="384"/>
      <c r="M51" s="384"/>
      <c r="O51" s="83">
        <v>1.02</v>
      </c>
      <c r="P51" s="83">
        <f t="shared" si="2"/>
        <v>63.545999999999999</v>
      </c>
      <c r="Q51" s="2"/>
      <c r="T51" s="108" t="s">
        <v>105</v>
      </c>
      <c r="U51" s="106" t="s">
        <v>500</v>
      </c>
      <c r="W51" s="123">
        <v>42607</v>
      </c>
      <c r="X51" s="41">
        <v>64.760000000000005</v>
      </c>
      <c r="Y51" s="41">
        <v>65.16</v>
      </c>
      <c r="Z51" s="41">
        <v>64.510000000000005</v>
      </c>
      <c r="AA51" s="41">
        <v>64.959999999999994</v>
      </c>
      <c r="AB51" s="104">
        <v>528300</v>
      </c>
      <c r="AC51" s="9">
        <v>64.67</v>
      </c>
      <c r="AD51" s="2">
        <f t="shared" si="0"/>
        <v>0.64999999999999147</v>
      </c>
      <c r="AE51" s="138">
        <f>AC51/AC52-1</f>
        <v>0</v>
      </c>
    </row>
    <row r="52" spans="1:42" x14ac:dyDescent="0.25">
      <c r="A52" s="384"/>
      <c r="B52" s="384"/>
      <c r="C52" s="384"/>
      <c r="D52" s="389"/>
      <c r="E52" s="385"/>
      <c r="F52" s="385"/>
      <c r="G52" s="384"/>
      <c r="H52" s="384"/>
      <c r="I52" s="389"/>
      <c r="J52" s="385"/>
      <c r="K52" s="385"/>
      <c r="L52" s="384"/>
      <c r="M52" s="384"/>
      <c r="O52" s="83">
        <v>1.01</v>
      </c>
      <c r="P52" s="83">
        <f t="shared" si="2"/>
        <v>62.922999999999995</v>
      </c>
      <c r="Q52" s="2"/>
      <c r="T52" s="108" t="s">
        <v>106</v>
      </c>
      <c r="U52" s="106" t="s">
        <v>384</v>
      </c>
      <c r="W52" s="123">
        <v>42606</v>
      </c>
      <c r="X52" s="41">
        <v>64.95</v>
      </c>
      <c r="Y52" s="41">
        <v>65.489999999999995</v>
      </c>
      <c r="Z52" s="41">
        <v>64.88</v>
      </c>
      <c r="AA52" s="41">
        <v>64.959999999999994</v>
      </c>
      <c r="AB52" s="104">
        <v>501800</v>
      </c>
      <c r="AC52" s="9">
        <v>64.67</v>
      </c>
      <c r="AD52" s="2">
        <f t="shared" si="0"/>
        <v>0.60999999999999943</v>
      </c>
      <c r="AE52" s="138">
        <f t="shared" si="1"/>
        <v>-3.0830892554339906E-3</v>
      </c>
    </row>
    <row r="53" spans="1:42" x14ac:dyDescent="0.25">
      <c r="A53" s="384"/>
      <c r="B53" s="384"/>
      <c r="C53" s="384"/>
      <c r="D53" s="389"/>
      <c r="E53" s="385"/>
      <c r="F53" s="385"/>
      <c r="G53" s="384"/>
      <c r="H53" s="384"/>
      <c r="I53" s="389"/>
      <c r="J53" s="385"/>
      <c r="K53" s="385"/>
      <c r="L53" s="384"/>
      <c r="M53" s="384"/>
      <c r="O53" s="83">
        <v>1</v>
      </c>
      <c r="P53" s="83">
        <f t="shared" si="2"/>
        <v>62.3</v>
      </c>
      <c r="Q53" s="2"/>
      <c r="T53" s="108" t="s">
        <v>107</v>
      </c>
      <c r="U53" s="107">
        <v>1051917</v>
      </c>
      <c r="W53" s="123">
        <v>42605</v>
      </c>
      <c r="X53" s="41">
        <v>65.27</v>
      </c>
      <c r="Y53" s="41">
        <v>65.400000000000006</v>
      </c>
      <c r="Z53" s="41">
        <v>64.739999999999995</v>
      </c>
      <c r="AA53" s="41">
        <v>65.16</v>
      </c>
      <c r="AB53" s="104">
        <v>510500</v>
      </c>
      <c r="AC53" s="9">
        <v>64.87</v>
      </c>
      <c r="AD53" s="2">
        <f t="shared" si="0"/>
        <v>0.6600000000000108</v>
      </c>
      <c r="AE53" s="138">
        <f t="shared" si="1"/>
        <v>3.7134457682193034E-3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61.677</v>
      </c>
      <c r="Q54" s="2"/>
      <c r="T54" s="108" t="s">
        <v>110</v>
      </c>
      <c r="U54" s="107">
        <v>921769</v>
      </c>
      <c r="W54" s="123">
        <v>42604</v>
      </c>
      <c r="X54" s="41">
        <v>64.36</v>
      </c>
      <c r="Y54" s="41">
        <v>65.11</v>
      </c>
      <c r="Z54" s="41">
        <v>64.33</v>
      </c>
      <c r="AA54" s="41">
        <v>64.92</v>
      </c>
      <c r="AB54" s="104">
        <v>506900</v>
      </c>
      <c r="AC54" s="9">
        <v>64.63</v>
      </c>
      <c r="AD54" s="2">
        <f t="shared" si="0"/>
        <v>0.78000000000000114</v>
      </c>
      <c r="AE54" s="138">
        <f t="shared" si="1"/>
        <v>1.7048977061375759E-3</v>
      </c>
    </row>
    <row r="55" spans="1:42" x14ac:dyDescent="0.25">
      <c r="O55" s="83">
        <v>0.98</v>
      </c>
      <c r="P55" s="83">
        <f t="shared" si="2"/>
        <v>61.053999999999995</v>
      </c>
      <c r="T55" s="108" t="s">
        <v>108</v>
      </c>
      <c r="U55" s="106" t="s">
        <v>501</v>
      </c>
      <c r="W55" s="123">
        <v>42601</v>
      </c>
      <c r="X55" s="41">
        <v>64.41</v>
      </c>
      <c r="Y55" s="41">
        <v>64.98</v>
      </c>
      <c r="Z55" s="41">
        <v>64.239999999999995</v>
      </c>
      <c r="AA55" s="41">
        <v>64.81</v>
      </c>
      <c r="AB55" s="104">
        <v>723800</v>
      </c>
      <c r="AC55" s="9">
        <v>64.52</v>
      </c>
      <c r="AD55" s="2">
        <f t="shared" si="0"/>
        <v>0.74000000000000909</v>
      </c>
      <c r="AE55" s="138">
        <f t="shared" si="1"/>
        <v>1.0861132660977546E-3</v>
      </c>
    </row>
    <row r="56" spans="1:42" x14ac:dyDescent="0.25">
      <c r="O56" s="83">
        <v>0.97</v>
      </c>
      <c r="P56" s="83">
        <f t="shared" si="2"/>
        <v>60.430999999999997</v>
      </c>
      <c r="T56" s="108" t="s">
        <v>111</v>
      </c>
      <c r="U56" s="106">
        <v>18.41</v>
      </c>
      <c r="W56" s="123">
        <v>42600</v>
      </c>
      <c r="X56" s="41">
        <v>64.290000000000006</v>
      </c>
      <c r="Y56" s="41">
        <v>64.98</v>
      </c>
      <c r="Z56" s="41">
        <v>64.260000000000005</v>
      </c>
      <c r="AA56" s="41">
        <v>64.739999999999995</v>
      </c>
      <c r="AB56" s="104">
        <v>586000</v>
      </c>
      <c r="AC56" s="9">
        <v>64.45</v>
      </c>
      <c r="AD56" s="2">
        <f t="shared" si="0"/>
        <v>0.71999999999999886</v>
      </c>
      <c r="AE56" s="138">
        <f t="shared" si="1"/>
        <v>7.8186082877247376E-3</v>
      </c>
    </row>
    <row r="57" spans="1:42" x14ac:dyDescent="0.25">
      <c r="O57" s="83">
        <v>0.96</v>
      </c>
      <c r="P57" s="83">
        <f t="shared" si="2"/>
        <v>59.807999999999993</v>
      </c>
      <c r="T57" s="108" t="s">
        <v>112</v>
      </c>
      <c r="U57" s="106">
        <v>3.38</v>
      </c>
      <c r="W57" s="123">
        <v>42599</v>
      </c>
      <c r="X57" s="41">
        <v>63.36</v>
      </c>
      <c r="Y57" s="41">
        <v>64.430000000000007</v>
      </c>
      <c r="Z57" s="41">
        <v>63.2</v>
      </c>
      <c r="AA57" s="41">
        <v>64.239999999999995</v>
      </c>
      <c r="AB57" s="104">
        <v>644400</v>
      </c>
      <c r="AC57" s="9">
        <v>63.95</v>
      </c>
      <c r="AD57" s="2">
        <f t="shared" si="0"/>
        <v>1.230000000000004</v>
      </c>
      <c r="AE57" s="138">
        <f t="shared" si="1"/>
        <v>1.250791640278659E-2</v>
      </c>
      <c r="AL57" s="234"/>
      <c r="AO57" s="234"/>
    </row>
    <row r="58" spans="1:42" x14ac:dyDescent="0.25">
      <c r="O58" s="83">
        <v>0.95</v>
      </c>
      <c r="P58" s="83">
        <f t="shared" si="2"/>
        <v>59.184999999999995</v>
      </c>
      <c r="T58" s="108" t="s">
        <v>109</v>
      </c>
      <c r="U58" s="106" t="s">
        <v>429</v>
      </c>
      <c r="W58" s="123">
        <v>42598</v>
      </c>
      <c r="X58" s="41">
        <v>63.4</v>
      </c>
      <c r="Y58" s="41">
        <v>63.71</v>
      </c>
      <c r="Z58" s="41">
        <v>63.22</v>
      </c>
      <c r="AA58" s="41">
        <v>63.44</v>
      </c>
      <c r="AB58" s="104">
        <v>601800</v>
      </c>
      <c r="AC58" s="9">
        <v>63.16</v>
      </c>
      <c r="AD58" s="2">
        <f t="shared" si="0"/>
        <v>0.49000000000000199</v>
      </c>
      <c r="AE58" s="138">
        <f t="shared" si="1"/>
        <v>1.2682308180087531E-3</v>
      </c>
    </row>
    <row r="59" spans="1:42" x14ac:dyDescent="0.25">
      <c r="O59" s="83">
        <v>0.94</v>
      </c>
      <c r="P59" s="83">
        <f t="shared" si="2"/>
        <v>58.561999999999991</v>
      </c>
      <c r="W59" s="123">
        <v>42597</v>
      </c>
      <c r="X59" s="41">
        <v>63.18</v>
      </c>
      <c r="Y59" s="41">
        <v>63.82</v>
      </c>
      <c r="Z59" s="41">
        <v>63.14</v>
      </c>
      <c r="AA59" s="41">
        <v>63.36</v>
      </c>
      <c r="AB59" s="104">
        <v>519300</v>
      </c>
      <c r="AC59" s="9">
        <v>63.08</v>
      </c>
      <c r="AD59" s="2">
        <f t="shared" si="0"/>
        <v>0.67999999999999972</v>
      </c>
      <c r="AE59" s="138">
        <f t="shared" si="1"/>
        <v>4.2986785543701611E-3</v>
      </c>
      <c r="AL59" s="234"/>
    </row>
    <row r="60" spans="1:42" x14ac:dyDescent="0.25">
      <c r="O60" s="83">
        <v>0.93</v>
      </c>
      <c r="P60" s="83">
        <f t="shared" si="2"/>
        <v>57.939</v>
      </c>
      <c r="W60" s="123">
        <v>42594</v>
      </c>
      <c r="X60" s="41">
        <v>63.38</v>
      </c>
      <c r="Y60" s="41">
        <v>63.53</v>
      </c>
      <c r="Z60" s="41">
        <v>62.81</v>
      </c>
      <c r="AA60" s="41">
        <v>63.09</v>
      </c>
      <c r="AB60" s="104">
        <v>620700</v>
      </c>
      <c r="AC60" s="9">
        <v>62.81</v>
      </c>
      <c r="AD60" s="2">
        <f t="shared" si="0"/>
        <v>0.71999999999999886</v>
      </c>
      <c r="AE60" s="138">
        <f t="shared" si="1"/>
        <v>-6.9565217391304168E-3</v>
      </c>
    </row>
    <row r="61" spans="1:42" x14ac:dyDescent="0.25">
      <c r="O61" s="83">
        <v>0.92</v>
      </c>
      <c r="P61" s="83">
        <f t="shared" si="2"/>
        <v>57.316000000000003</v>
      </c>
      <c r="W61" s="123">
        <v>42593</v>
      </c>
      <c r="X61" s="41">
        <v>63.45</v>
      </c>
      <c r="Y61" s="41">
        <v>63.8</v>
      </c>
      <c r="Z61" s="41">
        <v>62.91</v>
      </c>
      <c r="AA61" s="41">
        <v>63.53</v>
      </c>
      <c r="AB61" s="104">
        <v>614300</v>
      </c>
      <c r="AC61" s="9">
        <v>63.25</v>
      </c>
      <c r="AD61" s="2">
        <f t="shared" si="0"/>
        <v>0.89000000000000057</v>
      </c>
      <c r="AE61" s="138">
        <f t="shared" si="1"/>
        <v>1.3297020185837782E-2</v>
      </c>
      <c r="AL61" s="234"/>
      <c r="AO61" s="234"/>
    </row>
    <row r="62" spans="1:42" x14ac:dyDescent="0.25">
      <c r="O62" s="83">
        <v>0.91</v>
      </c>
      <c r="P62" s="83">
        <f t="shared" si="2"/>
        <v>56.692999999999998</v>
      </c>
      <c r="W62" s="123">
        <v>42592</v>
      </c>
      <c r="X62" s="41">
        <v>63.11</v>
      </c>
      <c r="Y62" s="41">
        <v>63.36</v>
      </c>
      <c r="Z62" s="41">
        <v>62.45</v>
      </c>
      <c r="AA62" s="41">
        <v>62.7</v>
      </c>
      <c r="AB62" s="104">
        <v>856200</v>
      </c>
      <c r="AC62" s="9">
        <v>62.42</v>
      </c>
      <c r="AD62" s="2">
        <f t="shared" si="0"/>
        <v>0.90999999999999659</v>
      </c>
      <c r="AE62" s="138">
        <f t="shared" si="1"/>
        <v>-6.4040986231184149E-4</v>
      </c>
    </row>
    <row r="63" spans="1:42" x14ac:dyDescent="0.25">
      <c r="O63" s="83">
        <v>0.9</v>
      </c>
      <c r="P63" s="83">
        <f t="shared" si="2"/>
        <v>56.07</v>
      </c>
      <c r="W63" s="123">
        <v>42591</v>
      </c>
      <c r="X63" s="41">
        <v>62.47</v>
      </c>
      <c r="Y63" s="41">
        <v>63.32</v>
      </c>
      <c r="Z63" s="41">
        <v>62.47</v>
      </c>
      <c r="AA63" s="41">
        <v>62.74</v>
      </c>
      <c r="AB63" s="104">
        <v>894600</v>
      </c>
      <c r="AC63" s="9">
        <v>62.46</v>
      </c>
      <c r="AD63" s="2">
        <f t="shared" si="0"/>
        <v>0.85000000000000142</v>
      </c>
      <c r="AE63" s="138">
        <f t="shared" si="1"/>
        <v>7.2568940493469292E-3</v>
      </c>
      <c r="AL63" s="234"/>
      <c r="AO63" s="234"/>
      <c r="AP63" s="234"/>
    </row>
    <row r="64" spans="1:42" x14ac:dyDescent="0.25">
      <c r="W64" s="123">
        <v>42590</v>
      </c>
      <c r="X64" s="41">
        <v>62.1</v>
      </c>
      <c r="Y64" s="41">
        <v>62.45</v>
      </c>
      <c r="Z64" s="41">
        <v>61.95</v>
      </c>
      <c r="AA64" s="41">
        <v>62.29</v>
      </c>
      <c r="AB64" s="104">
        <v>770200</v>
      </c>
      <c r="AC64" s="9">
        <v>62.01</v>
      </c>
      <c r="AD64" s="2">
        <f t="shared" si="0"/>
        <v>0.5</v>
      </c>
      <c r="AE64" s="138">
        <f t="shared" si="1"/>
        <v>5.5132155018646767E-3</v>
      </c>
    </row>
    <row r="65" spans="23:41" x14ac:dyDescent="0.25">
      <c r="W65" s="123">
        <v>42587</v>
      </c>
      <c r="X65" s="41">
        <v>61.63</v>
      </c>
      <c r="Y65" s="41">
        <v>62.21</v>
      </c>
      <c r="Z65" s="41">
        <v>61.54</v>
      </c>
      <c r="AA65" s="41">
        <v>61.95</v>
      </c>
      <c r="AB65" s="104">
        <v>903700</v>
      </c>
      <c r="AC65" s="9">
        <v>61.67</v>
      </c>
      <c r="AD65" s="2">
        <f t="shared" si="0"/>
        <v>0.67000000000000171</v>
      </c>
      <c r="AE65" s="138">
        <f t="shared" si="1"/>
        <v>2.438231469440888E-3</v>
      </c>
      <c r="AL65" s="234"/>
      <c r="AO65" s="234"/>
    </row>
    <row r="66" spans="23:41" x14ac:dyDescent="0.25">
      <c r="W66" s="123">
        <v>42586</v>
      </c>
      <c r="X66" s="41">
        <v>62.05</v>
      </c>
      <c r="Y66" s="41">
        <v>62.16</v>
      </c>
      <c r="Z66" s="41">
        <v>61.4</v>
      </c>
      <c r="AA66" s="41">
        <v>61.8</v>
      </c>
      <c r="AB66" s="104">
        <v>762200</v>
      </c>
      <c r="AC66" s="9">
        <v>61.52</v>
      </c>
      <c r="AD66" s="2">
        <f t="shared" si="0"/>
        <v>0.75999999999999801</v>
      </c>
      <c r="AE66" s="138">
        <f t="shared" si="1"/>
        <v>-7.4217489512744539E-3</v>
      </c>
    </row>
    <row r="67" spans="23:41" x14ac:dyDescent="0.25">
      <c r="W67" s="123">
        <v>42585</v>
      </c>
      <c r="X67" s="41">
        <v>61.88</v>
      </c>
      <c r="Y67" s="41">
        <v>62.66</v>
      </c>
      <c r="Z67" s="41">
        <v>61.71</v>
      </c>
      <c r="AA67" s="41">
        <v>62.26</v>
      </c>
      <c r="AB67" s="104">
        <v>982400</v>
      </c>
      <c r="AC67" s="9">
        <v>61.98</v>
      </c>
      <c r="AD67" s="2">
        <f>Y67-Z67</f>
        <v>0.94999999999999574</v>
      </c>
      <c r="AE67" s="138">
        <f>AC67/AC68-1</f>
        <v>7.1498212544685025E-3</v>
      </c>
      <c r="AL67" s="234"/>
    </row>
    <row r="68" spans="23:41" x14ac:dyDescent="0.25">
      <c r="W68" s="123">
        <v>42584</v>
      </c>
      <c r="X68" s="41">
        <v>63.77</v>
      </c>
      <c r="Y68" s="41">
        <v>64.27</v>
      </c>
      <c r="Z68" s="41">
        <v>61.71</v>
      </c>
      <c r="AA68" s="41">
        <v>61.82</v>
      </c>
      <c r="AB68" s="104">
        <v>1317800</v>
      </c>
      <c r="AC68" s="9">
        <v>61.54</v>
      </c>
      <c r="AD68" s="2">
        <f>Y68-Z68</f>
        <v>2.5599999999999952</v>
      </c>
      <c r="AE68" s="138" t="e">
        <f>AC68/AC69-1</f>
        <v>#DIV/0!</v>
      </c>
    </row>
    <row r="69" spans="23:41" x14ac:dyDescent="0.25">
      <c r="W69" s="30" t="s">
        <v>121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89" priority="39">
      <formula>Q12&gt;0</formula>
    </cfRule>
    <cfRule type="expression" dxfId="388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87" priority="33">
      <formula>F25&gt;0</formula>
    </cfRule>
    <cfRule type="expression" dxfId="386" priority="34">
      <formula>F25&lt;0</formula>
    </cfRule>
  </conditionalFormatting>
  <conditionalFormatting sqref="F30">
    <cfRule type="expression" dxfId="385" priority="31">
      <formula>F30&gt;0</formula>
    </cfRule>
    <cfRule type="expression" dxfId="384" priority="32">
      <formula>F30&lt;0</formula>
    </cfRule>
  </conditionalFormatting>
  <conditionalFormatting sqref="F31">
    <cfRule type="expression" dxfId="383" priority="29">
      <formula>F31&gt;0</formula>
    </cfRule>
    <cfRule type="expression" dxfId="382" priority="30">
      <formula>F31&lt;0</formula>
    </cfRule>
  </conditionalFormatting>
  <conditionalFormatting sqref="F32:F34">
    <cfRule type="expression" dxfId="381" priority="27">
      <formula>F32&gt;0</formula>
    </cfRule>
    <cfRule type="expression" dxfId="380" priority="28">
      <formula>F32&lt;0</formula>
    </cfRule>
  </conditionalFormatting>
  <conditionalFormatting sqref="H25:H29">
    <cfRule type="expression" dxfId="379" priority="25">
      <formula>H25&gt;0</formula>
    </cfRule>
    <cfRule type="expression" dxfId="378" priority="26">
      <formula>H25&lt;0</formula>
    </cfRule>
  </conditionalFormatting>
  <conditionalFormatting sqref="H30">
    <cfRule type="expression" dxfId="377" priority="23">
      <formula>H30&gt;0</formula>
    </cfRule>
    <cfRule type="expression" dxfId="376" priority="24">
      <formula>H30&lt;0</formula>
    </cfRule>
  </conditionalFormatting>
  <conditionalFormatting sqref="H31">
    <cfRule type="expression" dxfId="375" priority="21">
      <formula>H31&gt;0</formula>
    </cfRule>
    <cfRule type="expression" dxfId="374" priority="22">
      <formula>H31&lt;0</formula>
    </cfRule>
  </conditionalFormatting>
  <conditionalFormatting sqref="H32:H34">
    <cfRule type="expression" dxfId="373" priority="19">
      <formula>H32&gt;0</formula>
    </cfRule>
    <cfRule type="expression" dxfId="372" priority="20">
      <formula>H32&lt;0</formula>
    </cfRule>
  </conditionalFormatting>
  <conditionalFormatting sqref="F35">
    <cfRule type="expression" dxfId="371" priority="17">
      <formula>F35&gt;0</formula>
    </cfRule>
    <cfRule type="expression" dxfId="370" priority="18">
      <formula>F35&lt;0</formula>
    </cfRule>
  </conditionalFormatting>
  <conditionalFormatting sqref="H35">
    <cfRule type="expression" dxfId="369" priority="15">
      <formula>H35&gt;0</formula>
    </cfRule>
    <cfRule type="expression" dxfId="368" priority="16">
      <formula>H35&lt;0</formula>
    </cfRule>
  </conditionalFormatting>
  <conditionalFormatting sqref="F36">
    <cfRule type="expression" dxfId="367" priority="13">
      <formula>F36&gt;0</formula>
    </cfRule>
    <cfRule type="expression" dxfId="366" priority="14">
      <formula>F36&lt;0</formula>
    </cfRule>
  </conditionalFormatting>
  <conditionalFormatting sqref="H36">
    <cfRule type="expression" dxfId="365" priority="11">
      <formula>H36&gt;0</formula>
    </cfRule>
    <cfRule type="expression" dxfId="364" priority="12">
      <formula>H36&lt;0</formula>
    </cfRule>
  </conditionalFormatting>
  <conditionalFormatting sqref="H23:H24">
    <cfRule type="expression" dxfId="363" priority="5">
      <formula>H23&gt;0</formula>
    </cfRule>
    <cfRule type="expression" dxfId="362" priority="6">
      <formula>H23&lt;0</formula>
    </cfRule>
  </conditionalFormatting>
  <conditionalFormatting sqref="F23:F24">
    <cfRule type="expression" dxfId="361" priority="7">
      <formula>F23&gt;0</formula>
    </cfRule>
    <cfRule type="expression" dxfId="360" priority="8">
      <formula>F23&lt;0</formula>
    </cfRule>
  </conditionalFormatting>
  <conditionalFormatting sqref="Q7">
    <cfRule type="expression" dxfId="359" priority="3">
      <formula>Q7&gt;0</formula>
    </cfRule>
    <cfRule type="expression" dxfId="358" priority="4">
      <formula>Q7&lt;0</formula>
    </cfRule>
  </conditionalFormatting>
  <conditionalFormatting sqref="Q8">
    <cfRule type="expression" dxfId="357" priority="1">
      <formula>Q8&gt;0</formula>
    </cfRule>
    <cfRule type="expression" dxfId="35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8554687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178</v>
      </c>
      <c r="B2" s="473">
        <v>42627</v>
      </c>
      <c r="C2" s="7">
        <v>40</v>
      </c>
      <c r="D2" s="44">
        <v>46.47</v>
      </c>
      <c r="E2" s="44">
        <v>0</v>
      </c>
      <c r="F2" s="44">
        <f>D2*C2+E2</f>
        <v>1858.8</v>
      </c>
      <c r="G2" s="473">
        <v>42670</v>
      </c>
      <c r="H2" s="82">
        <v>40</v>
      </c>
      <c r="I2" s="44">
        <v>46.48</v>
      </c>
      <c r="J2" s="44">
        <v>0.04</v>
      </c>
      <c r="K2" s="44">
        <f>I2*H2-J2</f>
        <v>1859.1599999999999</v>
      </c>
      <c r="L2" s="74"/>
      <c r="M2" s="3"/>
      <c r="O2" s="11" t="s">
        <v>57</v>
      </c>
      <c r="Q2">
        <f>C18-H18</f>
        <v>40</v>
      </c>
      <c r="T2" s="85">
        <v>42566</v>
      </c>
      <c r="U2" t="s">
        <v>265</v>
      </c>
      <c r="W2" s="94">
        <v>42676</v>
      </c>
      <c r="X2" s="10">
        <v>45.38</v>
      </c>
      <c r="Y2" s="10">
        <v>45.51</v>
      </c>
      <c r="Z2" s="10">
        <v>45.07</v>
      </c>
      <c r="AA2" s="10">
        <v>45.24</v>
      </c>
      <c r="AB2" s="95">
        <v>19346300</v>
      </c>
      <c r="AC2" s="10">
        <v>45.24</v>
      </c>
      <c r="AD2" s="2">
        <f>Y2-Z2</f>
        <v>0.43999999999999773</v>
      </c>
      <c r="AE2" s="138">
        <f>AC2/AC3-1</f>
        <v>-1.6307893020221842E-2</v>
      </c>
    </row>
    <row r="3" spans="1:40" x14ac:dyDescent="0.25">
      <c r="A3" s="23" t="s">
        <v>71</v>
      </c>
      <c r="B3" s="74">
        <v>42639</v>
      </c>
      <c r="C3" s="4">
        <v>40</v>
      </c>
      <c r="D3" s="3">
        <v>44.8</v>
      </c>
      <c r="E3" s="3">
        <v>0</v>
      </c>
      <c r="F3" s="3">
        <f>D3*C3+E3</f>
        <v>1792</v>
      </c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44.791000000000011</v>
      </c>
      <c r="T3" s="121"/>
      <c r="W3" s="94">
        <v>42675</v>
      </c>
      <c r="X3" s="10">
        <v>46.12</v>
      </c>
      <c r="Y3" s="10">
        <v>46.28</v>
      </c>
      <c r="Z3" s="10">
        <v>45.6</v>
      </c>
      <c r="AA3" s="10">
        <v>45.99</v>
      </c>
      <c r="AB3" s="95">
        <v>19866000</v>
      </c>
      <c r="AC3" s="10">
        <v>45.99</v>
      </c>
      <c r="AD3" s="2">
        <f>Y3-Z3</f>
        <v>0.67999999999999972</v>
      </c>
      <c r="AE3" s="138">
        <f>AC3/AC4-1</f>
        <v>-4.3468811128011264E-4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74"/>
      <c r="M4" s="4"/>
      <c r="O4" s="11" t="s">
        <v>66</v>
      </c>
      <c r="Q4" s="55">
        <v>45.24</v>
      </c>
      <c r="R4" s="527">
        <v>-8.0999999999999996E-3</v>
      </c>
      <c r="T4" s="121"/>
      <c r="W4" s="94">
        <v>42674</v>
      </c>
      <c r="X4" s="10">
        <v>46.4</v>
      </c>
      <c r="Y4" s="10">
        <v>46.56</v>
      </c>
      <c r="Z4" s="10">
        <v>46</v>
      </c>
      <c r="AA4" s="10">
        <v>46.01</v>
      </c>
      <c r="AB4" s="95">
        <v>20115900</v>
      </c>
      <c r="AC4" s="10">
        <v>46.01</v>
      </c>
      <c r="AD4" s="2">
        <f t="shared" ref="AD4:AD67" si="0">Y4-Z4</f>
        <v>0.56000000000000227</v>
      </c>
      <c r="AE4" s="138">
        <f t="shared" ref="AE4:AE67" si="1">AC4/AC5-1</f>
        <v>-4.7588146225394645E-3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396"/>
      <c r="I5" s="75"/>
      <c r="J5" s="75"/>
      <c r="K5" s="75"/>
      <c r="L5" s="4"/>
      <c r="M5" s="4"/>
      <c r="O5" s="11" t="s">
        <v>67</v>
      </c>
      <c r="Q5" s="3">
        <f>Q4*Q2</f>
        <v>1809.6000000000001</v>
      </c>
      <c r="W5" s="94">
        <v>42671</v>
      </c>
      <c r="X5" s="10">
        <v>46.57</v>
      </c>
      <c r="Y5" s="10">
        <v>46.64</v>
      </c>
      <c r="Z5" s="10">
        <v>45.88</v>
      </c>
      <c r="AA5" s="10">
        <v>46.23</v>
      </c>
      <c r="AB5" s="95">
        <v>20882000</v>
      </c>
      <c r="AC5" s="10">
        <v>46.23</v>
      </c>
      <c r="AD5" s="2">
        <f t="shared" si="0"/>
        <v>0.75999999999999801</v>
      </c>
      <c r="AE5" s="138">
        <f t="shared" si="1"/>
        <v>-3.878474466709747E-3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1791.6400000000003</v>
      </c>
      <c r="W6" s="94">
        <v>42670</v>
      </c>
      <c r="X6" s="10">
        <v>46.42</v>
      </c>
      <c r="Y6" s="10">
        <v>46.81</v>
      </c>
      <c r="Z6" s="10">
        <v>46.26</v>
      </c>
      <c r="AA6" s="10">
        <v>46.41</v>
      </c>
      <c r="AB6" s="95">
        <v>25661000</v>
      </c>
      <c r="AC6" s="10">
        <v>46.41</v>
      </c>
      <c r="AD6" s="2">
        <f t="shared" si="0"/>
        <v>0.55000000000000426</v>
      </c>
      <c r="AE6" s="138">
        <f t="shared" si="1"/>
        <v>5.6338028169014009E-3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184</v>
      </c>
      <c r="P7"/>
      <c r="Q7" s="2">
        <f>Q10+Q8</f>
        <v>354.37000000000512</v>
      </c>
      <c r="R7">
        <v>40</v>
      </c>
      <c r="T7" s="85"/>
      <c r="W7" s="94">
        <v>42669</v>
      </c>
      <c r="X7" s="10">
        <v>45.46</v>
      </c>
      <c r="Y7" s="10">
        <v>46.17</v>
      </c>
      <c r="Z7" s="10">
        <v>45.44</v>
      </c>
      <c r="AA7" s="10">
        <v>46.15</v>
      </c>
      <c r="AB7" s="95">
        <v>25181900</v>
      </c>
      <c r="AC7" s="10">
        <v>46.15</v>
      </c>
      <c r="AD7" s="2">
        <f t="shared" si="0"/>
        <v>0.73000000000000398</v>
      </c>
      <c r="AE7" s="138">
        <f t="shared" si="1"/>
        <v>9.4050743657043689E-3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187</v>
      </c>
      <c r="Q8" s="2">
        <f>K18+M18-F18+Q2*Q4</f>
        <v>17.959999999999809</v>
      </c>
      <c r="W8" s="94">
        <v>42668</v>
      </c>
      <c r="X8" s="10">
        <v>45.47</v>
      </c>
      <c r="Y8" s="10">
        <v>45.8</v>
      </c>
      <c r="Z8" s="10">
        <v>45.41</v>
      </c>
      <c r="AA8" s="10">
        <v>45.72</v>
      </c>
      <c r="AB8" s="95">
        <v>20402000</v>
      </c>
      <c r="AC8" s="10">
        <v>45.72</v>
      </c>
      <c r="AD8" s="2">
        <f t="shared" si="0"/>
        <v>0.39000000000000057</v>
      </c>
      <c r="AE8" s="138">
        <f t="shared" si="1"/>
        <v>4.3936731107203641E-3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219</v>
      </c>
      <c r="P9"/>
      <c r="Q9" s="138">
        <f>IF(Q2=0, 0, Q8/Q6)</f>
        <v>1.002433524591983E-2</v>
      </c>
      <c r="W9" s="94">
        <v>42667</v>
      </c>
      <c r="X9" s="10">
        <v>45.45</v>
      </c>
      <c r="Y9" s="10">
        <v>45.68</v>
      </c>
      <c r="Z9" s="10">
        <v>45.29</v>
      </c>
      <c r="AA9" s="10">
        <v>45.52</v>
      </c>
      <c r="AB9" s="95">
        <v>19303800</v>
      </c>
      <c r="AC9" s="10">
        <v>45.52</v>
      </c>
      <c r="AD9" s="2">
        <f t="shared" si="0"/>
        <v>0.39000000000000057</v>
      </c>
      <c r="AE9" s="138">
        <f t="shared" si="1"/>
        <v>9.5364825903747619E-3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218</v>
      </c>
      <c r="Q10" s="2">
        <f>M87</f>
        <v>336.41000000000531</v>
      </c>
      <c r="W10" s="94">
        <v>42664</v>
      </c>
      <c r="X10" s="10">
        <v>44.74</v>
      </c>
      <c r="Y10" s="10">
        <v>45.3</v>
      </c>
      <c r="Z10" s="10">
        <v>44.66</v>
      </c>
      <c r="AA10" s="10">
        <v>45.09</v>
      </c>
      <c r="AB10" s="95">
        <v>21490800</v>
      </c>
      <c r="AC10" s="10">
        <v>45.09</v>
      </c>
      <c r="AD10" s="2">
        <f t="shared" si="0"/>
        <v>0.64000000000000057</v>
      </c>
      <c r="AE10" s="138">
        <f t="shared" si="1"/>
        <v>3.5610950367239713E-3</v>
      </c>
    </row>
    <row r="11" spans="1:40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181</v>
      </c>
      <c r="Q11" s="138">
        <f>IF(U58="N/A (N/A)", 0, VALUE(TRIM(CLEAN(MID(U58, FIND("(", U58)+1, 5)))))</f>
        <v>3.2899999999999999E-2</v>
      </c>
      <c r="W11" s="94">
        <v>42663</v>
      </c>
      <c r="X11" s="10">
        <v>44.97</v>
      </c>
      <c r="Y11" s="10">
        <v>45.29</v>
      </c>
      <c r="Z11" s="10">
        <v>44.66</v>
      </c>
      <c r="AA11" s="10">
        <v>44.93</v>
      </c>
      <c r="AB11" s="95">
        <v>27210600</v>
      </c>
      <c r="AC11" s="10">
        <v>44.93</v>
      </c>
      <c r="AD11" s="2">
        <f t="shared" si="0"/>
        <v>0.63000000000000256</v>
      </c>
      <c r="AE11" s="138">
        <f t="shared" si="1"/>
        <v>-7.2912063632346591E-3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94">
        <v>42662</v>
      </c>
      <c r="X12" s="10">
        <v>44.86</v>
      </c>
      <c r="Y12" s="10">
        <v>45.53</v>
      </c>
      <c r="Z12" s="10">
        <v>44.86</v>
      </c>
      <c r="AA12" s="10">
        <v>45.26</v>
      </c>
      <c r="AB12" s="95">
        <v>26977000</v>
      </c>
      <c r="AC12" s="10">
        <v>45.26</v>
      </c>
      <c r="AD12" s="2">
        <f t="shared" si="0"/>
        <v>0.67000000000000171</v>
      </c>
      <c r="AE12" s="138">
        <f t="shared" si="1"/>
        <v>6.8965517241377228E-3</v>
      </c>
    </row>
    <row r="13" spans="1:40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94">
        <v>42661</v>
      </c>
      <c r="X13" s="10">
        <v>44.75</v>
      </c>
      <c r="Y13" s="10">
        <v>45</v>
      </c>
      <c r="Z13" s="10">
        <v>44.41</v>
      </c>
      <c r="AA13" s="10">
        <v>44.95</v>
      </c>
      <c r="AB13" s="95">
        <v>23877600</v>
      </c>
      <c r="AC13" s="10">
        <v>44.95</v>
      </c>
      <c r="AD13" s="2">
        <f t="shared" si="0"/>
        <v>0.59000000000000341</v>
      </c>
      <c r="AE13" s="138">
        <f t="shared" si="1"/>
        <v>1.0112359550561889E-2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185"/>
      <c r="I14" s="3"/>
      <c r="J14" s="3"/>
      <c r="K14" s="3"/>
      <c r="L14" s="4"/>
      <c r="M14" s="4"/>
      <c r="T14" s="84"/>
      <c r="U14" s="11"/>
      <c r="W14" s="94">
        <v>42660</v>
      </c>
      <c r="X14" s="10">
        <v>44.54</v>
      </c>
      <c r="Y14" s="10">
        <v>44.76</v>
      </c>
      <c r="Z14" s="10">
        <v>44.32</v>
      </c>
      <c r="AA14" s="10">
        <v>44.5</v>
      </c>
      <c r="AB14" s="95">
        <v>18861300</v>
      </c>
      <c r="AC14" s="10">
        <v>44.5</v>
      </c>
      <c r="AD14" s="2">
        <f t="shared" si="0"/>
        <v>0.43999999999999773</v>
      </c>
      <c r="AE14" s="138">
        <f t="shared" si="1"/>
        <v>-4.6969358085440227E-3</v>
      </c>
    </row>
    <row r="15" spans="1:40" x14ac:dyDescent="0.25">
      <c r="H15" s="72"/>
      <c r="W15" s="94">
        <v>42657</v>
      </c>
      <c r="X15" s="10">
        <v>45.17</v>
      </c>
      <c r="Y15" s="10">
        <v>45.52</v>
      </c>
      <c r="Z15" s="10">
        <v>44.32</v>
      </c>
      <c r="AA15" s="10">
        <v>44.71</v>
      </c>
      <c r="AB15" s="95">
        <v>45418600</v>
      </c>
      <c r="AC15" s="10">
        <v>44.71</v>
      </c>
      <c r="AD15" s="2">
        <f t="shared" si="0"/>
        <v>1.2000000000000028</v>
      </c>
      <c r="AE15" s="138">
        <f t="shared" si="1"/>
        <v>-8.9385474860337322E-4</v>
      </c>
      <c r="AK15" s="234"/>
      <c r="AN15" s="234"/>
    </row>
    <row r="16" spans="1:40" x14ac:dyDescent="0.25">
      <c r="H16" s="72"/>
      <c r="W16" s="94">
        <v>42656</v>
      </c>
      <c r="X16" s="10">
        <v>45.24</v>
      </c>
      <c r="Y16" s="10">
        <v>45.24</v>
      </c>
      <c r="Z16" s="10">
        <v>44.28</v>
      </c>
      <c r="AA16" s="10">
        <v>44.75</v>
      </c>
      <c r="AB16" s="95">
        <v>44174600</v>
      </c>
      <c r="AC16" s="10">
        <v>44.75</v>
      </c>
      <c r="AD16" s="2">
        <f t="shared" si="0"/>
        <v>0.96000000000000085</v>
      </c>
      <c r="AE16" s="138">
        <f t="shared" si="1"/>
        <v>-1.2577228596646117E-2</v>
      </c>
    </row>
    <row r="17" spans="1:40" x14ac:dyDescent="0.25">
      <c r="H17" s="72"/>
      <c r="W17" s="94">
        <v>42655</v>
      </c>
      <c r="X17" s="10">
        <v>45.51</v>
      </c>
      <c r="Y17" s="10">
        <v>45.83</v>
      </c>
      <c r="Z17" s="10">
        <v>45.32</v>
      </c>
      <c r="AA17" s="10">
        <v>45.32</v>
      </c>
      <c r="AB17" s="95">
        <v>21780500</v>
      </c>
      <c r="AC17" s="10">
        <v>45.32</v>
      </c>
      <c r="AD17" s="2">
        <f t="shared" si="0"/>
        <v>0.50999999999999801</v>
      </c>
      <c r="AE17" s="138">
        <f t="shared" si="1"/>
        <v>-2.8602860286028875E-3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80</v>
      </c>
      <c r="D18" s="18"/>
      <c r="E18" s="18"/>
      <c r="F18" s="18">
        <f>SUM(F2:F17)</f>
        <v>3650.8</v>
      </c>
      <c r="G18" s="14"/>
      <c r="H18" s="73">
        <f>SUM(H2:H17)</f>
        <v>40</v>
      </c>
      <c r="I18" s="18"/>
      <c r="J18" s="18"/>
      <c r="K18" s="18">
        <f>SUM(K2:K17)</f>
        <v>1859.1599999999999</v>
      </c>
      <c r="L18" s="18"/>
      <c r="M18" s="18">
        <f>SUM(M2:M17)</f>
        <v>0</v>
      </c>
      <c r="W18" s="94">
        <v>42654</v>
      </c>
      <c r="X18" s="10">
        <v>45.8</v>
      </c>
      <c r="Y18" s="10">
        <v>45.82</v>
      </c>
      <c r="Z18" s="10">
        <v>45.15</v>
      </c>
      <c r="AA18" s="10">
        <v>45.45</v>
      </c>
      <c r="AB18" s="95">
        <v>25442600</v>
      </c>
      <c r="AC18" s="10">
        <v>45.45</v>
      </c>
      <c r="AD18" s="2">
        <f t="shared" si="0"/>
        <v>0.67000000000000171</v>
      </c>
      <c r="AE18" s="138">
        <f t="shared" si="1"/>
        <v>-4.3811610076669449E-3</v>
      </c>
    </row>
    <row r="19" spans="1:40" ht="15.75" thickBot="1" x14ac:dyDescent="0.3">
      <c r="A19" s="359" t="s">
        <v>201</v>
      </c>
      <c r="B19" s="360"/>
      <c r="C19" s="361">
        <f>SumByColor($A$19,C2:C17)</f>
        <v>40</v>
      </c>
      <c r="D19" s="361"/>
      <c r="E19" s="361"/>
      <c r="F19" s="362">
        <f>SumByColor($A$19,F2:F17)</f>
        <v>1859</v>
      </c>
      <c r="G19" s="361"/>
      <c r="H19" s="361">
        <f>SumByColor($A$19,H2:H17)</f>
        <v>40</v>
      </c>
      <c r="I19" s="361"/>
      <c r="J19" s="361"/>
      <c r="K19" s="362">
        <f>SumByColor($A$19,K2:K17)</f>
        <v>1859</v>
      </c>
      <c r="L19" s="361"/>
      <c r="M19" s="362">
        <f t="shared" ref="M19" si="2">SumByColor($A$19,M2:M17)</f>
        <v>0</v>
      </c>
      <c r="W19" s="94">
        <v>42653</v>
      </c>
      <c r="X19" s="10">
        <v>45.7</v>
      </c>
      <c r="Y19" s="10">
        <v>45.92</v>
      </c>
      <c r="Z19" s="10">
        <v>45.44</v>
      </c>
      <c r="AA19" s="10">
        <v>45.65</v>
      </c>
      <c r="AB19" s="95">
        <v>21804900</v>
      </c>
      <c r="AC19" s="10">
        <v>45.65</v>
      </c>
      <c r="AD19" s="2">
        <f t="shared" si="0"/>
        <v>0.48000000000000398</v>
      </c>
      <c r="AE19" s="138">
        <f t="shared" si="1"/>
        <v>7.0593425987204306E-3</v>
      </c>
      <c r="AK19" s="234"/>
      <c r="AN19" s="234"/>
    </row>
    <row r="20" spans="1:40" x14ac:dyDescent="0.25">
      <c r="W20" s="94">
        <v>42650</v>
      </c>
      <c r="X20" s="10">
        <v>45.2</v>
      </c>
      <c r="Y20" s="10">
        <v>45.45</v>
      </c>
      <c r="Z20" s="10">
        <v>44.93</v>
      </c>
      <c r="AA20" s="10">
        <v>45.33</v>
      </c>
      <c r="AB20" s="95">
        <v>24893600</v>
      </c>
      <c r="AC20" s="10">
        <v>45.33</v>
      </c>
      <c r="AD20" s="2">
        <f t="shared" si="0"/>
        <v>0.52000000000000313</v>
      </c>
      <c r="AE20" s="138">
        <f t="shared" si="1"/>
        <v>3.3200531208499307E-3</v>
      </c>
    </row>
    <row r="21" spans="1:40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W21" s="94">
        <v>42649</v>
      </c>
      <c r="X21" s="10">
        <v>45.18</v>
      </c>
      <c r="Y21" s="10">
        <v>45.39</v>
      </c>
      <c r="Z21" s="10">
        <v>44.83</v>
      </c>
      <c r="AA21" s="10">
        <v>45.18</v>
      </c>
      <c r="AB21" s="95">
        <v>29878200</v>
      </c>
      <c r="AC21" s="10">
        <v>45.18</v>
      </c>
      <c r="AD21" s="2">
        <f t="shared" si="0"/>
        <v>0.56000000000000227</v>
      </c>
      <c r="AE21" s="138">
        <f t="shared" si="1"/>
        <v>4.2231607023781592E-3</v>
      </c>
      <c r="AK21" s="234"/>
      <c r="AN21" s="234"/>
    </row>
    <row r="22" spans="1:40" x14ac:dyDescent="0.25">
      <c r="B22" s="193">
        <v>42376</v>
      </c>
      <c r="C22" s="10">
        <v>40</v>
      </c>
      <c r="D22" s="200">
        <v>50.5</v>
      </c>
      <c r="E22" s="40">
        <v>50.4</v>
      </c>
      <c r="F22" s="40">
        <f t="shared" ref="F22:F44" si="3">C22*(E22-D22)</f>
        <v>-4.0000000000000568</v>
      </c>
      <c r="G22" s="40">
        <f t="shared" ref="G22:G44" si="4">D22*C22</f>
        <v>2020</v>
      </c>
      <c r="H22" s="231">
        <f t="shared" ref="H22:H44" si="5">(E22-D22)/D22</f>
        <v>-1.9801980198020084E-3</v>
      </c>
      <c r="I22" s="40"/>
      <c r="W22" s="94">
        <v>42648</v>
      </c>
      <c r="X22" s="10">
        <v>43.83</v>
      </c>
      <c r="Y22" s="10">
        <v>45.08</v>
      </c>
      <c r="Z22" s="10">
        <v>43.83</v>
      </c>
      <c r="AA22" s="10">
        <v>44.99</v>
      </c>
      <c r="AB22" s="95">
        <v>40459000</v>
      </c>
      <c r="AC22" s="10">
        <v>44.99</v>
      </c>
      <c r="AD22" s="2">
        <f t="shared" si="0"/>
        <v>1.25</v>
      </c>
      <c r="AE22" s="138">
        <f t="shared" si="1"/>
        <v>2.8342857142857225E-2</v>
      </c>
    </row>
    <row r="23" spans="1:40" x14ac:dyDescent="0.25">
      <c r="B23" s="193">
        <v>42403</v>
      </c>
      <c r="C23" s="10">
        <v>40</v>
      </c>
      <c r="D23" s="200">
        <v>50.5</v>
      </c>
      <c r="E23" s="40">
        <v>47.6</v>
      </c>
      <c r="F23" s="40">
        <f t="shared" si="3"/>
        <v>-115.99999999999994</v>
      </c>
      <c r="G23" s="40">
        <f t="shared" si="4"/>
        <v>2020</v>
      </c>
      <c r="H23" s="231">
        <f t="shared" si="5"/>
        <v>-5.74257425742574E-2</v>
      </c>
      <c r="I23" s="40"/>
      <c r="W23" s="94">
        <v>42647</v>
      </c>
      <c r="X23" s="10">
        <v>43.62</v>
      </c>
      <c r="Y23" s="10">
        <v>44.09</v>
      </c>
      <c r="Z23" s="10">
        <v>43.55</v>
      </c>
      <c r="AA23" s="10">
        <v>43.75</v>
      </c>
      <c r="AB23" s="95">
        <v>44008300</v>
      </c>
      <c r="AC23" s="10">
        <v>43.75</v>
      </c>
      <c r="AD23" s="2">
        <f t="shared" si="0"/>
        <v>0.54000000000000625</v>
      </c>
      <c r="AE23" s="138">
        <f t="shared" si="1"/>
        <v>-1.8252338580880823E-3</v>
      </c>
      <c r="AK23" s="234"/>
    </row>
    <row r="24" spans="1:40" x14ac:dyDescent="0.25">
      <c r="B24" s="193">
        <v>42430</v>
      </c>
      <c r="C24" s="10">
        <v>40</v>
      </c>
      <c r="D24" s="200">
        <v>50.125</v>
      </c>
      <c r="E24" s="40">
        <v>48.72</v>
      </c>
      <c r="F24" s="40">
        <f t="shared" si="3"/>
        <v>-56.200000000000045</v>
      </c>
      <c r="G24" s="40">
        <f t="shared" si="4"/>
        <v>2005</v>
      </c>
      <c r="H24" s="231">
        <f t="shared" si="5"/>
        <v>-2.8029925187032442E-2</v>
      </c>
      <c r="I24" s="40" t="s">
        <v>189</v>
      </c>
      <c r="W24" s="94">
        <v>42646</v>
      </c>
      <c r="X24" s="10">
        <v>44.12</v>
      </c>
      <c r="Y24" s="10">
        <v>44.16</v>
      </c>
      <c r="Z24" s="10">
        <v>43.56</v>
      </c>
      <c r="AA24" s="10">
        <v>43.83</v>
      </c>
      <c r="AB24" s="95">
        <v>38197700</v>
      </c>
      <c r="AC24" s="10">
        <v>43.83</v>
      </c>
      <c r="AD24" s="2">
        <f t="shared" si="0"/>
        <v>0.59999999999999432</v>
      </c>
      <c r="AE24" s="138">
        <f t="shared" si="1"/>
        <v>-1.0162601626016343E-2</v>
      </c>
    </row>
    <row r="25" spans="1:40" x14ac:dyDescent="0.25">
      <c r="B25" s="193">
        <v>42431</v>
      </c>
      <c r="C25" s="10">
        <v>40</v>
      </c>
      <c r="D25" s="200">
        <v>50.125</v>
      </c>
      <c r="E25" s="40">
        <v>49.57</v>
      </c>
      <c r="F25" s="40">
        <f t="shared" si="3"/>
        <v>-22.199999999999989</v>
      </c>
      <c r="G25" s="40">
        <f t="shared" si="4"/>
        <v>2005</v>
      </c>
      <c r="H25" s="231">
        <f t="shared" si="5"/>
        <v>-1.1072319201995006E-2</v>
      </c>
      <c r="I25" s="40"/>
      <c r="W25" s="94">
        <v>42643</v>
      </c>
      <c r="X25" s="10">
        <v>44.33</v>
      </c>
      <c r="Y25" s="10">
        <v>44.73</v>
      </c>
      <c r="Z25" s="10">
        <v>44.1</v>
      </c>
      <c r="AA25" s="10">
        <v>44.28</v>
      </c>
      <c r="AB25" s="95">
        <v>54117700</v>
      </c>
      <c r="AC25" s="10">
        <v>44.28</v>
      </c>
      <c r="AD25" s="2">
        <f t="shared" si="0"/>
        <v>0.62999999999999545</v>
      </c>
      <c r="AE25" s="138">
        <f t="shared" si="1"/>
        <v>-2.0283975659228792E-3</v>
      </c>
    </row>
    <row r="26" spans="1:40" x14ac:dyDescent="0.25">
      <c r="B26" s="193">
        <v>42438</v>
      </c>
      <c r="C26" s="10">
        <v>40</v>
      </c>
      <c r="D26" s="200">
        <v>50.125</v>
      </c>
      <c r="E26" s="40">
        <v>48.79</v>
      </c>
      <c r="F26" s="40">
        <f t="shared" si="3"/>
        <v>-53.400000000000034</v>
      </c>
      <c r="G26" s="40">
        <f t="shared" si="4"/>
        <v>2005</v>
      </c>
      <c r="H26" s="231">
        <f t="shared" si="5"/>
        <v>-2.6633416458852886E-2</v>
      </c>
      <c r="I26" s="40"/>
      <c r="W26" s="94">
        <v>42642</v>
      </c>
      <c r="X26" s="10">
        <v>45.19</v>
      </c>
      <c r="Y26" s="10">
        <v>45.26</v>
      </c>
      <c r="Z26" s="10">
        <v>44.21</v>
      </c>
      <c r="AA26" s="10">
        <v>44.37</v>
      </c>
      <c r="AB26" s="95">
        <v>45266700</v>
      </c>
      <c r="AC26" s="10">
        <v>44.37</v>
      </c>
      <c r="AD26" s="2">
        <f t="shared" si="0"/>
        <v>1.0499999999999972</v>
      </c>
      <c r="AE26" s="138">
        <f t="shared" si="1"/>
        <v>-2.0745972191569262E-2</v>
      </c>
    </row>
    <row r="27" spans="1:40" x14ac:dyDescent="0.25">
      <c r="B27" s="193">
        <v>42444</v>
      </c>
      <c r="C27" s="282">
        <v>40</v>
      </c>
      <c r="D27" s="283">
        <v>50.125</v>
      </c>
      <c r="E27" s="40">
        <v>49.98</v>
      </c>
      <c r="F27" s="40">
        <f t="shared" si="3"/>
        <v>-5.8000000000001251</v>
      </c>
      <c r="G27" s="40">
        <f t="shared" si="4"/>
        <v>2005</v>
      </c>
      <c r="H27" s="231">
        <f t="shared" si="5"/>
        <v>-2.8927680798005611E-3</v>
      </c>
      <c r="I27" s="40"/>
      <c r="W27" s="94">
        <v>42641</v>
      </c>
      <c r="X27" s="10">
        <v>45.36</v>
      </c>
      <c r="Y27" s="10">
        <v>45.48</v>
      </c>
      <c r="Z27" s="10">
        <v>44.96</v>
      </c>
      <c r="AA27" s="10">
        <v>45.31</v>
      </c>
      <c r="AB27" s="95">
        <v>28220300</v>
      </c>
      <c r="AC27" s="10">
        <v>45.31</v>
      </c>
      <c r="AD27" s="2">
        <f t="shared" si="0"/>
        <v>0.51999999999999602</v>
      </c>
      <c r="AE27" s="138">
        <f t="shared" si="1"/>
        <v>4.8791306276336766E-3</v>
      </c>
    </row>
    <row r="28" spans="1:40" x14ac:dyDescent="0.25">
      <c r="B28" s="193">
        <v>42466</v>
      </c>
      <c r="C28" s="429">
        <v>80</v>
      </c>
      <c r="D28" s="212">
        <v>48.752499999999998</v>
      </c>
      <c r="E28" s="40">
        <v>48.08</v>
      </c>
      <c r="F28" s="40">
        <f t="shared" si="3"/>
        <v>-53.799999999999955</v>
      </c>
      <c r="G28" s="40">
        <f t="shared" si="4"/>
        <v>3900.2</v>
      </c>
      <c r="H28" s="231">
        <f t="shared" si="5"/>
        <v>-1.3794164401825536E-2</v>
      </c>
      <c r="I28" s="40"/>
      <c r="W28" s="94">
        <v>42640</v>
      </c>
      <c r="X28" s="10">
        <v>44.79</v>
      </c>
      <c r="Y28" s="10">
        <v>45.1</v>
      </c>
      <c r="Z28" s="10">
        <v>44.66</v>
      </c>
      <c r="AA28" s="10">
        <v>45.09</v>
      </c>
      <c r="AB28" s="95">
        <v>24359000</v>
      </c>
      <c r="AC28" s="10">
        <v>45.09</v>
      </c>
      <c r="AD28" s="2">
        <f t="shared" si="0"/>
        <v>0.44000000000000483</v>
      </c>
      <c r="AE28" s="138">
        <f t="shared" si="1"/>
        <v>4.6791443850267012E-3</v>
      </c>
    </row>
    <row r="29" spans="1:40" x14ac:dyDescent="0.25">
      <c r="B29" s="193">
        <v>42469</v>
      </c>
      <c r="C29" s="282">
        <v>80</v>
      </c>
      <c r="D29" s="283">
        <v>48.752499999999998</v>
      </c>
      <c r="E29" s="40">
        <v>47.07</v>
      </c>
      <c r="F29" s="40">
        <f t="shared" si="3"/>
        <v>-134.5999999999998</v>
      </c>
      <c r="G29" s="40">
        <f t="shared" si="4"/>
        <v>3900.2</v>
      </c>
      <c r="H29" s="231">
        <f t="shared" si="5"/>
        <v>-3.451105071534788E-2</v>
      </c>
      <c r="I29" s="40"/>
      <c r="W29" s="94">
        <v>42639</v>
      </c>
      <c r="X29" s="10">
        <v>45.37</v>
      </c>
      <c r="Y29" s="10">
        <v>45.5</v>
      </c>
      <c r="Z29" s="10">
        <v>44.65</v>
      </c>
      <c r="AA29" s="10">
        <v>44.88</v>
      </c>
      <c r="AB29" s="95">
        <v>30938000</v>
      </c>
      <c r="AC29" s="10">
        <v>44.88</v>
      </c>
      <c r="AD29" s="2">
        <f t="shared" si="0"/>
        <v>0.85000000000000142</v>
      </c>
      <c r="AE29" s="138">
        <f t="shared" si="1"/>
        <v>-1.8801923917796226E-2</v>
      </c>
    </row>
    <row r="30" spans="1:40" x14ac:dyDescent="0.25">
      <c r="B30" s="193">
        <v>42473</v>
      </c>
      <c r="C30" s="282">
        <v>40</v>
      </c>
      <c r="D30" s="283">
        <v>48.595999999999997</v>
      </c>
      <c r="E30" s="40">
        <v>49.03</v>
      </c>
      <c r="F30" s="40">
        <f t="shared" si="3"/>
        <v>17.360000000000184</v>
      </c>
      <c r="G30" s="40">
        <f t="shared" si="4"/>
        <v>1943.84</v>
      </c>
      <c r="H30" s="231">
        <f t="shared" si="5"/>
        <v>8.9307761955717477E-3</v>
      </c>
      <c r="I30" s="40"/>
      <c r="W30" s="94">
        <v>42636</v>
      </c>
      <c r="X30" s="10">
        <v>45.5</v>
      </c>
      <c r="Y30" s="10">
        <v>45.91</v>
      </c>
      <c r="Z30" s="10">
        <v>45.43</v>
      </c>
      <c r="AA30" s="10">
        <v>45.74</v>
      </c>
      <c r="AB30" s="95">
        <v>28710500</v>
      </c>
      <c r="AC30" s="10">
        <v>45.74</v>
      </c>
      <c r="AD30" s="2">
        <f t="shared" si="0"/>
        <v>0.47999999999999687</v>
      </c>
      <c r="AE30" s="138">
        <f t="shared" si="1"/>
        <v>4.374453193352057E-4</v>
      </c>
    </row>
    <row r="31" spans="1:40" x14ac:dyDescent="0.25">
      <c r="B31" s="193">
        <v>42474</v>
      </c>
      <c r="C31" s="282">
        <v>80</v>
      </c>
      <c r="D31" s="283">
        <v>48.573</v>
      </c>
      <c r="E31" s="40">
        <v>48.79</v>
      </c>
      <c r="F31" s="40">
        <f t="shared" si="3"/>
        <v>17.3599999999999</v>
      </c>
      <c r="G31" s="40">
        <f t="shared" si="4"/>
        <v>3885.84</v>
      </c>
      <c r="H31" s="231">
        <f t="shared" si="5"/>
        <v>4.4675025219772044E-3</v>
      </c>
      <c r="I31" s="40"/>
      <c r="W31" s="94">
        <v>42635</v>
      </c>
      <c r="X31" s="10">
        <v>45.83</v>
      </c>
      <c r="Y31" s="10">
        <v>46.12</v>
      </c>
      <c r="Z31" s="10">
        <v>45.37</v>
      </c>
      <c r="AA31" s="10">
        <v>45.72</v>
      </c>
      <c r="AB31" s="95">
        <v>36964400</v>
      </c>
      <c r="AC31" s="10">
        <v>45.72</v>
      </c>
      <c r="AD31" s="2">
        <f t="shared" si="0"/>
        <v>0.75</v>
      </c>
      <c r="AE31" s="138">
        <f t="shared" si="1"/>
        <v>-2.4001745581496703E-3</v>
      </c>
    </row>
    <row r="32" spans="1:40" x14ac:dyDescent="0.25">
      <c r="B32" s="193">
        <v>42484</v>
      </c>
      <c r="C32" s="282">
        <v>80</v>
      </c>
      <c r="D32" s="283">
        <v>48.573</v>
      </c>
      <c r="E32" s="40">
        <v>50.62</v>
      </c>
      <c r="F32" s="40">
        <f t="shared" si="3"/>
        <v>163.75999999999976</v>
      </c>
      <c r="G32" s="40">
        <f t="shared" si="4"/>
        <v>3885.84</v>
      </c>
      <c r="H32" s="231">
        <f t="shared" si="5"/>
        <v>4.214275420501095E-2</v>
      </c>
      <c r="I32" s="40"/>
      <c r="W32" s="94">
        <v>42634</v>
      </c>
      <c r="X32" s="10">
        <v>46.51</v>
      </c>
      <c r="Y32" s="10">
        <v>46.54</v>
      </c>
      <c r="Z32" s="10">
        <v>45.33</v>
      </c>
      <c r="AA32" s="10">
        <v>45.83</v>
      </c>
      <c r="AB32" s="95">
        <v>64530200</v>
      </c>
      <c r="AC32" s="10">
        <v>45.83</v>
      </c>
      <c r="AD32" s="2">
        <f t="shared" si="0"/>
        <v>1.2100000000000009</v>
      </c>
      <c r="AE32" s="138">
        <f t="shared" si="1"/>
        <v>-1.5678694158075657E-2</v>
      </c>
    </row>
    <row r="33" spans="2:31" x14ac:dyDescent="0.25">
      <c r="B33" s="193">
        <v>42487</v>
      </c>
      <c r="C33" s="282">
        <v>40</v>
      </c>
      <c r="D33" s="283">
        <v>46.177</v>
      </c>
      <c r="E33" s="40">
        <v>50.92</v>
      </c>
      <c r="F33" s="40">
        <f t="shared" si="3"/>
        <v>189.72000000000008</v>
      </c>
      <c r="G33" s="40">
        <f t="shared" si="4"/>
        <v>1847.08</v>
      </c>
      <c r="H33" s="231">
        <f t="shared" si="5"/>
        <v>0.10271347207484251</v>
      </c>
      <c r="I33" s="40"/>
      <c r="W33" s="94">
        <v>42633</v>
      </c>
      <c r="X33" s="10">
        <v>47.15</v>
      </c>
      <c r="Y33" s="10">
        <v>47.2</v>
      </c>
      <c r="Z33" s="10">
        <v>46.12</v>
      </c>
      <c r="AA33" s="10">
        <v>46.56</v>
      </c>
      <c r="AB33" s="95">
        <v>51510400</v>
      </c>
      <c r="AC33" s="10">
        <v>46.56</v>
      </c>
      <c r="AD33" s="2">
        <f t="shared" si="0"/>
        <v>1.0800000000000054</v>
      </c>
      <c r="AE33" s="138">
        <f t="shared" si="1"/>
        <v>1.1953923060204374E-2</v>
      </c>
    </row>
    <row r="34" spans="2:31" x14ac:dyDescent="0.25">
      <c r="B34" s="193">
        <v>42489</v>
      </c>
      <c r="C34" s="282">
        <v>80</v>
      </c>
      <c r="D34" s="283">
        <v>48.093499999999999</v>
      </c>
      <c r="E34" s="40">
        <v>49.98</v>
      </c>
      <c r="F34" s="40">
        <f t="shared" si="3"/>
        <v>150.91999999999985</v>
      </c>
      <c r="G34" s="40">
        <f t="shared" si="4"/>
        <v>3847.48</v>
      </c>
      <c r="H34" s="231">
        <f t="shared" si="5"/>
        <v>3.9225674987264349E-2</v>
      </c>
      <c r="I34" s="40"/>
      <c r="W34" s="94">
        <v>42632</v>
      </c>
      <c r="X34" s="10">
        <v>45.62</v>
      </c>
      <c r="Y34" s="10">
        <v>46.29</v>
      </c>
      <c r="Z34" s="10">
        <v>45.48</v>
      </c>
      <c r="AA34" s="10">
        <v>46.01</v>
      </c>
      <c r="AB34" s="95">
        <v>33562400</v>
      </c>
      <c r="AC34" s="10">
        <v>46.01</v>
      </c>
      <c r="AD34" s="2">
        <f t="shared" si="0"/>
        <v>0.81000000000000227</v>
      </c>
      <c r="AE34" s="138">
        <f t="shared" si="1"/>
        <v>1.2766894122826278E-2</v>
      </c>
    </row>
    <row r="35" spans="2:31" x14ac:dyDescent="0.25">
      <c r="B35" s="193">
        <v>42502</v>
      </c>
      <c r="C35" s="429">
        <v>80</v>
      </c>
      <c r="D35" s="212">
        <v>48.093499999999999</v>
      </c>
      <c r="E35" s="40">
        <v>49.2</v>
      </c>
      <c r="F35" s="40">
        <f t="shared" si="3"/>
        <v>88.520000000000323</v>
      </c>
      <c r="G35" s="40">
        <f t="shared" si="4"/>
        <v>3847.48</v>
      </c>
      <c r="H35" s="231">
        <f t="shared" si="5"/>
        <v>2.3007267094305967E-2</v>
      </c>
      <c r="I35" s="40"/>
      <c r="W35" s="94">
        <v>42629</v>
      </c>
      <c r="X35" s="10">
        <v>45.7</v>
      </c>
      <c r="Y35" s="10">
        <v>45.87</v>
      </c>
      <c r="Z35" s="10">
        <v>45.25</v>
      </c>
      <c r="AA35" s="10">
        <v>45.43</v>
      </c>
      <c r="AB35" s="95">
        <v>51871400</v>
      </c>
      <c r="AC35" s="10">
        <v>45.43</v>
      </c>
      <c r="AD35" s="2">
        <f t="shared" si="0"/>
        <v>0.61999999999999744</v>
      </c>
      <c r="AE35" s="138">
        <f t="shared" si="1"/>
        <v>-1.5601300108342375E-2</v>
      </c>
    </row>
    <row r="36" spans="2:31" x14ac:dyDescent="0.25">
      <c r="B36" s="193">
        <v>42503</v>
      </c>
      <c r="C36" s="282">
        <v>110</v>
      </c>
      <c r="D36" s="283">
        <v>48.122500000000002</v>
      </c>
      <c r="E36" s="40">
        <v>48.93</v>
      </c>
      <c r="F36" s="40">
        <f t="shared" si="3"/>
        <v>88.824999999999719</v>
      </c>
      <c r="G36" s="40">
        <f t="shared" si="4"/>
        <v>5293.4750000000004</v>
      </c>
      <c r="H36" s="231">
        <f t="shared" si="5"/>
        <v>1.678009247233617E-2</v>
      </c>
      <c r="I36" s="40"/>
      <c r="W36" s="94">
        <v>42628</v>
      </c>
      <c r="X36" s="10">
        <v>46.12</v>
      </c>
      <c r="Y36" s="10">
        <v>46.35</v>
      </c>
      <c r="Z36" s="10">
        <v>45.19</v>
      </c>
      <c r="AA36" s="10">
        <v>46.15</v>
      </c>
      <c r="AB36" s="95">
        <v>60827800</v>
      </c>
      <c r="AC36" s="10">
        <v>46.15</v>
      </c>
      <c r="AD36" s="2">
        <f t="shared" si="0"/>
        <v>1.1600000000000037</v>
      </c>
      <c r="AE36" s="138">
        <f t="shared" si="1"/>
        <v>-7.9535683576956728E-3</v>
      </c>
    </row>
    <row r="37" spans="2:31" x14ac:dyDescent="0.25">
      <c r="B37" s="193">
        <v>42506</v>
      </c>
      <c r="C37" s="282">
        <v>110</v>
      </c>
      <c r="D37" s="283">
        <v>48.122999999999998</v>
      </c>
      <c r="E37" s="40">
        <v>48.27</v>
      </c>
      <c r="F37" s="40">
        <f t="shared" si="3"/>
        <v>16.170000000000613</v>
      </c>
      <c r="G37" s="40">
        <f t="shared" si="4"/>
        <v>5293.53</v>
      </c>
      <c r="H37" s="231">
        <f t="shared" si="5"/>
        <v>3.0546724019700679E-3</v>
      </c>
      <c r="I37" s="40"/>
      <c r="W37" s="94">
        <v>42627</v>
      </c>
      <c r="X37" s="10">
        <v>47.08</v>
      </c>
      <c r="Y37" s="10">
        <v>47.58</v>
      </c>
      <c r="Z37" s="10">
        <v>46.5</v>
      </c>
      <c r="AA37" s="10">
        <v>46.52</v>
      </c>
      <c r="AB37" s="95">
        <v>44841700</v>
      </c>
      <c r="AC37" s="10">
        <v>46.52</v>
      </c>
      <c r="AD37" s="2">
        <f t="shared" si="0"/>
        <v>1.0799999999999983</v>
      </c>
      <c r="AE37" s="138">
        <f t="shared" si="1"/>
        <v>-9.3696763202725242E-3</v>
      </c>
    </row>
    <row r="38" spans="2:31" x14ac:dyDescent="0.25">
      <c r="B38" s="193">
        <v>42507</v>
      </c>
      <c r="C38" s="475">
        <v>110</v>
      </c>
      <c r="D38" s="476">
        <v>48.122500000000002</v>
      </c>
      <c r="E38" s="40">
        <v>47.62</v>
      </c>
      <c r="F38" s="40">
        <f t="shared" si="3"/>
        <v>-55.275000000000531</v>
      </c>
      <c r="G38" s="40">
        <f t="shared" si="4"/>
        <v>5293.4750000000004</v>
      </c>
      <c r="H38" s="231">
        <f t="shared" si="5"/>
        <v>-1.0442100888357937E-2</v>
      </c>
      <c r="I38" s="40"/>
      <c r="W38" s="94">
        <v>42626</v>
      </c>
      <c r="X38" s="10">
        <v>47.8</v>
      </c>
      <c r="Y38" s="10">
        <v>47.86</v>
      </c>
      <c r="Z38" s="10">
        <v>46.52</v>
      </c>
      <c r="AA38" s="10">
        <v>46.96</v>
      </c>
      <c r="AB38" s="95">
        <v>59000500</v>
      </c>
      <c r="AC38" s="10">
        <v>46.96</v>
      </c>
      <c r="AD38" s="2">
        <f t="shared" si="0"/>
        <v>1.3399999999999963</v>
      </c>
      <c r="AE38" s="138">
        <f t="shared" si="1"/>
        <v>-3.2550473836011506E-2</v>
      </c>
    </row>
    <row r="39" spans="2:31" ht="20.25" thickBot="1" x14ac:dyDescent="0.35">
      <c r="B39" s="193">
        <v>42514</v>
      </c>
      <c r="C39" s="282">
        <v>70</v>
      </c>
      <c r="D39" s="283">
        <v>47.456000000000003</v>
      </c>
      <c r="E39" s="40">
        <v>49.2</v>
      </c>
      <c r="F39" s="40">
        <f t="shared" si="3"/>
        <v>122.07999999999998</v>
      </c>
      <c r="G39" s="40">
        <f t="shared" si="4"/>
        <v>3321.92</v>
      </c>
      <c r="H39" s="231">
        <f t="shared" si="5"/>
        <v>3.6749831422791632E-2</v>
      </c>
      <c r="I39" s="40"/>
      <c r="O39" s="11"/>
      <c r="P39" s="588" t="s">
        <v>78</v>
      </c>
      <c r="Q39" s="588"/>
      <c r="R39" s="34"/>
      <c r="W39" s="94">
        <v>42625</v>
      </c>
      <c r="X39" s="10">
        <v>48.37</v>
      </c>
      <c r="Y39" s="10">
        <v>48.64</v>
      </c>
      <c r="Z39" s="10">
        <v>47.98</v>
      </c>
      <c r="AA39" s="10">
        <v>48.54</v>
      </c>
      <c r="AB39" s="95">
        <v>35588400</v>
      </c>
      <c r="AC39" s="10">
        <v>48.54</v>
      </c>
      <c r="AD39" s="2">
        <f t="shared" si="0"/>
        <v>0.66000000000000369</v>
      </c>
      <c r="AE39" s="138">
        <f t="shared" si="1"/>
        <v>-3.6945812807881451E-3</v>
      </c>
    </row>
    <row r="40" spans="2:31" ht="15.75" thickTop="1" x14ac:dyDescent="0.25">
      <c r="B40" s="193">
        <v>42522</v>
      </c>
      <c r="C40" s="282">
        <v>50</v>
      </c>
      <c r="D40" s="283">
        <v>46.150799999999997</v>
      </c>
      <c r="E40" s="40">
        <v>51</v>
      </c>
      <c r="F40" s="40">
        <f t="shared" si="3"/>
        <v>242.46000000000015</v>
      </c>
      <c r="G40" s="40">
        <f t="shared" si="4"/>
        <v>2307.54</v>
      </c>
      <c r="H40" s="231">
        <f t="shared" si="5"/>
        <v>0.10507293481369778</v>
      </c>
      <c r="I40" s="40"/>
      <c r="O40" s="2"/>
      <c r="P40" s="83">
        <v>1.1000000000000001</v>
      </c>
      <c r="Q40" s="83">
        <f>P40*$Q$4</f>
        <v>49.764000000000003</v>
      </c>
      <c r="R40" s="34"/>
      <c r="W40" s="94">
        <v>42622</v>
      </c>
      <c r="X40" s="10">
        <v>49.49</v>
      </c>
      <c r="Y40" s="10">
        <v>49.86</v>
      </c>
      <c r="Z40" s="10">
        <v>48.72</v>
      </c>
      <c r="AA40" s="10">
        <v>48.72</v>
      </c>
      <c r="AB40" s="95">
        <v>32147200</v>
      </c>
      <c r="AC40" s="10">
        <v>48.72</v>
      </c>
      <c r="AD40" s="2">
        <f t="shared" si="0"/>
        <v>1.1400000000000006</v>
      </c>
      <c r="AE40" s="138">
        <f t="shared" si="1"/>
        <v>-2.3647294589178358E-2</v>
      </c>
    </row>
    <row r="41" spans="2:31" x14ac:dyDescent="0.25">
      <c r="B41" s="193">
        <v>42524</v>
      </c>
      <c r="C41" s="429">
        <v>80</v>
      </c>
      <c r="D41" s="212">
        <v>47.218000000000004</v>
      </c>
      <c r="E41" s="40">
        <v>50.19</v>
      </c>
      <c r="F41" s="40">
        <f t="shared" si="3"/>
        <v>237.75999999999954</v>
      </c>
      <c r="G41" s="40">
        <f t="shared" si="4"/>
        <v>3777.4400000000005</v>
      </c>
      <c r="H41" s="231">
        <f t="shared" si="5"/>
        <v>6.2942098352323145E-2</v>
      </c>
      <c r="I41" s="40"/>
      <c r="O41" s="2"/>
      <c r="P41" s="83">
        <v>1.0900000000000001</v>
      </c>
      <c r="Q41" s="83">
        <f t="shared" ref="Q41:Q60" si="6">P41*$Q$4</f>
        <v>49.311600000000006</v>
      </c>
      <c r="R41" s="34"/>
      <c r="W41" s="94">
        <v>42621</v>
      </c>
      <c r="X41" s="10">
        <v>49.81</v>
      </c>
      <c r="Y41" s="10">
        <v>49.99</v>
      </c>
      <c r="Z41" s="10">
        <v>49.56</v>
      </c>
      <c r="AA41" s="10">
        <v>49.9</v>
      </c>
      <c r="AB41" s="95">
        <v>14169200</v>
      </c>
      <c r="AC41" s="10">
        <v>49.9</v>
      </c>
      <c r="AD41" s="2">
        <f t="shared" si="0"/>
        <v>0.42999999999999972</v>
      </c>
      <c r="AE41" s="138">
        <f t="shared" si="1"/>
        <v>2.6120152702431287E-3</v>
      </c>
    </row>
    <row r="42" spans="2:31" ht="20.25" thickBot="1" x14ac:dyDescent="0.35">
      <c r="B42" s="193">
        <v>42527</v>
      </c>
      <c r="C42" s="282">
        <v>50</v>
      </c>
      <c r="D42" s="283">
        <v>45.195399999999999</v>
      </c>
      <c r="E42" s="40">
        <v>50.49</v>
      </c>
      <c r="F42" s="40">
        <f t="shared" si="3"/>
        <v>264.73000000000013</v>
      </c>
      <c r="G42" s="40">
        <f t="shared" si="4"/>
        <v>2259.77</v>
      </c>
      <c r="H42" s="231">
        <f t="shared" si="5"/>
        <v>0.11714909039415522</v>
      </c>
      <c r="I42" s="40"/>
      <c r="O42" s="2"/>
      <c r="P42" s="83">
        <v>1.08</v>
      </c>
      <c r="Q42" s="83">
        <f t="shared" si="6"/>
        <v>48.859200000000008</v>
      </c>
      <c r="R42" s="34"/>
      <c r="T42" s="91" t="s">
        <v>113</v>
      </c>
      <c r="W42" s="94">
        <v>42620</v>
      </c>
      <c r="X42" s="10">
        <v>49.79</v>
      </c>
      <c r="Y42" s="10">
        <v>50.03</v>
      </c>
      <c r="Z42" s="10">
        <v>49.65</v>
      </c>
      <c r="AA42" s="10">
        <v>49.77</v>
      </c>
      <c r="AB42" s="95">
        <v>12437300</v>
      </c>
      <c r="AC42" s="10">
        <v>49.77</v>
      </c>
      <c r="AD42" s="2">
        <f t="shared" si="0"/>
        <v>0.38000000000000256</v>
      </c>
      <c r="AE42" s="138">
        <f t="shared" si="1"/>
        <v>-4.4008801760352378E-3</v>
      </c>
    </row>
    <row r="43" spans="2:31" ht="15.75" thickTop="1" x14ac:dyDescent="0.25">
      <c r="B43" s="193">
        <v>42531</v>
      </c>
      <c r="C43" s="282">
        <v>80</v>
      </c>
      <c r="D43" s="283">
        <v>46.438400000000001</v>
      </c>
      <c r="E43" s="40">
        <v>48.34</v>
      </c>
      <c r="F43" s="40">
        <f t="shared" si="3"/>
        <v>152.12800000000016</v>
      </c>
      <c r="G43" s="40">
        <f t="shared" si="4"/>
        <v>3715.0720000000001</v>
      </c>
      <c r="H43" s="231">
        <f t="shared" si="5"/>
        <v>4.0948869900771817E-2</v>
      </c>
      <c r="I43" s="40"/>
      <c r="O43" s="2"/>
      <c r="P43" s="83">
        <v>1.07</v>
      </c>
      <c r="Q43" s="83">
        <f t="shared" si="6"/>
        <v>48.406800000000004</v>
      </c>
      <c r="R43" s="83"/>
      <c r="T43" s="97" t="s">
        <v>98</v>
      </c>
      <c r="U43" s="98">
        <v>45.61</v>
      </c>
      <c r="W43" s="94">
        <v>42619</v>
      </c>
      <c r="X43" s="10">
        <v>50.56</v>
      </c>
      <c r="Y43" s="10">
        <v>50.57</v>
      </c>
      <c r="Z43" s="10">
        <v>49.63</v>
      </c>
      <c r="AA43" s="10">
        <v>49.99</v>
      </c>
      <c r="AB43" s="95">
        <v>21832200</v>
      </c>
      <c r="AC43" s="10">
        <v>49.99</v>
      </c>
      <c r="AD43" s="2">
        <f t="shared" si="0"/>
        <v>0.93999999999999773</v>
      </c>
      <c r="AE43" s="138">
        <f t="shared" si="1"/>
        <v>-1.1078140454995E-2</v>
      </c>
    </row>
    <row r="44" spans="2:31" x14ac:dyDescent="0.25">
      <c r="B44" s="193">
        <v>42535</v>
      </c>
      <c r="C44" s="282">
        <v>80</v>
      </c>
      <c r="D44" s="283">
        <v>46.438000000000002</v>
      </c>
      <c r="E44" s="40">
        <v>46.88</v>
      </c>
      <c r="F44" s="40">
        <f t="shared" si="3"/>
        <v>35.360000000000014</v>
      </c>
      <c r="G44" s="40">
        <f t="shared" si="4"/>
        <v>3715.04</v>
      </c>
      <c r="H44" s="231">
        <f t="shared" si="5"/>
        <v>9.5180671002196501E-3</v>
      </c>
      <c r="I44" s="40"/>
      <c r="O44" s="2"/>
      <c r="P44" s="83">
        <v>1.06</v>
      </c>
      <c r="Q44" s="83">
        <f t="shared" si="6"/>
        <v>47.954400000000007</v>
      </c>
      <c r="R44" s="83"/>
      <c r="T44" s="87" t="s">
        <v>99</v>
      </c>
      <c r="U44" s="88">
        <v>45.38</v>
      </c>
      <c r="W44" s="94">
        <v>42615</v>
      </c>
      <c r="X44" s="10">
        <v>50.45</v>
      </c>
      <c r="Y44" s="10">
        <v>50.66</v>
      </c>
      <c r="Z44" s="10">
        <v>50.18</v>
      </c>
      <c r="AA44" s="10">
        <v>50.55</v>
      </c>
      <c r="AB44" s="95">
        <v>12684000</v>
      </c>
      <c r="AC44" s="10">
        <v>50.55</v>
      </c>
      <c r="AD44" s="2">
        <f t="shared" si="0"/>
        <v>0.47999999999999687</v>
      </c>
      <c r="AE44" s="138">
        <f t="shared" si="1"/>
        <v>2.3795359904819069E-3</v>
      </c>
    </row>
    <row r="45" spans="2:31" x14ac:dyDescent="0.25">
      <c r="B45" s="193">
        <v>42549</v>
      </c>
      <c r="C45" s="7">
        <v>80</v>
      </c>
      <c r="D45" s="79">
        <v>46.438000000000002</v>
      </c>
      <c r="E45" s="40">
        <v>46.1</v>
      </c>
      <c r="F45" s="40">
        <f t="shared" ref="F45" si="7">C45*(E45-D45)</f>
        <v>-27.040000000000077</v>
      </c>
      <c r="G45" s="40">
        <f t="shared" ref="G45" si="8">D45*C45</f>
        <v>3715.04</v>
      </c>
      <c r="H45" s="231">
        <f t="shared" ref="H45" si="9">(E45-D45)/D45</f>
        <v>-7.2785219001679866E-3</v>
      </c>
      <c r="I45" s="236">
        <v>45</v>
      </c>
      <c r="O45" s="2"/>
      <c r="P45" s="83">
        <v>1.05</v>
      </c>
      <c r="Q45" s="83">
        <f t="shared" si="6"/>
        <v>47.502000000000002</v>
      </c>
      <c r="R45" s="83"/>
      <c r="T45" s="87" t="s">
        <v>100</v>
      </c>
      <c r="U45" s="88" t="s">
        <v>656</v>
      </c>
      <c r="W45" s="94">
        <v>42614</v>
      </c>
      <c r="X45" s="10">
        <v>50.92</v>
      </c>
      <c r="Y45" s="10">
        <v>51</v>
      </c>
      <c r="Z45" s="10">
        <v>50.11</v>
      </c>
      <c r="AA45" s="10">
        <v>50.43</v>
      </c>
      <c r="AB45" s="95">
        <v>17017100</v>
      </c>
      <c r="AC45" s="10">
        <v>50.43</v>
      </c>
      <c r="AD45" s="2">
        <f t="shared" si="0"/>
        <v>0.89000000000000057</v>
      </c>
      <c r="AE45" s="138">
        <f t="shared" si="1"/>
        <v>-7.2834645669290765E-3</v>
      </c>
    </row>
    <row r="46" spans="2:31" x14ac:dyDescent="0.25">
      <c r="B46" s="193">
        <v>42552</v>
      </c>
      <c r="C46" s="10">
        <v>80</v>
      </c>
      <c r="D46" s="200">
        <v>46.438400000000001</v>
      </c>
      <c r="E46" s="40">
        <v>47.03</v>
      </c>
      <c r="F46" s="40">
        <f t="shared" ref="F46" si="10">C46*(E46-D46)</f>
        <v>47.327999999999975</v>
      </c>
      <c r="G46" s="40">
        <f t="shared" ref="G46" si="11">D46*C46</f>
        <v>3715.0720000000001</v>
      </c>
      <c r="H46" s="231">
        <f t="shared" ref="H46" si="12">(E46-D46)/D46</f>
        <v>1.2739457001102529E-2</v>
      </c>
      <c r="I46" s="40"/>
      <c r="O46" s="2"/>
      <c r="P46" s="83">
        <v>1.04</v>
      </c>
      <c r="Q46" s="83">
        <f t="shared" si="6"/>
        <v>47.049600000000005</v>
      </c>
      <c r="R46" s="83"/>
      <c r="T46" s="87" t="s">
        <v>101</v>
      </c>
      <c r="U46" s="88" t="s">
        <v>657</v>
      </c>
      <c r="W46" s="94">
        <v>42613</v>
      </c>
      <c r="X46" s="10">
        <v>50.7</v>
      </c>
      <c r="Y46" s="10">
        <v>50.92</v>
      </c>
      <c r="Z46" s="10">
        <v>50.24</v>
      </c>
      <c r="AA46" s="10">
        <v>50.8</v>
      </c>
      <c r="AB46" s="95">
        <v>24533600</v>
      </c>
      <c r="AC46" s="10">
        <v>50.8</v>
      </c>
      <c r="AD46" s="2">
        <f t="shared" si="0"/>
        <v>0.67999999999999972</v>
      </c>
      <c r="AE46" s="138">
        <f t="shared" si="1"/>
        <v>3.5559067562227487E-3</v>
      </c>
    </row>
    <row r="47" spans="2:31" x14ac:dyDescent="0.25">
      <c r="B47" s="193">
        <v>42556</v>
      </c>
      <c r="C47" s="10">
        <v>80</v>
      </c>
      <c r="D47" s="200">
        <v>46.438400000000001</v>
      </c>
      <c r="E47" s="40">
        <v>46.21</v>
      </c>
      <c r="F47" s="40">
        <f t="shared" ref="F47" si="13">C47*(E47-D47)</f>
        <v>-18.272000000000048</v>
      </c>
      <c r="G47" s="40">
        <f t="shared" ref="G47" si="14">D47*C47</f>
        <v>3715.0720000000001</v>
      </c>
      <c r="H47" s="231">
        <f t="shared" ref="H47" si="15">(E47-D47)/D47</f>
        <v>-4.9183434399118096E-3</v>
      </c>
      <c r="I47" s="40"/>
      <c r="O47" s="2"/>
      <c r="P47" s="83">
        <v>1.03</v>
      </c>
      <c r="Q47" s="83">
        <f t="shared" si="6"/>
        <v>46.597200000000001</v>
      </c>
      <c r="R47" s="83"/>
      <c r="T47" s="87" t="s">
        <v>102</v>
      </c>
      <c r="U47" s="88">
        <v>49.34</v>
      </c>
      <c r="W47" s="94">
        <v>42612</v>
      </c>
      <c r="X47" s="10">
        <v>49.73</v>
      </c>
      <c r="Y47" s="10">
        <v>50.64</v>
      </c>
      <c r="Z47" s="10">
        <v>49.68</v>
      </c>
      <c r="AA47" s="10">
        <v>50.62</v>
      </c>
      <c r="AB47" s="95">
        <v>25055800</v>
      </c>
      <c r="AC47" s="10">
        <v>50.62</v>
      </c>
      <c r="AD47" s="2">
        <f t="shared" si="0"/>
        <v>0.96000000000000085</v>
      </c>
      <c r="AE47" s="138">
        <f t="shared" si="1"/>
        <v>2.1388216303470431E-2</v>
      </c>
    </row>
    <row r="48" spans="2:31" x14ac:dyDescent="0.25">
      <c r="B48" s="193">
        <v>42562</v>
      </c>
      <c r="C48" s="10">
        <v>80</v>
      </c>
      <c r="D48" s="200">
        <v>46.438400000000001</v>
      </c>
      <c r="E48" s="40">
        <v>48.08</v>
      </c>
      <c r="F48" s="40">
        <f t="shared" ref="F48" si="16">C48*(E48-D48)</f>
        <v>131.32799999999975</v>
      </c>
      <c r="G48" s="40">
        <f t="shared" ref="G48" si="17">D48*C48</f>
        <v>3715.0720000000001</v>
      </c>
      <c r="H48" s="231">
        <f t="shared" ref="H48" si="18">(E48-D48)/D48</f>
        <v>3.5350055126791555E-2</v>
      </c>
      <c r="I48" s="40"/>
      <c r="O48" s="2"/>
      <c r="P48" s="83">
        <v>1.02</v>
      </c>
      <c r="Q48" s="83">
        <f t="shared" si="6"/>
        <v>46.144800000000004</v>
      </c>
      <c r="R48" s="83"/>
      <c r="T48" s="87" t="s">
        <v>103</v>
      </c>
      <c r="U48" s="88">
        <v>0.90334800000000004</v>
      </c>
      <c r="W48" s="94">
        <v>42611</v>
      </c>
      <c r="X48" s="10">
        <v>48.75</v>
      </c>
      <c r="Y48" s="10">
        <v>49.75</v>
      </c>
      <c r="Z48" s="10">
        <v>48.69</v>
      </c>
      <c r="AA48" s="10">
        <v>49.56</v>
      </c>
      <c r="AB48" s="95">
        <v>21201400</v>
      </c>
      <c r="AC48" s="10">
        <v>49.56</v>
      </c>
      <c r="AD48" s="2">
        <f t="shared" si="0"/>
        <v>1.0600000000000023</v>
      </c>
      <c r="AE48" s="138">
        <f t="shared" si="1"/>
        <v>2.1645021645021689E-2</v>
      </c>
    </row>
    <row r="49" spans="2:31" x14ac:dyDescent="0.25">
      <c r="B49" s="193">
        <v>42563</v>
      </c>
      <c r="C49" s="10">
        <v>80</v>
      </c>
      <c r="D49" s="200">
        <v>46.438400000000001</v>
      </c>
      <c r="E49" s="40">
        <v>48.35</v>
      </c>
      <c r="F49" s="40">
        <f t="shared" ref="F49:F50" si="19">C49*(E49-D49)</f>
        <v>152.928</v>
      </c>
      <c r="G49" s="40">
        <f t="shared" ref="G49:G50" si="20">D49*C49</f>
        <v>3715.0720000000001</v>
      </c>
      <c r="H49" s="231">
        <f t="shared" ref="H49:H50" si="21">(E49-D49)/D49</f>
        <v>4.1164208930540243E-2</v>
      </c>
      <c r="I49" s="40"/>
      <c r="O49" s="2"/>
      <c r="P49" s="83">
        <v>1.01</v>
      </c>
      <c r="Q49" s="83">
        <f t="shared" si="6"/>
        <v>45.692399999999999</v>
      </c>
      <c r="R49" s="83"/>
      <c r="T49" s="87" t="s">
        <v>104</v>
      </c>
      <c r="U49" s="89" t="s">
        <v>390</v>
      </c>
      <c r="W49" s="94">
        <v>42608</v>
      </c>
      <c r="X49" s="10">
        <v>48.58</v>
      </c>
      <c r="Y49" s="10">
        <v>48.84</v>
      </c>
      <c r="Z49" s="10">
        <v>48.28</v>
      </c>
      <c r="AA49" s="10">
        <v>48.51</v>
      </c>
      <c r="AB49" s="95">
        <v>15527300</v>
      </c>
      <c r="AC49" s="10">
        <v>48.51</v>
      </c>
      <c r="AD49" s="2">
        <f t="shared" si="0"/>
        <v>0.56000000000000227</v>
      </c>
      <c r="AE49" s="138">
        <f t="shared" si="1"/>
        <v>2.6870607689126746E-3</v>
      </c>
    </row>
    <row r="50" spans="2:31" x14ac:dyDescent="0.25">
      <c r="B50" s="193">
        <v>42566</v>
      </c>
      <c r="C50" s="475">
        <v>110</v>
      </c>
      <c r="D50" s="476">
        <v>46.749699999999997</v>
      </c>
      <c r="E50" s="40">
        <v>47.71</v>
      </c>
      <c r="F50" s="40">
        <f t="shared" si="19"/>
        <v>105.63300000000041</v>
      </c>
      <c r="G50" s="40">
        <f t="shared" si="20"/>
        <v>5142.4669999999996</v>
      </c>
      <c r="H50" s="231">
        <f t="shared" si="21"/>
        <v>2.0541308286470369E-2</v>
      </c>
      <c r="I50" s="40" t="s">
        <v>266</v>
      </c>
      <c r="O50" s="2"/>
      <c r="P50" s="83">
        <v>1</v>
      </c>
      <c r="Q50" s="83">
        <f t="shared" si="6"/>
        <v>45.24</v>
      </c>
      <c r="R50" s="83"/>
      <c r="T50" s="87"/>
      <c r="U50" s="88"/>
      <c r="W50" s="94">
        <v>42607</v>
      </c>
      <c r="X50" s="10">
        <v>48.62</v>
      </c>
      <c r="Y50" s="10">
        <v>48.69</v>
      </c>
      <c r="Z50" s="10">
        <v>48.3</v>
      </c>
      <c r="AA50" s="10">
        <v>48.38</v>
      </c>
      <c r="AB50" s="95">
        <v>13643200</v>
      </c>
      <c r="AC50" s="10">
        <v>48.38</v>
      </c>
      <c r="AD50" s="2">
        <f t="shared" si="0"/>
        <v>0.39000000000000057</v>
      </c>
      <c r="AE50" s="138">
        <f t="shared" si="1"/>
        <v>-5.1408595517170586E-3</v>
      </c>
    </row>
    <row r="51" spans="2:31" x14ac:dyDescent="0.25">
      <c r="B51" s="193">
        <v>42569</v>
      </c>
      <c r="C51" s="10">
        <v>110</v>
      </c>
      <c r="D51" s="200">
        <v>46.749699999999997</v>
      </c>
      <c r="E51" s="40">
        <v>48.28</v>
      </c>
      <c r="F51" s="40">
        <f t="shared" ref="F51" si="22">C51*(E51-D51)</f>
        <v>168.33300000000042</v>
      </c>
      <c r="G51" s="40">
        <f t="shared" ref="G51" si="23">D51*C51</f>
        <v>5142.4669999999996</v>
      </c>
      <c r="H51" s="231">
        <f t="shared" ref="H51" si="24">(E51-D51)/D51</f>
        <v>3.2733899896683918E-2</v>
      </c>
      <c r="I51" s="40"/>
      <c r="O51" s="2"/>
      <c r="P51" s="83">
        <v>0.99</v>
      </c>
      <c r="Q51" s="83">
        <f t="shared" si="6"/>
        <v>44.787600000000005</v>
      </c>
      <c r="R51" s="83"/>
      <c r="T51" s="87" t="s">
        <v>105</v>
      </c>
      <c r="U51" s="88" t="s">
        <v>658</v>
      </c>
      <c r="W51" s="94">
        <v>42606</v>
      </c>
      <c r="X51" s="10">
        <v>48.5</v>
      </c>
      <c r="Y51" s="10">
        <v>48.77</v>
      </c>
      <c r="Z51" s="10">
        <v>48.35</v>
      </c>
      <c r="AA51" s="10">
        <v>48.63</v>
      </c>
      <c r="AB51" s="95">
        <v>16315800</v>
      </c>
      <c r="AC51" s="10">
        <v>48.63</v>
      </c>
      <c r="AD51" s="2">
        <f t="shared" si="0"/>
        <v>0.42000000000000171</v>
      </c>
      <c r="AE51" s="138">
        <f t="shared" si="1"/>
        <v>4.5445155959513706E-3</v>
      </c>
    </row>
    <row r="52" spans="2:31" x14ac:dyDescent="0.25">
      <c r="B52" s="193">
        <v>42570</v>
      </c>
      <c r="C52" s="10">
        <v>110</v>
      </c>
      <c r="D52" s="200">
        <v>46.749699999999997</v>
      </c>
      <c r="E52" s="40">
        <v>48.37</v>
      </c>
      <c r="F52" s="40">
        <f t="shared" ref="F52" si="25">C52*(E52-D52)</f>
        <v>178.23300000000003</v>
      </c>
      <c r="G52" s="40">
        <f t="shared" ref="G52" si="26">D52*C52</f>
        <v>5142.4669999999996</v>
      </c>
      <c r="H52" s="231">
        <f t="shared" ref="H52" si="27">(E52-D52)/D52</f>
        <v>3.4659045940401763E-2</v>
      </c>
      <c r="I52" s="40"/>
      <c r="O52" s="2"/>
      <c r="P52" s="83">
        <v>0.98</v>
      </c>
      <c r="Q52" s="83">
        <f t="shared" si="6"/>
        <v>44.3352</v>
      </c>
      <c r="R52" s="83"/>
      <c r="T52" s="87" t="s">
        <v>106</v>
      </c>
      <c r="U52" s="88" t="s">
        <v>371</v>
      </c>
      <c r="W52" s="94">
        <v>42605</v>
      </c>
      <c r="X52" s="10">
        <v>48.64</v>
      </c>
      <c r="Y52" s="10">
        <v>48.75</v>
      </c>
      <c r="Z52" s="10">
        <v>48.39</v>
      </c>
      <c r="AA52" s="10">
        <v>48.41</v>
      </c>
      <c r="AB52" s="95">
        <v>15430200</v>
      </c>
      <c r="AC52" s="10">
        <v>48.41</v>
      </c>
      <c r="AD52" s="2">
        <f t="shared" si="0"/>
        <v>0.35999999999999943</v>
      </c>
      <c r="AE52" s="138">
        <f t="shared" si="1"/>
        <v>-4.5239564055111758E-3</v>
      </c>
    </row>
    <row r="53" spans="2:31" x14ac:dyDescent="0.25">
      <c r="B53" s="193">
        <v>42571</v>
      </c>
      <c r="C53" s="10">
        <v>110</v>
      </c>
      <c r="D53" s="200">
        <v>46.749699999999997</v>
      </c>
      <c r="E53" s="40">
        <v>48.61</v>
      </c>
      <c r="F53" s="40">
        <f t="shared" ref="F53" si="28">C53*(E53-D53)</f>
        <v>204.63300000000027</v>
      </c>
      <c r="G53" s="40">
        <f t="shared" ref="G53" si="29">D53*C53</f>
        <v>5142.4669999999996</v>
      </c>
      <c r="H53" s="231">
        <f t="shared" ref="H53" si="30">(E53-D53)/D53</f>
        <v>3.9792768723649612E-2</v>
      </c>
      <c r="I53" s="40"/>
      <c r="O53" s="2"/>
      <c r="P53" s="83">
        <v>0.97</v>
      </c>
      <c r="Q53" s="83">
        <f t="shared" si="6"/>
        <v>43.882800000000003</v>
      </c>
      <c r="R53" s="83"/>
      <c r="T53" s="87" t="s">
        <v>107</v>
      </c>
      <c r="U53" s="90">
        <v>19566574</v>
      </c>
      <c r="W53" s="94">
        <v>42604</v>
      </c>
      <c r="X53" s="10">
        <v>48.64</v>
      </c>
      <c r="Y53" s="10">
        <v>48.74</v>
      </c>
      <c r="Z53" s="10">
        <v>48.5</v>
      </c>
      <c r="AA53" s="10">
        <v>48.63</v>
      </c>
      <c r="AB53" s="95">
        <v>9212600</v>
      </c>
      <c r="AC53" s="10">
        <v>48.63</v>
      </c>
      <c r="AD53" s="2">
        <f t="shared" si="0"/>
        <v>0.24000000000000199</v>
      </c>
      <c r="AE53" s="138">
        <f t="shared" si="1"/>
        <v>-4.1109969167518745E-4</v>
      </c>
    </row>
    <row r="54" spans="2:31" x14ac:dyDescent="0.25">
      <c r="B54" s="193">
        <v>42572</v>
      </c>
      <c r="C54" s="10">
        <v>110</v>
      </c>
      <c r="D54" s="200">
        <v>46.749699999999997</v>
      </c>
      <c r="E54" s="40">
        <v>48.3</v>
      </c>
      <c r="F54" s="40">
        <f t="shared" ref="F54" si="31">C54*(E54-D54)</f>
        <v>170.53300000000002</v>
      </c>
      <c r="G54" s="40">
        <f t="shared" ref="G54" si="32">D54*C54</f>
        <v>5142.4669999999996</v>
      </c>
      <c r="H54" s="231">
        <f t="shared" ref="H54" si="33">(E54-D54)/D54</f>
        <v>3.3161710128621145E-2</v>
      </c>
      <c r="I54" s="40"/>
      <c r="O54" s="2"/>
      <c r="P54" s="83">
        <v>0.96</v>
      </c>
      <c r="Q54" s="83">
        <f t="shared" si="6"/>
        <v>43.430399999999999</v>
      </c>
      <c r="R54" s="83"/>
      <c r="T54" s="87" t="s">
        <v>110</v>
      </c>
      <c r="U54" s="90">
        <v>26292600</v>
      </c>
      <c r="W54" s="94">
        <v>42601</v>
      </c>
      <c r="X54" s="10">
        <v>48.44</v>
      </c>
      <c r="Y54" s="10">
        <v>48.73</v>
      </c>
      <c r="Z54" s="10">
        <v>48.2</v>
      </c>
      <c r="AA54" s="10">
        <v>48.65</v>
      </c>
      <c r="AB54" s="95">
        <v>12557700</v>
      </c>
      <c r="AC54" s="10">
        <v>48.65</v>
      </c>
      <c r="AD54" s="2">
        <f t="shared" si="0"/>
        <v>0.52999999999999403</v>
      </c>
      <c r="AE54" s="138">
        <f t="shared" si="1"/>
        <v>2.4726973006388153E-3</v>
      </c>
    </row>
    <row r="55" spans="2:31" x14ac:dyDescent="0.25">
      <c r="B55" s="193">
        <v>42576</v>
      </c>
      <c r="C55" s="10">
        <v>110</v>
      </c>
      <c r="D55" s="200">
        <v>46.749699999999997</v>
      </c>
      <c r="E55" s="40">
        <v>48.12</v>
      </c>
      <c r="F55" s="40">
        <f t="shared" ref="F55" si="34">C55*(E55-D55)</f>
        <v>150.73300000000003</v>
      </c>
      <c r="G55" s="40">
        <f t="shared" ref="G55" si="35">D55*C55</f>
        <v>5142.4669999999996</v>
      </c>
      <c r="H55" s="231">
        <f t="shared" ref="H55" si="36">(E55-D55)/D55</f>
        <v>2.9311418041185301E-2</v>
      </c>
      <c r="I55" s="40"/>
      <c r="O55" s="2"/>
      <c r="P55" s="83">
        <v>0.95</v>
      </c>
      <c r="Q55" s="83">
        <f t="shared" si="6"/>
        <v>42.978000000000002</v>
      </c>
      <c r="R55" s="83"/>
      <c r="T55" s="87" t="s">
        <v>108</v>
      </c>
      <c r="U55" s="88" t="s">
        <v>659</v>
      </c>
      <c r="W55" s="94">
        <v>42600</v>
      </c>
      <c r="X55" s="10">
        <v>48.5</v>
      </c>
      <c r="Y55" s="10">
        <v>48.66</v>
      </c>
      <c r="Z55" s="10">
        <v>48.33</v>
      </c>
      <c r="AA55" s="10">
        <v>48.53</v>
      </c>
      <c r="AB55" s="95">
        <v>12189200</v>
      </c>
      <c r="AC55" s="10">
        <v>48.53</v>
      </c>
      <c r="AD55" s="2">
        <f t="shared" si="0"/>
        <v>0.32999999999999829</v>
      </c>
      <c r="AE55" s="138">
        <f>AC55/AC56-1</f>
        <v>-1.6457519029006162E-3</v>
      </c>
    </row>
    <row r="56" spans="2:31" x14ac:dyDescent="0.25">
      <c r="B56" s="193">
        <v>42585</v>
      </c>
      <c r="C56" s="10">
        <v>110</v>
      </c>
      <c r="D56" s="200">
        <v>46.749699999999997</v>
      </c>
      <c r="E56" s="40">
        <v>47.7</v>
      </c>
      <c r="F56" s="40">
        <f t="shared" ref="F56:F57" si="37">C56*(E56-D56)</f>
        <v>104.53300000000063</v>
      </c>
      <c r="G56" s="40">
        <f t="shared" ref="G56:G57" si="38">D56*C56</f>
        <v>5142.4669999999996</v>
      </c>
      <c r="H56" s="231">
        <f t="shared" ref="H56:H57" si="39">(E56-D56)/D56</f>
        <v>2.0327403170501752E-2</v>
      </c>
      <c r="I56" s="40"/>
      <c r="O56" s="2"/>
      <c r="P56" s="83">
        <v>0.94</v>
      </c>
      <c r="Q56" s="83">
        <f t="shared" si="6"/>
        <v>42.525599999999997</v>
      </c>
      <c r="R56" s="83"/>
      <c r="T56" s="87" t="s">
        <v>111</v>
      </c>
      <c r="U56" s="88">
        <v>11.23</v>
      </c>
      <c r="W56" s="94">
        <v>42599</v>
      </c>
      <c r="X56" s="10">
        <v>48.37</v>
      </c>
      <c r="Y56" s="10">
        <v>48.66</v>
      </c>
      <c r="Z56" s="10">
        <v>48.31</v>
      </c>
      <c r="AA56" s="10">
        <v>48.61</v>
      </c>
      <c r="AB56" s="95">
        <v>13062900</v>
      </c>
      <c r="AC56" s="10">
        <v>48.61</v>
      </c>
      <c r="AD56" s="2">
        <f t="shared" si="0"/>
        <v>0.34999999999999432</v>
      </c>
      <c r="AE56" s="138">
        <f t="shared" si="1"/>
        <v>3.5094962840627186E-3</v>
      </c>
    </row>
    <row r="57" spans="2:31" x14ac:dyDescent="0.25">
      <c r="B57" s="193">
        <v>42587</v>
      </c>
      <c r="C57" s="7">
        <v>80</v>
      </c>
      <c r="D57" s="79">
        <v>46.025700000000001</v>
      </c>
      <c r="E57" s="40">
        <v>48.43</v>
      </c>
      <c r="F57" s="40">
        <f t="shared" si="37"/>
        <v>192.34399999999994</v>
      </c>
      <c r="G57" s="40">
        <f t="shared" si="38"/>
        <v>3682.056</v>
      </c>
      <c r="H57" s="231">
        <f t="shared" si="39"/>
        <v>5.2238206045752682E-2</v>
      </c>
      <c r="I57" s="40"/>
      <c r="O57" s="2"/>
      <c r="P57" s="83">
        <v>0.93</v>
      </c>
      <c r="Q57" s="83">
        <f t="shared" si="6"/>
        <v>42.073200000000007</v>
      </c>
      <c r="R57" s="83"/>
      <c r="T57" s="87" t="s">
        <v>112</v>
      </c>
      <c r="U57" s="88">
        <v>4.03</v>
      </c>
      <c r="W57" s="94">
        <v>42598</v>
      </c>
      <c r="X57" s="10">
        <v>48.16</v>
      </c>
      <c r="Y57" s="10">
        <v>48.6</v>
      </c>
      <c r="Z57" s="10">
        <v>48.06</v>
      </c>
      <c r="AA57" s="10">
        <v>48.44</v>
      </c>
      <c r="AB57" s="95">
        <v>13957600</v>
      </c>
      <c r="AC57" s="10">
        <v>48.44</v>
      </c>
      <c r="AD57" s="2">
        <f t="shared" si="0"/>
        <v>0.53999999999999915</v>
      </c>
      <c r="AE57" s="138">
        <f t="shared" si="1"/>
        <v>3.5218562253986896E-3</v>
      </c>
    </row>
    <row r="58" spans="2:31" x14ac:dyDescent="0.25">
      <c r="B58" s="193">
        <v>42600</v>
      </c>
      <c r="C58" s="10">
        <v>80</v>
      </c>
      <c r="D58" s="200">
        <v>46.026000000000003</v>
      </c>
      <c r="E58" s="40">
        <v>48.53</v>
      </c>
      <c r="F58" s="40">
        <f t="shared" ref="F58" si="40">C58*(E58-D58)</f>
        <v>200.31999999999982</v>
      </c>
      <c r="G58" s="40">
        <f t="shared" ref="G58" si="41">D58*C58</f>
        <v>3682.0800000000004</v>
      </c>
      <c r="H58" s="231">
        <f t="shared" ref="H58" si="42">(E58-D58)/D58</f>
        <v>5.4404032503367609E-2</v>
      </c>
      <c r="I58" s="40"/>
      <c r="O58" s="2"/>
      <c r="P58" s="83">
        <v>0.92</v>
      </c>
      <c r="Q58" s="83">
        <f t="shared" si="6"/>
        <v>41.620800000000003</v>
      </c>
      <c r="R58" s="83"/>
      <c r="T58" s="87" t="s">
        <v>109</v>
      </c>
      <c r="U58" s="88" t="s">
        <v>660</v>
      </c>
      <c r="W58" s="94">
        <v>42597</v>
      </c>
      <c r="X58" s="10">
        <v>48.05</v>
      </c>
      <c r="Y58" s="10">
        <v>48.34</v>
      </c>
      <c r="Z58" s="10">
        <v>48.03</v>
      </c>
      <c r="AA58" s="10">
        <v>48.27</v>
      </c>
      <c r="AB58" s="95">
        <v>11758900</v>
      </c>
      <c r="AC58" s="10">
        <v>48.27</v>
      </c>
      <c r="AD58" s="2">
        <f t="shared" si="0"/>
        <v>0.31000000000000227</v>
      </c>
      <c r="AE58" s="138">
        <f t="shared" si="1"/>
        <v>7.724425887265296E-3</v>
      </c>
    </row>
    <row r="59" spans="2:31" x14ac:dyDescent="0.25">
      <c r="B59" s="193">
        <v>42601</v>
      </c>
      <c r="C59" s="10">
        <v>80</v>
      </c>
      <c r="D59" s="200">
        <v>46.026000000000003</v>
      </c>
      <c r="E59" s="40">
        <v>48.65</v>
      </c>
      <c r="F59" s="40">
        <f t="shared" ref="F59" si="43">C59*(E59-D59)</f>
        <v>209.91999999999962</v>
      </c>
      <c r="G59" s="40">
        <f t="shared" ref="G59" si="44">D59*C59</f>
        <v>3682.0800000000004</v>
      </c>
      <c r="H59" s="231">
        <f t="shared" ref="H59" si="45">(E59-D59)/D59</f>
        <v>5.7011254508321278E-2</v>
      </c>
      <c r="I59" s="40"/>
      <c r="O59" s="2"/>
      <c r="P59" s="83">
        <v>0.91</v>
      </c>
      <c r="Q59" s="83">
        <f t="shared" si="6"/>
        <v>41.168400000000005</v>
      </c>
      <c r="R59" s="83"/>
      <c r="W59" s="94">
        <v>42594</v>
      </c>
      <c r="X59" s="10">
        <v>48.05</v>
      </c>
      <c r="Y59" s="10">
        <v>48.08</v>
      </c>
      <c r="Z59" s="10">
        <v>47.83</v>
      </c>
      <c r="AA59" s="10">
        <v>47.9</v>
      </c>
      <c r="AB59" s="95">
        <v>13227500</v>
      </c>
      <c r="AC59" s="10">
        <v>47.9</v>
      </c>
      <c r="AD59" s="2">
        <f t="shared" si="0"/>
        <v>0.25</v>
      </c>
      <c r="AE59" s="138">
        <f t="shared" si="1"/>
        <v>-7.0480928689884426E-3</v>
      </c>
    </row>
    <row r="60" spans="2:31" x14ac:dyDescent="0.25">
      <c r="B60" s="193">
        <v>42605</v>
      </c>
      <c r="C60" s="10">
        <v>80</v>
      </c>
      <c r="D60" s="200">
        <v>46.026000000000003</v>
      </c>
      <c r="E60" s="40">
        <v>48.41</v>
      </c>
      <c r="F60" s="40">
        <f t="shared" ref="F60" si="46">C60*(E60-D60)</f>
        <v>190.71999999999946</v>
      </c>
      <c r="G60" s="40">
        <f t="shared" ref="G60" si="47">D60*C60</f>
        <v>3682.0800000000004</v>
      </c>
      <c r="H60" s="231">
        <f t="shared" ref="H60" si="48">(E60-D60)/D60</f>
        <v>5.1796810498413788E-2</v>
      </c>
      <c r="I60" s="40"/>
      <c r="O60" s="2"/>
      <c r="P60" s="83">
        <v>0.9</v>
      </c>
      <c r="Q60" s="83">
        <f t="shared" si="6"/>
        <v>40.716000000000001</v>
      </c>
      <c r="R60" s="83"/>
      <c r="W60" s="94">
        <v>42593</v>
      </c>
      <c r="X60" s="10">
        <v>48.23</v>
      </c>
      <c r="Y60" s="10">
        <v>48.5</v>
      </c>
      <c r="Z60" s="10">
        <v>47.92</v>
      </c>
      <c r="AA60" s="10">
        <v>48.24</v>
      </c>
      <c r="AB60" s="95">
        <v>14614100</v>
      </c>
      <c r="AC60" s="10">
        <v>48.24</v>
      </c>
      <c r="AD60" s="2">
        <f t="shared" si="0"/>
        <v>0.57999999999999829</v>
      </c>
      <c r="AE60" s="138">
        <f t="shared" si="1"/>
        <v>1.2453300124533051E-3</v>
      </c>
    </row>
    <row r="61" spans="2:31" x14ac:dyDescent="0.25">
      <c r="B61" s="193">
        <v>42606</v>
      </c>
      <c r="C61" s="10">
        <v>80</v>
      </c>
      <c r="D61" s="200">
        <v>46.026000000000003</v>
      </c>
      <c r="E61" s="40">
        <v>48.63</v>
      </c>
      <c r="F61" s="40">
        <f t="shared" ref="F61" si="49">C61*(E61-D61)</f>
        <v>208.31999999999994</v>
      </c>
      <c r="G61" s="40">
        <f t="shared" ref="G61" si="50">D61*C61</f>
        <v>3682.0800000000004</v>
      </c>
      <c r="H61" s="231">
        <f t="shared" ref="H61" si="51">(E61-D61)/D61</f>
        <v>5.6576717507495738E-2</v>
      </c>
      <c r="I61" s="40"/>
      <c r="W61" s="94">
        <v>42592</v>
      </c>
      <c r="X61" s="10">
        <v>48.82</v>
      </c>
      <c r="Y61" s="10">
        <v>48.93</v>
      </c>
      <c r="Z61" s="10">
        <v>48.08</v>
      </c>
      <c r="AA61" s="10">
        <v>48.18</v>
      </c>
      <c r="AB61" s="95">
        <v>16782700</v>
      </c>
      <c r="AC61" s="10">
        <v>48.18</v>
      </c>
      <c r="AD61" s="2">
        <f t="shared" si="0"/>
        <v>0.85000000000000142</v>
      </c>
      <c r="AE61" s="138">
        <f t="shared" si="1"/>
        <v>-1.5328019619865074E-2</v>
      </c>
    </row>
    <row r="62" spans="2:31" x14ac:dyDescent="0.25">
      <c r="B62" s="193">
        <v>42607</v>
      </c>
      <c r="C62" s="10">
        <v>80</v>
      </c>
      <c r="D62" s="200">
        <v>46.026000000000003</v>
      </c>
      <c r="E62" s="40">
        <v>48.38</v>
      </c>
      <c r="F62" s="40">
        <f t="shared" ref="F62" si="52">C62*(E62-D62)</f>
        <v>188.31999999999994</v>
      </c>
      <c r="G62" s="40">
        <f t="shared" ref="G62" si="53">D62*C62</f>
        <v>3682.0800000000004</v>
      </c>
      <c r="H62" s="231">
        <f t="shared" ref="H62" si="54">(E62-D62)/D62</f>
        <v>5.1145004997175489E-2</v>
      </c>
      <c r="I62" s="40"/>
      <c r="W62" s="94">
        <v>42591</v>
      </c>
      <c r="X62" s="10">
        <v>49.02</v>
      </c>
      <c r="Y62" s="10">
        <v>49.15</v>
      </c>
      <c r="Z62" s="10">
        <v>48.81</v>
      </c>
      <c r="AA62" s="10">
        <v>48.93</v>
      </c>
      <c r="AB62" s="95">
        <v>10449800</v>
      </c>
      <c r="AC62" s="10">
        <v>48.93</v>
      </c>
      <c r="AD62" s="2">
        <f t="shared" si="0"/>
        <v>0.33999999999999631</v>
      </c>
      <c r="AE62" s="138">
        <f t="shared" si="1"/>
        <v>4.0891433244749642E-4</v>
      </c>
    </row>
    <row r="63" spans="2:31" x14ac:dyDescent="0.25">
      <c r="B63" s="193">
        <v>42608</v>
      </c>
      <c r="C63" s="10">
        <v>80</v>
      </c>
      <c r="D63" s="200">
        <v>46.026000000000003</v>
      </c>
      <c r="E63" s="40">
        <v>48.51</v>
      </c>
      <c r="F63" s="40">
        <f t="shared" ref="F63" si="55">C63*(E63-D63)</f>
        <v>198.71999999999957</v>
      </c>
      <c r="G63" s="40">
        <f t="shared" ref="G63" si="56">D63*C63</f>
        <v>3682.0800000000004</v>
      </c>
      <c r="H63" s="231">
        <f t="shared" ref="H63" si="57">(E63-D63)/D63</f>
        <v>5.3969495502541924E-2</v>
      </c>
      <c r="I63" s="40"/>
      <c r="W63" s="94">
        <v>42590</v>
      </c>
      <c r="X63" s="10">
        <v>48.78</v>
      </c>
      <c r="Y63" s="10">
        <v>49.05</v>
      </c>
      <c r="Z63" s="10">
        <v>48.74</v>
      </c>
      <c r="AA63" s="10">
        <v>48.91</v>
      </c>
      <c r="AB63" s="95">
        <v>14871600</v>
      </c>
      <c r="AC63" s="10">
        <v>48.91</v>
      </c>
      <c r="AD63" s="2">
        <f t="shared" si="0"/>
        <v>0.30999999999999517</v>
      </c>
      <c r="AE63" s="138">
        <f t="shared" si="1"/>
        <v>4.7247329498767421E-3</v>
      </c>
    </row>
    <row r="64" spans="2:31" x14ac:dyDescent="0.25">
      <c r="B64" s="193">
        <v>42611</v>
      </c>
      <c r="C64" s="10">
        <v>0</v>
      </c>
      <c r="D64" s="200"/>
      <c r="E64" s="40"/>
      <c r="F64" s="40">
        <v>294.61</v>
      </c>
      <c r="G64" s="40"/>
      <c r="H64" s="231"/>
      <c r="I64" s="40"/>
      <c r="W64" s="94">
        <v>42587</v>
      </c>
      <c r="X64" s="10">
        <v>48.39</v>
      </c>
      <c r="Y64" s="10">
        <v>48.7</v>
      </c>
      <c r="Z64" s="10">
        <v>48.13</v>
      </c>
      <c r="AA64" s="10">
        <v>48.68</v>
      </c>
      <c r="AB64" s="95">
        <v>19064700</v>
      </c>
      <c r="AC64" s="10">
        <v>48.68</v>
      </c>
      <c r="AD64" s="2">
        <f t="shared" si="0"/>
        <v>0.57000000000000028</v>
      </c>
      <c r="AE64" s="138">
        <f t="shared" si="1"/>
        <v>1.7558528428093467E-2</v>
      </c>
    </row>
    <row r="65" spans="2:31" x14ac:dyDescent="0.25">
      <c r="B65" s="193"/>
      <c r="C65" s="10"/>
      <c r="D65" s="200"/>
      <c r="E65" s="40"/>
      <c r="F65" s="40"/>
      <c r="G65" s="40"/>
      <c r="H65" s="231"/>
      <c r="I65" s="40"/>
      <c r="W65" s="94">
        <v>42586</v>
      </c>
      <c r="X65" s="10">
        <v>47.6</v>
      </c>
      <c r="Y65" s="10">
        <v>48</v>
      </c>
      <c r="Z65" s="10">
        <v>47.57</v>
      </c>
      <c r="AA65" s="10">
        <v>47.84</v>
      </c>
      <c r="AB65" s="95">
        <v>14662600</v>
      </c>
      <c r="AC65" s="10">
        <v>47.84</v>
      </c>
      <c r="AD65" s="2">
        <f t="shared" si="0"/>
        <v>0.42999999999999972</v>
      </c>
      <c r="AE65" s="138">
        <f t="shared" si="1"/>
        <v>5.6758461215051792E-3</v>
      </c>
    </row>
    <row r="66" spans="2:31" x14ac:dyDescent="0.25">
      <c r="B66" s="193"/>
      <c r="C66" s="10"/>
      <c r="D66" s="200"/>
      <c r="E66" s="40"/>
      <c r="F66" s="40"/>
      <c r="G66" s="40"/>
      <c r="H66" s="231"/>
      <c r="I66" s="40"/>
      <c r="W66" s="94">
        <v>42585</v>
      </c>
      <c r="X66" s="10">
        <v>47.33</v>
      </c>
      <c r="Y66" s="10">
        <v>47.64</v>
      </c>
      <c r="Z66" s="10">
        <v>47.33</v>
      </c>
      <c r="AA66" s="10">
        <v>47.57</v>
      </c>
      <c r="AB66" s="95">
        <v>14913500</v>
      </c>
      <c r="AC66" s="10">
        <v>47.57</v>
      </c>
      <c r="AD66" s="2">
        <f t="shared" si="0"/>
        <v>0.31000000000000227</v>
      </c>
      <c r="AE66" s="138" t="e">
        <f t="shared" si="1"/>
        <v>#DIV/0!</v>
      </c>
    </row>
    <row r="67" spans="2:31" x14ac:dyDescent="0.25">
      <c r="B67" s="191" t="s">
        <v>114</v>
      </c>
      <c r="C67" s="191" t="s">
        <v>149</v>
      </c>
      <c r="D67" s="192" t="s">
        <v>148</v>
      </c>
      <c r="E67" s="194" t="s">
        <v>150</v>
      </c>
      <c r="F67" s="194" t="s">
        <v>65</v>
      </c>
      <c r="G67" s="229" t="s">
        <v>154</v>
      </c>
      <c r="H67" s="229" t="s">
        <v>88</v>
      </c>
      <c r="I67" s="229" t="s">
        <v>158</v>
      </c>
      <c r="W67" s="94">
        <v>42585</v>
      </c>
      <c r="X67" s="10" t="s">
        <v>191</v>
      </c>
      <c r="Y67" s="10"/>
      <c r="Z67" s="10"/>
      <c r="AA67" s="10"/>
      <c r="AB67" s="95"/>
      <c r="AC67" s="10"/>
      <c r="AD67" s="2">
        <f t="shared" si="0"/>
        <v>0</v>
      </c>
      <c r="AE67" s="138">
        <f t="shared" si="1"/>
        <v>-1</v>
      </c>
    </row>
    <row r="68" spans="2:31" x14ac:dyDescent="0.25">
      <c r="B68" s="193">
        <v>42627</v>
      </c>
      <c r="C68" s="237">
        <v>40</v>
      </c>
      <c r="D68" s="586">
        <v>46.47</v>
      </c>
      <c r="E68" s="40">
        <v>46.52</v>
      </c>
      <c r="F68" s="40">
        <f t="shared" ref="F68" si="58">C68*(E68-D68)</f>
        <v>2.0000000000001705</v>
      </c>
      <c r="G68" s="40">
        <f t="shared" ref="G68" si="59">D68*C68</f>
        <v>1858.8</v>
      </c>
      <c r="H68" s="231">
        <f t="shared" ref="H68" si="60">(E68-D68)/D68</f>
        <v>1.0759629868733434E-3</v>
      </c>
      <c r="I68" s="40"/>
      <c r="W68" s="94">
        <v>42584</v>
      </c>
      <c r="X68" s="10">
        <v>47.66</v>
      </c>
      <c r="Y68" s="10">
        <v>47.83</v>
      </c>
      <c r="Z68" s="10">
        <v>47.39</v>
      </c>
      <c r="AA68" s="10">
        <v>47.7</v>
      </c>
      <c r="AB68" s="95">
        <v>17033100</v>
      </c>
      <c r="AC68" s="10">
        <v>47.32</v>
      </c>
      <c r="AD68" s="2">
        <f>Y68-Z68</f>
        <v>0.43999999999999773</v>
      </c>
      <c r="AE68" s="138" t="e">
        <f>AC68/AC69-1</f>
        <v>#DIV/0!</v>
      </c>
    </row>
    <row r="69" spans="2:31" x14ac:dyDescent="0.25">
      <c r="B69" s="193">
        <v>42629</v>
      </c>
      <c r="C69" s="10">
        <v>40</v>
      </c>
      <c r="D69" s="200">
        <v>46.47</v>
      </c>
      <c r="E69" s="40">
        <v>45.43</v>
      </c>
      <c r="F69" s="40">
        <f t="shared" ref="F69" si="61">C69*(E69-D69)</f>
        <v>-41.599999999999966</v>
      </c>
      <c r="G69" s="40">
        <f t="shared" ref="G69" si="62">D69*C69</f>
        <v>1858.8</v>
      </c>
      <c r="H69" s="231">
        <f t="shared" ref="H69" si="63">(E69-D69)/D69</f>
        <v>-2.2380030126963615E-2</v>
      </c>
      <c r="I69" s="40"/>
      <c r="W69" s="215" t="s">
        <v>121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2:31" x14ac:dyDescent="0.25">
      <c r="B70" s="193">
        <v>42632</v>
      </c>
      <c r="C70" s="10">
        <v>40</v>
      </c>
      <c r="D70" s="200">
        <v>46.47</v>
      </c>
      <c r="E70" s="40">
        <v>46.01</v>
      </c>
      <c r="F70" s="40">
        <f t="shared" ref="F70" si="64">C70*(E70-D70)</f>
        <v>-18.400000000000034</v>
      </c>
      <c r="G70" s="40">
        <f t="shared" ref="G70" si="65">D70*C70</f>
        <v>1858.8</v>
      </c>
      <c r="H70" s="231">
        <f t="shared" ref="H70" si="66">(E70-D70)/D70</f>
        <v>-9.8988594792339332E-3</v>
      </c>
      <c r="I70" s="40"/>
    </row>
    <row r="71" spans="2:31" x14ac:dyDescent="0.25">
      <c r="B71" s="193">
        <v>42633</v>
      </c>
      <c r="C71" s="10">
        <v>40</v>
      </c>
      <c r="D71" s="200">
        <v>46.47</v>
      </c>
      <c r="E71" s="40">
        <v>46.5</v>
      </c>
      <c r="F71" s="40">
        <f t="shared" ref="F71" si="67">C71*(E71-D71)</f>
        <v>1.2000000000000455</v>
      </c>
      <c r="G71" s="40">
        <f t="shared" ref="G71" si="68">D71*C71</f>
        <v>1858.8</v>
      </c>
      <c r="H71" s="231">
        <f t="shared" ref="H71" si="69">(E71-D71)/D71</f>
        <v>6.455777921239754E-4</v>
      </c>
      <c r="I71" s="40"/>
    </row>
    <row r="72" spans="2:31" x14ac:dyDescent="0.25">
      <c r="B72" s="193">
        <v>42634</v>
      </c>
      <c r="C72" s="10">
        <v>40</v>
      </c>
      <c r="D72" s="200">
        <v>46.47</v>
      </c>
      <c r="E72" s="40">
        <v>45.83</v>
      </c>
      <c r="F72" s="40">
        <f t="shared" ref="F72:F73" si="70">C72*(E72-D72)</f>
        <v>-25.600000000000023</v>
      </c>
      <c r="G72" s="40">
        <f t="shared" ref="G72:G73" si="71">D72*C72</f>
        <v>1858.8</v>
      </c>
      <c r="H72" s="231">
        <f t="shared" ref="H72:H73" si="72">(E72-D72)/D72</f>
        <v>-1.3772326231977633E-2</v>
      </c>
      <c r="I72" s="40"/>
    </row>
    <row r="73" spans="2:31" x14ac:dyDescent="0.25">
      <c r="B73" s="193">
        <v>42639</v>
      </c>
      <c r="C73" s="7">
        <v>80</v>
      </c>
      <c r="D73" s="79">
        <v>45.634999999999998</v>
      </c>
      <c r="E73" s="40">
        <v>44.88</v>
      </c>
      <c r="F73" s="40">
        <f t="shared" si="70"/>
        <v>-60.399999999999636</v>
      </c>
      <c r="G73" s="40">
        <f t="shared" si="71"/>
        <v>3650.7999999999997</v>
      </c>
      <c r="H73" s="231">
        <f t="shared" si="72"/>
        <v>-1.654431905335807E-2</v>
      </c>
      <c r="I73" s="40"/>
    </row>
    <row r="74" spans="2:31" x14ac:dyDescent="0.25">
      <c r="B74" s="193">
        <v>42646</v>
      </c>
      <c r="C74" s="10">
        <v>80</v>
      </c>
      <c r="D74" s="200">
        <v>45.634999999999998</v>
      </c>
      <c r="E74" s="40">
        <v>43.83</v>
      </c>
      <c r="F74" s="40">
        <f t="shared" ref="F74" si="73">C74*(E74-D74)</f>
        <v>-144.39999999999998</v>
      </c>
      <c r="G74" s="40">
        <f t="shared" ref="G74" si="74">D74*C74</f>
        <v>3650.7999999999997</v>
      </c>
      <c r="H74" s="231">
        <f t="shared" ref="H74" si="75">(E74-D74)/D74</f>
        <v>-3.9552974690478797E-2</v>
      </c>
      <c r="I74" s="40"/>
    </row>
    <row r="75" spans="2:31" x14ac:dyDescent="0.25">
      <c r="B75" s="193">
        <v>42648</v>
      </c>
      <c r="C75" s="10">
        <v>80</v>
      </c>
      <c r="D75" s="200">
        <v>45.634999999999998</v>
      </c>
      <c r="E75" s="40">
        <v>44.99</v>
      </c>
      <c r="F75" s="40">
        <f t="shared" ref="F75" si="76">C75*(E75-D75)</f>
        <v>-51.599999999999682</v>
      </c>
      <c r="G75" s="40">
        <f t="shared" ref="G75" si="77">D75*C75</f>
        <v>3650.7999999999997</v>
      </c>
      <c r="H75" s="231">
        <f t="shared" ref="H75" si="78">(E75-D75)/D75</f>
        <v>-1.4133888462802587E-2</v>
      </c>
      <c r="I75" s="40"/>
    </row>
    <row r="76" spans="2:31" x14ac:dyDescent="0.25">
      <c r="B76" s="193">
        <v>42649</v>
      </c>
      <c r="C76" s="10">
        <v>80</v>
      </c>
      <c r="D76" s="200">
        <v>45.634999999999998</v>
      </c>
      <c r="E76" s="40">
        <v>45.18</v>
      </c>
      <c r="F76" s="40">
        <f t="shared" ref="F76" si="79">C76*(E76-D76)</f>
        <v>-36.399999999999864</v>
      </c>
      <c r="G76" s="40">
        <f t="shared" ref="G76" si="80">D76*C76</f>
        <v>3650.7999999999997</v>
      </c>
      <c r="H76" s="231">
        <f t="shared" ref="H76" si="81">(E76-D76)/D76</f>
        <v>-9.9704174427522364E-3</v>
      </c>
      <c r="I76" s="40"/>
    </row>
    <row r="77" spans="2:31" x14ac:dyDescent="0.25">
      <c r="B77" s="193">
        <v>42650</v>
      </c>
      <c r="C77" s="10">
        <v>80</v>
      </c>
      <c r="D77" s="200">
        <v>45.634999999999998</v>
      </c>
      <c r="E77" s="40">
        <v>45.33</v>
      </c>
      <c r="F77" s="40">
        <f t="shared" ref="F77:F78" si="82">C77*(E77-D77)</f>
        <v>-24.399999999999977</v>
      </c>
      <c r="G77" s="40">
        <f t="shared" ref="G77:G78" si="83">D77*C77</f>
        <v>3650.7999999999997</v>
      </c>
      <c r="H77" s="231">
        <f t="shared" ref="H77:H78" si="84">(E77-D77)/D77</f>
        <v>-6.6834666374493206E-3</v>
      </c>
      <c r="I77" s="40"/>
    </row>
    <row r="78" spans="2:31" x14ac:dyDescent="0.25">
      <c r="B78" s="193">
        <v>42670</v>
      </c>
      <c r="C78" s="237">
        <v>40</v>
      </c>
      <c r="D78" s="586">
        <v>44.790999999999997</v>
      </c>
      <c r="E78" s="40">
        <v>46.41</v>
      </c>
      <c r="F78" s="40">
        <f t="shared" si="82"/>
        <v>64.759999999999991</v>
      </c>
      <c r="G78" s="40">
        <f t="shared" si="83"/>
        <v>1791.6399999999999</v>
      </c>
      <c r="H78" s="231">
        <f t="shared" si="84"/>
        <v>3.6145654260900627E-2</v>
      </c>
      <c r="I78" s="40"/>
    </row>
    <row r="79" spans="2:31" x14ac:dyDescent="0.25">
      <c r="B79" s="193"/>
      <c r="C79" s="10"/>
      <c r="D79" s="200"/>
      <c r="E79" s="40"/>
      <c r="F79" s="40"/>
      <c r="G79" s="40"/>
      <c r="H79" s="231"/>
      <c r="I79" s="40"/>
    </row>
    <row r="80" spans="2:31" x14ac:dyDescent="0.25">
      <c r="B80" s="193"/>
      <c r="C80" s="10"/>
      <c r="D80" s="200"/>
      <c r="E80" s="40"/>
      <c r="F80" s="40"/>
      <c r="G80" s="40"/>
      <c r="H80" s="231"/>
      <c r="I80" s="40"/>
    </row>
    <row r="81" spans="1:13" x14ac:dyDescent="0.25">
      <c r="B81" s="193"/>
      <c r="C81" s="10"/>
      <c r="D81" s="200"/>
      <c r="E81" s="40"/>
      <c r="F81" s="40"/>
      <c r="G81" s="40"/>
      <c r="H81" s="231"/>
      <c r="I81" s="40"/>
    </row>
    <row r="82" spans="1:13" x14ac:dyDescent="0.25">
      <c r="B82" s="193"/>
      <c r="C82" s="10"/>
      <c r="D82" s="200"/>
      <c r="E82" s="40"/>
      <c r="F82" s="40"/>
      <c r="G82" s="40"/>
      <c r="H82" s="231"/>
      <c r="I82" s="40"/>
    </row>
    <row r="83" spans="1:13" x14ac:dyDescent="0.25">
      <c r="B83" s="193"/>
      <c r="C83" s="10"/>
      <c r="D83" s="200"/>
      <c r="E83" s="40"/>
      <c r="F83" s="40"/>
      <c r="G83" s="40"/>
      <c r="H83" s="231"/>
      <c r="I83" s="40"/>
    </row>
    <row r="84" spans="1:13" x14ac:dyDescent="0.25">
      <c r="B84" s="193"/>
      <c r="C84" s="10"/>
      <c r="D84" s="200"/>
      <c r="E84" s="40"/>
      <c r="F84" s="40"/>
      <c r="G84" s="40"/>
      <c r="H84" s="231"/>
      <c r="I84" s="40"/>
    </row>
    <row r="87" spans="1:13" x14ac:dyDescent="0.25">
      <c r="L87" t="s">
        <v>65</v>
      </c>
      <c r="M87" s="40">
        <f>M105+K105-F105</f>
        <v>336.41000000000531</v>
      </c>
    </row>
    <row r="88" spans="1:13" x14ac:dyDescent="0.25">
      <c r="A88" s="263" t="s">
        <v>1</v>
      </c>
      <c r="B88" s="263" t="s">
        <v>2</v>
      </c>
      <c r="C88" s="263" t="s">
        <v>4</v>
      </c>
      <c r="D88" s="264" t="s">
        <v>5</v>
      </c>
      <c r="E88" s="264" t="s">
        <v>90</v>
      </c>
      <c r="F88" s="264" t="s">
        <v>60</v>
      </c>
      <c r="G88" s="263" t="s">
        <v>3</v>
      </c>
      <c r="H88" s="263" t="s">
        <v>6</v>
      </c>
      <c r="I88" s="264" t="s">
        <v>7</v>
      </c>
      <c r="J88" s="264" t="s">
        <v>89</v>
      </c>
      <c r="K88" s="264" t="s">
        <v>61</v>
      </c>
      <c r="L88" s="263" t="s">
        <v>77</v>
      </c>
      <c r="M88" s="263" t="s">
        <v>38</v>
      </c>
    </row>
    <row r="89" spans="1:13" x14ac:dyDescent="0.25">
      <c r="A89" s="265" t="s">
        <v>178</v>
      </c>
      <c r="B89" s="266">
        <v>42376</v>
      </c>
      <c r="C89" s="261">
        <v>40</v>
      </c>
      <c r="D89" s="262">
        <v>50.5</v>
      </c>
      <c r="E89" s="262">
        <v>0</v>
      </c>
      <c r="F89" s="262">
        <f t="shared" ref="F89:F93" si="85">C89*D89+E89</f>
        <v>2020</v>
      </c>
      <c r="G89" s="261"/>
      <c r="H89" s="261"/>
      <c r="I89" s="262"/>
      <c r="J89" s="262"/>
      <c r="K89" s="262"/>
      <c r="L89" s="266">
        <v>42430</v>
      </c>
      <c r="M89" s="262">
        <v>15</v>
      </c>
    </row>
    <row r="90" spans="1:13" x14ac:dyDescent="0.25">
      <c r="A90" s="268" t="s">
        <v>71</v>
      </c>
      <c r="B90" s="266">
        <v>42466</v>
      </c>
      <c r="C90" s="261">
        <v>40</v>
      </c>
      <c r="D90" s="262">
        <v>47.38</v>
      </c>
      <c r="E90" s="262">
        <v>0</v>
      </c>
      <c r="F90" s="262">
        <f t="shared" si="85"/>
        <v>1895.2</v>
      </c>
      <c r="G90" s="266">
        <v>42473</v>
      </c>
      <c r="H90" s="267">
        <v>40</v>
      </c>
      <c r="I90" s="262">
        <v>48.91</v>
      </c>
      <c r="J90" s="262">
        <v>0.04</v>
      </c>
      <c r="K90" s="262">
        <f t="shared" ref="K90:K96" si="86">I90*H90-J90</f>
        <v>1956.36</v>
      </c>
      <c r="L90" s="266">
        <v>42522</v>
      </c>
      <c r="M90" s="262">
        <v>30.4</v>
      </c>
    </row>
    <row r="91" spans="1:13" x14ac:dyDescent="0.25">
      <c r="A91" s="261"/>
      <c r="B91" s="266">
        <v>42474</v>
      </c>
      <c r="C91" s="261">
        <v>40</v>
      </c>
      <c r="D91" s="262">
        <v>48.55</v>
      </c>
      <c r="E91" s="262">
        <v>0</v>
      </c>
      <c r="F91" s="262">
        <f t="shared" si="85"/>
        <v>1942</v>
      </c>
      <c r="G91" s="266">
        <v>42487</v>
      </c>
      <c r="H91" s="267">
        <v>40</v>
      </c>
      <c r="I91" s="262">
        <v>50.97</v>
      </c>
      <c r="J91" s="262">
        <v>0.04</v>
      </c>
      <c r="K91" s="262">
        <f t="shared" si="86"/>
        <v>2038.76</v>
      </c>
      <c r="L91" s="266">
        <v>42614</v>
      </c>
      <c r="M91" s="262">
        <v>41.8</v>
      </c>
    </row>
    <row r="92" spans="1:13" x14ac:dyDescent="0.25">
      <c r="A92" s="261"/>
      <c r="B92" s="266">
        <v>42489</v>
      </c>
      <c r="C92" s="261">
        <v>40</v>
      </c>
      <c r="D92" s="262">
        <v>50.01</v>
      </c>
      <c r="E92" s="262">
        <v>0</v>
      </c>
      <c r="F92" s="262">
        <f t="shared" si="85"/>
        <v>2000.3999999999999</v>
      </c>
      <c r="G92" s="266">
        <v>42514</v>
      </c>
      <c r="H92" s="414">
        <v>40</v>
      </c>
      <c r="I92" s="373">
        <v>49.29</v>
      </c>
      <c r="J92" s="373">
        <v>0.04</v>
      </c>
      <c r="K92" s="373">
        <f t="shared" si="86"/>
        <v>1971.56</v>
      </c>
      <c r="L92" s="261"/>
      <c r="M92" s="261"/>
    </row>
    <row r="93" spans="1:13" x14ac:dyDescent="0.25">
      <c r="A93" s="261"/>
      <c r="B93" s="266">
        <v>42503</v>
      </c>
      <c r="C93" s="261">
        <v>10</v>
      </c>
      <c r="D93" s="262">
        <v>48.2</v>
      </c>
      <c r="E93" s="262">
        <v>0</v>
      </c>
      <c r="F93" s="262">
        <f t="shared" si="85"/>
        <v>482</v>
      </c>
      <c r="G93" s="266">
        <v>42517</v>
      </c>
      <c r="H93" s="267">
        <v>20</v>
      </c>
      <c r="I93" s="262">
        <v>50.72</v>
      </c>
      <c r="J93" s="262">
        <v>0.02</v>
      </c>
      <c r="K93" s="373">
        <f t="shared" si="86"/>
        <v>1014.38</v>
      </c>
      <c r="L93" s="261"/>
      <c r="M93" s="261"/>
    </row>
    <row r="94" spans="1:13" x14ac:dyDescent="0.25">
      <c r="A94" s="261"/>
      <c r="B94" s="266">
        <v>42503</v>
      </c>
      <c r="C94" s="261">
        <v>20</v>
      </c>
      <c r="D94" s="262">
        <v>48.2</v>
      </c>
      <c r="E94" s="262">
        <v>0</v>
      </c>
      <c r="F94" s="262">
        <f>C94*D94+E94</f>
        <v>964</v>
      </c>
      <c r="G94" s="266">
        <v>42527</v>
      </c>
      <c r="H94" s="267">
        <v>30</v>
      </c>
      <c r="I94" s="262">
        <v>50.59</v>
      </c>
      <c r="J94" s="262">
        <v>0.03</v>
      </c>
      <c r="K94" s="373">
        <f t="shared" si="86"/>
        <v>1517.67</v>
      </c>
      <c r="L94" s="261"/>
      <c r="M94" s="261"/>
    </row>
    <row r="95" spans="1:13" x14ac:dyDescent="0.25">
      <c r="A95" s="261"/>
      <c r="B95" s="266">
        <v>42524</v>
      </c>
      <c r="C95" s="261">
        <v>30</v>
      </c>
      <c r="D95" s="262">
        <v>50.01</v>
      </c>
      <c r="E95" s="262">
        <v>0</v>
      </c>
      <c r="F95" s="262">
        <f>C95*D95+E95</f>
        <v>1500.3</v>
      </c>
      <c r="G95" s="266">
        <v>42587</v>
      </c>
      <c r="H95" s="267">
        <v>30</v>
      </c>
      <c r="I95" s="262">
        <v>48.68</v>
      </c>
      <c r="J95" s="262">
        <v>0.03</v>
      </c>
      <c r="K95" s="262">
        <f t="shared" si="86"/>
        <v>1460.3700000000001</v>
      </c>
      <c r="L95" s="261"/>
      <c r="M95" s="261"/>
    </row>
    <row r="96" spans="1:13" x14ac:dyDescent="0.25">
      <c r="A96" s="261"/>
      <c r="B96" s="266">
        <v>42531</v>
      </c>
      <c r="C96" s="261">
        <v>30</v>
      </c>
      <c r="D96" s="262">
        <v>48.51</v>
      </c>
      <c r="E96" s="262">
        <v>0</v>
      </c>
      <c r="F96" s="262">
        <f>C96*D96+E96</f>
        <v>1455.3</v>
      </c>
      <c r="G96" s="266">
        <v>42611</v>
      </c>
      <c r="H96" s="267">
        <v>80</v>
      </c>
      <c r="I96" s="262">
        <v>49.71</v>
      </c>
      <c r="J96" s="262">
        <v>0.09</v>
      </c>
      <c r="K96" s="262">
        <f t="shared" si="86"/>
        <v>3976.71</v>
      </c>
      <c r="L96" s="261"/>
      <c r="M96" s="261"/>
    </row>
    <row r="97" spans="1:13" x14ac:dyDescent="0.25">
      <c r="A97" s="261"/>
      <c r="B97" s="266">
        <v>42566</v>
      </c>
      <c r="C97" s="261">
        <v>30</v>
      </c>
      <c r="D97" s="262">
        <v>47.58</v>
      </c>
      <c r="E97" s="262">
        <v>0</v>
      </c>
      <c r="F97" s="262">
        <f>C97*D97+E97</f>
        <v>1427.3999999999999</v>
      </c>
      <c r="G97" s="261"/>
      <c r="H97" s="261"/>
      <c r="I97" s="262"/>
      <c r="J97" s="262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1"/>
      <c r="H98" s="261"/>
      <c r="I98" s="262"/>
      <c r="J98" s="262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1"/>
      <c r="H99" s="261"/>
      <c r="I99" s="262"/>
      <c r="J99" s="262"/>
      <c r="K99" s="262"/>
      <c r="L99" s="261"/>
      <c r="M99" s="261"/>
    </row>
    <row r="100" spans="1:13" x14ac:dyDescent="0.25">
      <c r="A100" s="261"/>
      <c r="B100" s="261"/>
      <c r="C100" s="261"/>
      <c r="D100" s="262"/>
      <c r="E100" s="262"/>
      <c r="F100" s="262"/>
      <c r="G100" s="261"/>
      <c r="H100" s="261"/>
      <c r="I100" s="262"/>
      <c r="J100" s="262"/>
      <c r="K100" s="262"/>
      <c r="L100" s="261"/>
      <c r="M100" s="261"/>
    </row>
    <row r="101" spans="1:13" x14ac:dyDescent="0.25">
      <c r="A101" s="261"/>
      <c r="B101" s="261"/>
      <c r="C101" s="261"/>
      <c r="D101" s="262"/>
      <c r="E101" s="262"/>
      <c r="F101" s="262"/>
      <c r="G101" s="261"/>
      <c r="H101" s="261"/>
      <c r="I101" s="262"/>
      <c r="J101" s="262"/>
      <c r="K101" s="262"/>
      <c r="L101" s="261"/>
      <c r="M101" s="261"/>
    </row>
    <row r="102" spans="1:13" x14ac:dyDescent="0.25">
      <c r="A102" s="261"/>
      <c r="B102" s="261"/>
      <c r="C102" s="261"/>
      <c r="D102" s="262"/>
      <c r="E102" s="262"/>
      <c r="F102" s="262"/>
      <c r="G102" s="261"/>
      <c r="H102" s="261"/>
      <c r="I102" s="262"/>
      <c r="J102" s="262"/>
      <c r="K102" s="262"/>
      <c r="L102" s="261"/>
      <c r="M102" s="261"/>
    </row>
    <row r="103" spans="1:13" x14ac:dyDescent="0.25">
      <c r="A103" s="261"/>
      <c r="B103" s="261"/>
      <c r="C103" s="261"/>
      <c r="D103" s="262"/>
      <c r="E103" s="262"/>
      <c r="F103" s="262"/>
      <c r="G103" s="261"/>
      <c r="H103" s="261"/>
      <c r="I103" s="262"/>
      <c r="J103" s="262"/>
      <c r="K103" s="262"/>
      <c r="L103" s="261"/>
      <c r="M103" s="261"/>
    </row>
    <row r="104" spans="1:13" x14ac:dyDescent="0.25">
      <c r="A104" s="261"/>
      <c r="B104" s="261"/>
      <c r="C104" s="261"/>
      <c r="D104" s="262"/>
      <c r="E104" s="262"/>
      <c r="F104" s="262"/>
      <c r="G104" s="261"/>
      <c r="H104" s="267"/>
      <c r="I104" s="262"/>
      <c r="J104" s="262"/>
      <c r="K104" s="262"/>
      <c r="L104" s="261"/>
      <c r="M104" s="261"/>
    </row>
    <row r="105" spans="1:13" x14ac:dyDescent="0.25">
      <c r="A105" s="32" t="s">
        <v>81</v>
      </c>
      <c r="B105" s="14"/>
      <c r="C105" s="14">
        <f>SUM(C89:C104)</f>
        <v>280</v>
      </c>
      <c r="D105" s="18"/>
      <c r="E105" s="18"/>
      <c r="F105" s="18">
        <f>SUM(F89:F104)</f>
        <v>13686.599999999997</v>
      </c>
      <c r="G105" s="14"/>
      <c r="H105" s="73">
        <f>SUM(H90:H104)</f>
        <v>280</v>
      </c>
      <c r="I105" s="18"/>
      <c r="J105" s="18"/>
      <c r="K105" s="18">
        <f>SUM(K90:K104)</f>
        <v>13935.810000000001</v>
      </c>
      <c r="L105" s="18"/>
      <c r="M105" s="18">
        <f>SUM(M89:M104)</f>
        <v>87.199999999999989</v>
      </c>
    </row>
    <row r="106" spans="1:13" ht="15.75" thickBot="1" x14ac:dyDescent="0.3">
      <c r="A106" s="484" t="s">
        <v>201</v>
      </c>
      <c r="B106" s="485"/>
      <c r="C106" s="486">
        <f>SumByColor($A$19,C89:C104)</f>
        <v>0</v>
      </c>
      <c r="D106" s="486"/>
      <c r="E106" s="486"/>
      <c r="F106" s="487">
        <f>SumByColor($A$19,F89:F104)</f>
        <v>0</v>
      </c>
      <c r="G106" s="486"/>
      <c r="H106" s="486">
        <f>SumByColor($A$19,H89:H104)</f>
        <v>0</v>
      </c>
      <c r="I106" s="486"/>
      <c r="J106" s="486"/>
      <c r="K106" s="487">
        <f>SumByColor($A$19,K89:K104)</f>
        <v>0</v>
      </c>
      <c r="L106" s="486"/>
      <c r="M106" s="487">
        <f t="shared" ref="M106" si="87">SumByColor($A$19,M89:M104)</f>
        <v>0</v>
      </c>
    </row>
  </sheetData>
  <mergeCells count="1">
    <mergeCell ref="P39:Q39"/>
  </mergeCells>
  <conditionalFormatting sqref="F26:F28">
    <cfRule type="expression" dxfId="355" priority="45">
      <formula>F26&gt;0</formula>
    </cfRule>
    <cfRule type="expression" dxfId="354" priority="46">
      <formula>F26&lt;0</formula>
    </cfRule>
  </conditionalFormatting>
  <conditionalFormatting sqref="P40:P60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9:F57 F64:F66 F73:F84">
    <cfRule type="expression" dxfId="353" priority="37">
      <formula>F29&gt;0</formula>
    </cfRule>
    <cfRule type="expression" dxfId="352" priority="38">
      <formula>F29&lt;0</formula>
    </cfRule>
  </conditionalFormatting>
  <conditionalFormatting sqref="F29:F57 F64:F66 F73:F84">
    <cfRule type="expression" dxfId="351" priority="39">
      <formula>F29&gt;0</formula>
    </cfRule>
    <cfRule type="expression" dxfId="350" priority="40">
      <formula>F29&lt;0</formula>
    </cfRule>
  </conditionalFormatting>
  <conditionalFormatting sqref="H26:H57 H64:H66 H73:H84">
    <cfRule type="expression" dxfId="349" priority="35">
      <formula>H26&gt;0</formula>
    </cfRule>
    <cfRule type="expression" dxfId="348" priority="36">
      <formula>H26&lt;0</formula>
    </cfRule>
  </conditionalFormatting>
  <conditionalFormatting sqref="F22:F25">
    <cfRule type="expression" dxfId="347" priority="21">
      <formula>F22&gt;0</formula>
    </cfRule>
    <cfRule type="expression" dxfId="346" priority="22">
      <formula>F22&lt;0</formula>
    </cfRule>
  </conditionalFormatting>
  <conditionalFormatting sqref="H22:H25">
    <cfRule type="expression" dxfId="345" priority="19">
      <formula>H22&gt;0</formula>
    </cfRule>
    <cfRule type="expression" dxfId="344" priority="20">
      <formula>H22&lt;0</formula>
    </cfRule>
  </conditionalFormatting>
  <conditionalFormatting sqref="Q8">
    <cfRule type="expression" dxfId="343" priority="15">
      <formula>Q8&gt;0</formula>
    </cfRule>
    <cfRule type="expression" dxfId="342" priority="16">
      <formula>Q8&lt;0</formula>
    </cfRule>
  </conditionalFormatting>
  <conditionalFormatting sqref="Q7">
    <cfRule type="expression" dxfId="341" priority="17">
      <formula>Q7&gt;0</formula>
    </cfRule>
    <cfRule type="expression" dxfId="340" priority="18">
      <formula>Q7&lt;0</formula>
    </cfRule>
  </conditionalFormatting>
  <conditionalFormatting sqref="F58:F63">
    <cfRule type="expression" dxfId="339" priority="11">
      <formula>F58&gt;0</formula>
    </cfRule>
    <cfRule type="expression" dxfId="338" priority="12">
      <formula>F58&lt;0</formula>
    </cfRule>
  </conditionalFormatting>
  <conditionalFormatting sqref="F58:F63">
    <cfRule type="expression" dxfId="337" priority="13">
      <formula>F58&gt;0</formula>
    </cfRule>
    <cfRule type="expression" dxfId="336" priority="14">
      <formula>F58&lt;0</formula>
    </cfRule>
  </conditionalFormatting>
  <conditionalFormatting sqref="H58:H63">
    <cfRule type="expression" dxfId="335" priority="9">
      <formula>H58&gt;0</formula>
    </cfRule>
    <cfRule type="expression" dxfId="334" priority="10">
      <formula>H58&lt;0</formula>
    </cfRule>
  </conditionalFormatting>
  <conditionalFormatting sqref="M87">
    <cfRule type="expression" dxfId="333" priority="5">
      <formula>M87&gt;0</formula>
    </cfRule>
    <cfRule type="expression" dxfId="332" priority="6">
      <formula>M87&lt;0</formula>
    </cfRule>
  </conditionalFormatting>
  <conditionalFormatting sqref="M87">
    <cfRule type="expression" dxfId="331" priority="7">
      <formula>M87&gt;0</formula>
    </cfRule>
    <cfRule type="expression" dxfId="330" priority="8">
      <formula>M87&lt;0</formula>
    </cfRule>
  </conditionalFormatting>
  <conditionalFormatting sqref="F68:F72">
    <cfRule type="expression" dxfId="329" priority="3">
      <formula>F68&gt;0</formula>
    </cfRule>
    <cfRule type="expression" dxfId="328" priority="4">
      <formula>F68&lt;0</formula>
    </cfRule>
  </conditionalFormatting>
  <conditionalFormatting sqref="H68:H72">
    <cfRule type="expression" dxfId="327" priority="1">
      <formula>H68&gt;0</formula>
    </cfRule>
    <cfRule type="expression" dxfId="326" priority="2">
      <formula>H68&lt;0</formula>
    </cfRule>
  </conditionalFormatting>
  <hyperlinks>
    <hyperlink ref="A3" location="ACTIVE!A1" display="Back"/>
    <hyperlink ref="A9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4257812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260</v>
      </c>
      <c r="W2" s="94">
        <v>42676</v>
      </c>
      <c r="X2" s="10">
        <v>22.67</v>
      </c>
      <c r="Y2" s="10">
        <v>23.26</v>
      </c>
      <c r="Z2" s="10">
        <v>22.64</v>
      </c>
      <c r="AA2" s="10">
        <v>22.91</v>
      </c>
      <c r="AB2" s="95">
        <v>10713500</v>
      </c>
      <c r="AC2" s="10">
        <v>22.91</v>
      </c>
      <c r="AD2" s="2">
        <f>Y2-Z2</f>
        <v>0.62000000000000099</v>
      </c>
      <c r="AE2" s="138">
        <f>AC2/AC3-1</f>
        <v>-3.9130434782608248E-3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22.91</v>
      </c>
      <c r="T3" s="121">
        <v>42568</v>
      </c>
      <c r="U3" t="s">
        <v>272</v>
      </c>
      <c r="W3" s="94">
        <v>42675</v>
      </c>
      <c r="X3" s="10">
        <v>22.1</v>
      </c>
      <c r="Y3" s="10">
        <v>23.55</v>
      </c>
      <c r="Z3" s="10">
        <v>21.78</v>
      </c>
      <c r="AA3" s="10">
        <v>23</v>
      </c>
      <c r="AB3" s="95">
        <v>31343100</v>
      </c>
      <c r="AC3" s="10">
        <v>23</v>
      </c>
      <c r="AD3" s="2">
        <f>Y3-Z3</f>
        <v>1.7699999999999996</v>
      </c>
      <c r="AE3" s="138" t="e">
        <f>AC3/#REF!-1</f>
        <v>#REF!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22.91</v>
      </c>
      <c r="R4" s="527">
        <v>-3.8999999999999998E-3</v>
      </c>
      <c r="T4" s="121"/>
      <c r="W4" s="94" t="s">
        <v>121</v>
      </c>
      <c r="X4" s="10"/>
      <c r="Y4" s="10"/>
      <c r="Z4" s="10"/>
      <c r="AA4" s="10"/>
      <c r="AB4" s="95"/>
      <c r="AC4" s="10"/>
      <c r="AD4" s="2" t="e">
        <f>#REF!-#REF!</f>
        <v>#REF!</v>
      </c>
      <c r="AE4" s="138" t="e">
        <f>#REF!/#REF!-1</f>
        <v>#REF!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AD5" s="2" t="e">
        <f>#REF!-#REF!</f>
        <v>#REF!</v>
      </c>
      <c r="AE5" s="138" t="e">
        <f>#REF!/#REF!-1</f>
        <v>#REF!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AD6" s="2" t="e">
        <f>#REF!-#REF!</f>
        <v>#REF!</v>
      </c>
      <c r="AE6" s="138" t="e">
        <f>#REF!/#REF!-1</f>
        <v>#REF!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184</v>
      </c>
      <c r="P7"/>
      <c r="Q7" s="2">
        <f>Q10+Q8</f>
        <v>1128.3800000000047</v>
      </c>
      <c r="R7">
        <v>0</v>
      </c>
      <c r="T7" s="85"/>
      <c r="AD7" s="2" t="e">
        <f>#REF!-#REF!</f>
        <v>#REF!</v>
      </c>
      <c r="AE7" s="138" t="e">
        <f>#REF!/#REF!-1</f>
        <v>#REF!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187</v>
      </c>
      <c r="Q8" s="2">
        <f>K18+M18-F18+Q2*Q4</f>
        <v>0</v>
      </c>
      <c r="AD8" s="2" t="e">
        <f>#REF!-#REF!</f>
        <v>#REF!</v>
      </c>
      <c r="AE8" s="138" t="e">
        <f>#REF!/#REF!-1</f>
        <v>#REF!</v>
      </c>
    </row>
    <row r="9" spans="1:40" x14ac:dyDescent="0.25">
      <c r="O9" s="11" t="s">
        <v>219</v>
      </c>
      <c r="P9"/>
      <c r="Q9" s="138">
        <f>IF(Q2=0, 0, Q8/Q6)</f>
        <v>0</v>
      </c>
      <c r="AD9" s="2" t="e">
        <f>#REF!-#REF!</f>
        <v>#REF!</v>
      </c>
      <c r="AE9" s="138" t="e">
        <f>#REF!/#REF!-1</f>
        <v>#REF!</v>
      </c>
      <c r="AK9" s="234"/>
      <c r="AN9" s="234"/>
    </row>
    <row r="10" spans="1:40" x14ac:dyDescent="0.25">
      <c r="O10" s="11" t="s">
        <v>218</v>
      </c>
      <c r="Q10" s="2">
        <f>M42</f>
        <v>1128.3800000000047</v>
      </c>
      <c r="AD10" s="2" t="e">
        <f>#REF!-#REF!</f>
        <v>#REF!</v>
      </c>
      <c r="AE10" s="138" t="e">
        <f>#REF!/#REF!-1</f>
        <v>#REF!</v>
      </c>
    </row>
    <row r="11" spans="1:40" x14ac:dyDescent="0.25">
      <c r="O11" s="11" t="s">
        <v>181</v>
      </c>
      <c r="Q11" s="138">
        <f>VALUE(TRIM(CLEAN(MID(U55, FIND("(", U55)+1, 5))))</f>
        <v>1.2699999999999999E-2</v>
      </c>
      <c r="AD11" s="2" t="e">
        <f>#REF!-#REF!</f>
        <v>#REF!</v>
      </c>
      <c r="AE11" s="138" t="e">
        <f>#REF!/#REF!-1</f>
        <v>#REF!</v>
      </c>
      <c r="AK11" s="234"/>
      <c r="AN11" s="234"/>
    </row>
    <row r="12" spans="1:40" x14ac:dyDescent="0.25">
      <c r="AD12" s="2" t="e">
        <f>#REF!-#REF!</f>
        <v>#REF!</v>
      </c>
      <c r="AE12" s="138" t="e">
        <f>#REF!/#REF!-1</f>
        <v>#REF!</v>
      </c>
    </row>
    <row r="13" spans="1:40" x14ac:dyDescent="0.25">
      <c r="AD13" s="2" t="e">
        <f>#REF!-#REF!</f>
        <v>#REF!</v>
      </c>
      <c r="AE13" s="138" t="e">
        <f>#REF!/#REF!-1</f>
        <v>#REF!</v>
      </c>
      <c r="AK13" s="234"/>
      <c r="AN13" s="234"/>
    </row>
    <row r="14" spans="1:40" x14ac:dyDescent="0.25">
      <c r="T14" s="84"/>
      <c r="U14" s="11"/>
      <c r="AD14" s="2" t="e">
        <f>#REF!-#REF!</f>
        <v>#REF!</v>
      </c>
      <c r="AE14" s="138" t="e">
        <f>#REF!/#REF!-1</f>
        <v>#REF!</v>
      </c>
    </row>
    <row r="15" spans="1:40" x14ac:dyDescent="0.25">
      <c r="AD15" s="2" t="e">
        <f>#REF!-#REF!</f>
        <v>#REF!</v>
      </c>
      <c r="AE15" s="138" t="e">
        <f>#REF!/#REF!-1</f>
        <v>#REF!</v>
      </c>
      <c r="AK15" s="234"/>
      <c r="AN15" s="234"/>
    </row>
    <row r="16" spans="1:40" x14ac:dyDescent="0.25">
      <c r="AD16" s="2" t="e">
        <f>#REF!-#REF!</f>
        <v>#REF!</v>
      </c>
      <c r="AE16" s="138" t="e">
        <f>#REF!/#REF!-1</f>
        <v>#REF!</v>
      </c>
    </row>
    <row r="17" spans="1:40" x14ac:dyDescent="0.25">
      <c r="AD17" s="2" t="e">
        <f>#REF!-#REF!</f>
        <v>#REF!</v>
      </c>
      <c r="AE17" s="138" t="e">
        <f>#REF!/#REF!-1</f>
        <v>#REF!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AD18" s="2" t="e">
        <f>#REF!-#REF!</f>
        <v>#REF!</v>
      </c>
      <c r="AE18" s="138" t="e">
        <f>#REF!/#REF!-1</f>
        <v>#REF!</v>
      </c>
    </row>
    <row r="19" spans="1:40" ht="15.75" thickBot="1" x14ac:dyDescent="0.3">
      <c r="A19" s="359" t="s">
        <v>201</v>
      </c>
      <c r="B19" s="360"/>
      <c r="C19" s="361" t="e">
        <f>SumByColor($A$19,C2:C17)</f>
        <v>#VALUE!</v>
      </c>
      <c r="D19" s="361"/>
      <c r="E19" s="361"/>
      <c r="F19" s="362" t="e">
        <f>SumByColor($A$19,F2:F17)</f>
        <v>#VALUE!</v>
      </c>
      <c r="G19" s="361"/>
      <c r="H19" s="361" t="e">
        <f>SumByColor($A$19,H2:H17)</f>
        <v>#VALUE!</v>
      </c>
      <c r="I19" s="361"/>
      <c r="J19" s="361"/>
      <c r="K19" s="362" t="e">
        <f>SumByColor($A$19,K2:K17)</f>
        <v>#VALUE!</v>
      </c>
      <c r="L19" s="361"/>
      <c r="M19" s="362" t="e">
        <f t="shared" ref="M19" si="0">SumByColor($A$19,M2:M17)</f>
        <v>#VALUE!</v>
      </c>
      <c r="AD19" s="2" t="e">
        <f>#REF!-#REF!</f>
        <v>#REF!</v>
      </c>
      <c r="AE19" s="138" t="e">
        <f>#REF!/#REF!-1</f>
        <v>#REF!</v>
      </c>
      <c r="AK19" s="234"/>
      <c r="AN19" s="234"/>
    </row>
    <row r="20" spans="1:40" x14ac:dyDescent="0.25">
      <c r="AD20" s="2" t="e">
        <f>#REF!-#REF!</f>
        <v>#REF!</v>
      </c>
      <c r="AE20" s="138" t="e">
        <f>#REF!/#REF!-1</f>
        <v>#REF!</v>
      </c>
    </row>
    <row r="21" spans="1:40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AD21" s="2" t="e">
        <f>#REF!-#REF!</f>
        <v>#REF!</v>
      </c>
      <c r="AE21" s="138" t="e">
        <f>#REF!/#REF!-1</f>
        <v>#REF!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AD22" s="2" t="e">
        <f>#REF!-#REF!</f>
        <v>#REF!</v>
      </c>
      <c r="AE22" s="138" t="e">
        <f>#REF!/#REF!-1</f>
        <v>#REF!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AD23" s="2" t="e">
        <f>#REF!-#REF!</f>
        <v>#REF!</v>
      </c>
      <c r="AE23" s="138" t="e">
        <f>#REF!/#REF!-1</f>
        <v>#REF!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AD24" s="2" t="e">
        <f>#REF!-#REF!</f>
        <v>#REF!</v>
      </c>
      <c r="AE24" s="138" t="e">
        <f>#REF!/#REF!-1</f>
        <v>#REF!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AD25" s="2" t="e">
        <f>#REF!-#REF!</f>
        <v>#REF!</v>
      </c>
      <c r="AE25" s="138" t="e">
        <f>#REF!/#REF!-1</f>
        <v>#REF!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AD26" s="2" t="e">
        <f>#REF!-#REF!</f>
        <v>#REF!</v>
      </c>
      <c r="AE26" s="138" t="e">
        <f>#REF!/#REF!-1</f>
        <v>#REF!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AD27" s="2" t="e">
        <f>#REF!-#REF!</f>
        <v>#REF!</v>
      </c>
      <c r="AE27" s="138" t="e">
        <f>#REF!/#REF!-1</f>
        <v>#REF!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AD28" s="2" t="e">
        <f>#REF!-#REF!</f>
        <v>#REF!</v>
      </c>
      <c r="AE28" s="138" t="e">
        <f>#REF!/#REF!-1</f>
        <v>#REF!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AD29" s="2" t="e">
        <f>#REF!-#REF!</f>
        <v>#REF!</v>
      </c>
      <c r="AE29" s="138" t="e">
        <f>#REF!/#REF!-1</f>
        <v>#REF!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AD30" s="2" t="e">
        <f>#REF!-#REF!</f>
        <v>#REF!</v>
      </c>
      <c r="AE30" s="138" t="e">
        <f>#REF!/#REF!-1</f>
        <v>#REF!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AD31" s="2" t="e">
        <f>#REF!-#REF!</f>
        <v>#REF!</v>
      </c>
      <c r="AE31" s="138" t="e">
        <f>#REF!/#REF!-1</f>
        <v>#REF!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AD32" s="2" t="e">
        <f>#REF!-#REF!</f>
        <v>#REF!</v>
      </c>
      <c r="AE32" s="138" t="e">
        <f>#REF!/#REF!-1</f>
        <v>#REF!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AD33" s="2" t="e">
        <f>#REF!-#REF!</f>
        <v>#REF!</v>
      </c>
      <c r="AE33" s="138" t="e">
        <f>#REF!/#REF!-1</f>
        <v>#REF!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AD34" s="2" t="e">
        <f>#REF!-#REF!</f>
        <v>#REF!</v>
      </c>
      <c r="AE34" s="138" t="e">
        <f>#REF!/#REF!-1</f>
        <v>#REF!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AD35" s="2" t="e">
        <f>#REF!-#REF!</f>
        <v>#REF!</v>
      </c>
      <c r="AE35" s="138" t="e">
        <f>#REF!/#REF!-1</f>
        <v>#REF!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AD36" s="2" t="e">
        <f>#REF!-#REF!</f>
        <v>#REF!</v>
      </c>
      <c r="AE36" s="138" t="e">
        <f>#REF!/#REF!-1</f>
        <v>#REF!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AD37" s="2" t="e">
        <f>#REF!-#REF!</f>
        <v>#REF!</v>
      </c>
      <c r="AE37" s="138" t="e">
        <f>#REF!/#REF!-1</f>
        <v>#REF!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AD38" s="2" t="e">
        <f>#REF!-#REF!</f>
        <v>#REF!</v>
      </c>
      <c r="AE38" s="138" t="e">
        <f>#REF!/#REF!-1</f>
        <v>#REF!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588" t="s">
        <v>78</v>
      </c>
      <c r="Q39" s="588"/>
      <c r="R39" s="34"/>
      <c r="T39" s="91" t="s">
        <v>113</v>
      </c>
      <c r="AD39" s="2" t="e">
        <f>#REF!-#REF!</f>
        <v>#REF!</v>
      </c>
      <c r="AE39" s="138" t="e">
        <f>#REF!/#REF!-1</f>
        <v>#REF!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25.201000000000001</v>
      </c>
      <c r="R40" s="34"/>
      <c r="T40" s="87" t="s">
        <v>98</v>
      </c>
      <c r="U40" s="88">
        <v>23</v>
      </c>
      <c r="AD40" s="2" t="e">
        <f>#REF!-#REF!</f>
        <v>#REF!</v>
      </c>
      <c r="AE40" s="138" t="e">
        <f>#REF!/#REF!-1</f>
        <v>#REF!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1">P41*$Q$4</f>
        <v>24.971900000000002</v>
      </c>
      <c r="R41" s="34"/>
      <c r="T41" s="87" t="s">
        <v>99</v>
      </c>
      <c r="U41" s="88">
        <v>22.67</v>
      </c>
      <c r="AD41" s="2" t="e">
        <f>#REF!-#REF!</f>
        <v>#REF!</v>
      </c>
      <c r="AE41" s="138" t="e">
        <f>#REF!/#REF!-1</f>
        <v>#REF!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132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1"/>
        <v>24.742800000000003</v>
      </c>
      <c r="R42" s="34"/>
      <c r="T42" s="87" t="s">
        <v>100</v>
      </c>
      <c r="U42" s="88" t="s">
        <v>502</v>
      </c>
      <c r="AD42" s="2" t="e">
        <f>#REF!-#REF!</f>
        <v>#REF!</v>
      </c>
      <c r="AE42" s="138" t="e">
        <f>#REF!/#REF!-1</f>
        <v>#REF!</v>
      </c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1"/>
        <v>24.5137</v>
      </c>
      <c r="R43" s="83"/>
      <c r="T43" s="87" t="s">
        <v>101</v>
      </c>
      <c r="U43" s="88" t="s">
        <v>503</v>
      </c>
      <c r="AD43" s="2" t="e">
        <f>#REF!-#REF!</f>
        <v>#REF!</v>
      </c>
      <c r="AE43" s="138" t="e">
        <f>#REF!/#REF!-1</f>
        <v>#REF!</v>
      </c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2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1"/>
        <v>24.284600000000001</v>
      </c>
      <c r="R44" s="83"/>
      <c r="T44" s="87" t="s">
        <v>102</v>
      </c>
      <c r="U44" s="88">
        <v>32.39</v>
      </c>
      <c r="AD44" s="2" t="e">
        <f>#REF!-#REF!</f>
        <v>#REF!</v>
      </c>
      <c r="AE44" s="138" t="e">
        <f>#REF!/#REF!-1</f>
        <v>#REF!</v>
      </c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3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2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1"/>
        <v>24.055500000000002</v>
      </c>
      <c r="R45" s="83"/>
      <c r="T45" s="87" t="s">
        <v>103</v>
      </c>
      <c r="U45" s="88">
        <v>0.69392299999999996</v>
      </c>
      <c r="AD45" s="2" t="e">
        <f>#REF!-#REF!</f>
        <v>#REF!</v>
      </c>
      <c r="AE45" s="138" t="e">
        <f>#REF!/#REF!-1</f>
        <v>#REF!</v>
      </c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3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2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1"/>
        <v>23.8264</v>
      </c>
      <c r="R46" s="83"/>
      <c r="T46" s="87" t="s">
        <v>122</v>
      </c>
      <c r="U46" s="89" t="s">
        <v>385</v>
      </c>
      <c r="AD46" s="2" t="e">
        <f>#REF!-#REF!</f>
        <v>#REF!</v>
      </c>
      <c r="AE46" s="138" t="e">
        <f>#REF!/#REF!-1</f>
        <v>#REF!</v>
      </c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3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2"/>
        <v>2954.95</v>
      </c>
      <c r="L47" s="261"/>
      <c r="M47" s="262"/>
      <c r="N47" s="261"/>
      <c r="O47" s="2"/>
      <c r="P47" s="83">
        <v>1.03</v>
      </c>
      <c r="Q47" s="83">
        <f t="shared" si="1"/>
        <v>23.597300000000001</v>
      </c>
      <c r="R47" s="83"/>
      <c r="T47" s="87"/>
      <c r="U47" s="88"/>
      <c r="AD47" s="2" t="e">
        <f>#REF!-#REF!</f>
        <v>#REF!</v>
      </c>
      <c r="AE47" s="138" t="e">
        <f>#REF!/#REF!-1</f>
        <v>#REF!</v>
      </c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3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2"/>
        <v>997.98</v>
      </c>
      <c r="L48" s="261"/>
      <c r="M48" s="262"/>
      <c r="N48" s="261"/>
      <c r="O48" s="2"/>
      <c r="P48" s="83">
        <v>1.02</v>
      </c>
      <c r="Q48" s="83">
        <f t="shared" si="1"/>
        <v>23.368200000000002</v>
      </c>
      <c r="R48" s="83"/>
      <c r="T48" s="87" t="s">
        <v>105</v>
      </c>
      <c r="U48" s="88" t="s">
        <v>504</v>
      </c>
      <c r="AD48" s="2" t="e">
        <f>#REF!-#REF!</f>
        <v>#REF!</v>
      </c>
      <c r="AE48" s="138" t="e">
        <f>#REF!/#REF!-1</f>
        <v>#REF!</v>
      </c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3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2"/>
        <v>13243.760000000002</v>
      </c>
      <c r="L49" s="261"/>
      <c r="M49" s="262"/>
      <c r="N49" s="261"/>
      <c r="O49" s="2"/>
      <c r="P49" s="83">
        <v>1.01</v>
      </c>
      <c r="Q49" s="83">
        <f t="shared" si="1"/>
        <v>23.139099999999999</v>
      </c>
      <c r="R49" s="83"/>
      <c r="T49" s="87" t="s">
        <v>106</v>
      </c>
      <c r="U49" s="88" t="s">
        <v>505</v>
      </c>
      <c r="AD49" s="2" t="e">
        <f>#REF!-#REF!</f>
        <v>#REF!</v>
      </c>
      <c r="AE49" s="138" t="e">
        <f>#REF!/#REF!-1</f>
        <v>#REF!</v>
      </c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3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2"/>
        <v>31000.479999999996</v>
      </c>
      <c r="L50" s="261"/>
      <c r="M50" s="262"/>
      <c r="N50" s="261"/>
      <c r="O50" s="2"/>
      <c r="P50" s="83">
        <v>1</v>
      </c>
      <c r="Q50" s="83">
        <f t="shared" si="1"/>
        <v>22.91</v>
      </c>
      <c r="R50" s="83"/>
      <c r="T50" s="87" t="s">
        <v>107</v>
      </c>
      <c r="U50" s="90">
        <v>10755328</v>
      </c>
      <c r="AD50" s="2" t="e">
        <f>#REF!-#REF!</f>
        <v>#REF!</v>
      </c>
      <c r="AE50" s="138" t="e">
        <f>#REF!/#REF!-1</f>
        <v>#REF!</v>
      </c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3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2"/>
        <v>13187.76</v>
      </c>
      <c r="L51" s="261"/>
      <c r="M51" s="262"/>
      <c r="N51" s="261"/>
      <c r="O51" s="2"/>
      <c r="P51" s="83">
        <v>0.99</v>
      </c>
      <c r="Q51" s="83">
        <f t="shared" si="1"/>
        <v>22.680900000000001</v>
      </c>
      <c r="R51" s="83"/>
      <c r="T51" s="87" t="s">
        <v>110</v>
      </c>
      <c r="U51" s="90">
        <v>32216900</v>
      </c>
      <c r="AD51" s="2" t="e">
        <f>#REF!-#REF!</f>
        <v>#REF!</v>
      </c>
      <c r="AE51" s="138" t="e">
        <f>#REF!/#REF!-1</f>
        <v>#REF!</v>
      </c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3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2"/>
        <v>11773.78</v>
      </c>
      <c r="L52" s="262"/>
      <c r="M52" s="262"/>
      <c r="N52" s="261"/>
      <c r="O52" s="2"/>
      <c r="P52" s="83">
        <v>0.98</v>
      </c>
      <c r="Q52" s="83">
        <f t="shared" si="1"/>
        <v>22.451799999999999</v>
      </c>
      <c r="R52" s="83"/>
      <c r="T52" s="87" t="s">
        <v>108</v>
      </c>
      <c r="U52" s="88" t="s">
        <v>506</v>
      </c>
      <c r="AD52" s="2" t="e">
        <f>#REF!-#REF!</f>
        <v>#REF!</v>
      </c>
      <c r="AE52" s="138" t="e">
        <f>#REF!/#REF!-1</f>
        <v>#REF!</v>
      </c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3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2"/>
        <v>546.64</v>
      </c>
      <c r="L53" s="261"/>
      <c r="M53" s="261"/>
      <c r="N53" s="261"/>
      <c r="O53" s="2"/>
      <c r="P53" s="83">
        <v>0.97</v>
      </c>
      <c r="Q53" s="83">
        <f t="shared" si="1"/>
        <v>22.2227</v>
      </c>
      <c r="R53" s="83"/>
      <c r="T53" s="87" t="s">
        <v>111</v>
      </c>
      <c r="U53" s="88" t="s">
        <v>129</v>
      </c>
      <c r="AD53" s="2" t="e">
        <f>#REF!-#REF!</f>
        <v>#REF!</v>
      </c>
      <c r="AE53" s="138" t="e">
        <f>#REF!/#REF!-1</f>
        <v>#REF!</v>
      </c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3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2"/>
        <v>18997.150000000001</v>
      </c>
      <c r="L54" s="261"/>
      <c r="M54" s="261"/>
      <c r="N54" s="261"/>
      <c r="O54" s="2"/>
      <c r="P54" s="83">
        <v>0.96</v>
      </c>
      <c r="Q54" s="83">
        <f t="shared" si="1"/>
        <v>21.993600000000001</v>
      </c>
      <c r="R54" s="83"/>
      <c r="T54" s="87" t="s">
        <v>112</v>
      </c>
      <c r="U54" s="88">
        <v>-1.03</v>
      </c>
      <c r="AD54" s="2" t="e">
        <f>#REF!-#REF!</f>
        <v>#REF!</v>
      </c>
      <c r="AE54" s="138" t="e">
        <f>#REF!/#REF!-1</f>
        <v>#REF!</v>
      </c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3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2"/>
        <v>5249.9</v>
      </c>
      <c r="L55" s="261"/>
      <c r="M55" s="261"/>
      <c r="N55" s="261"/>
      <c r="O55" s="2"/>
      <c r="P55" s="83">
        <v>0.95</v>
      </c>
      <c r="Q55" s="83">
        <f t="shared" si="1"/>
        <v>21.764499999999998</v>
      </c>
      <c r="R55" s="83"/>
      <c r="T55" s="87" t="s">
        <v>109</v>
      </c>
      <c r="U55" s="88" t="s">
        <v>430</v>
      </c>
      <c r="AD55" s="2" t="e">
        <f>#REF!-#REF!</f>
        <v>#REF!</v>
      </c>
      <c r="AE55" s="138" t="e">
        <f>#REF!/#REF!-1</f>
        <v>#REF!</v>
      </c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3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2"/>
        <v>4549.92</v>
      </c>
      <c r="L56" s="261"/>
      <c r="M56" s="261"/>
      <c r="N56" s="261"/>
      <c r="O56" s="2"/>
      <c r="P56" s="83">
        <v>0.94</v>
      </c>
      <c r="Q56" s="83">
        <f t="shared" si="1"/>
        <v>21.535399999999999</v>
      </c>
      <c r="R56" s="83"/>
      <c r="AD56" s="2" t="e">
        <f>#REF!-#REF!</f>
        <v>#REF!</v>
      </c>
      <c r="AE56" s="138" t="e">
        <f>#REF!/#REF!-1</f>
        <v>#REF!</v>
      </c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3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2"/>
        <v>3739.93</v>
      </c>
      <c r="L57" s="261"/>
      <c r="M57" s="261"/>
      <c r="N57" s="261"/>
      <c r="O57" s="2"/>
      <c r="P57" s="83">
        <v>0.93</v>
      </c>
      <c r="Q57" s="83">
        <f t="shared" si="1"/>
        <v>21.3063</v>
      </c>
      <c r="R57" s="83"/>
      <c r="AD57" s="2" t="e">
        <f>#REF!-#REF!</f>
        <v>#REF!</v>
      </c>
      <c r="AE57" s="138" t="e">
        <f>#REF!/#REF!-1</f>
        <v>#REF!</v>
      </c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3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2"/>
        <v>4759.91</v>
      </c>
      <c r="L58" s="261"/>
      <c r="M58" s="261"/>
      <c r="N58" s="261"/>
      <c r="O58" s="2"/>
      <c r="P58" s="83">
        <v>0.92</v>
      </c>
      <c r="Q58" s="83">
        <f t="shared" si="1"/>
        <v>21.077200000000001</v>
      </c>
      <c r="R58" s="83"/>
      <c r="AD58" s="2" t="e">
        <f>#REF!-#REF!</f>
        <v>#REF!</v>
      </c>
      <c r="AE58" s="138" t="e">
        <f>#REF!/#REF!-1</f>
        <v>#REF!</v>
      </c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3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2"/>
        <v>13964.74</v>
      </c>
      <c r="L59" s="261"/>
      <c r="M59" s="261"/>
      <c r="N59" s="261"/>
      <c r="O59" s="2"/>
      <c r="P59" s="83">
        <v>0.91</v>
      </c>
      <c r="Q59" s="83">
        <f t="shared" si="1"/>
        <v>20.848100000000002</v>
      </c>
      <c r="R59" s="83"/>
      <c r="AD59" s="2" t="e">
        <f>#REF!-#REF!</f>
        <v>#REF!</v>
      </c>
      <c r="AE59" s="138" t="e">
        <f>#REF!/#REF!-1</f>
        <v>#REF!</v>
      </c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3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2"/>
        <v>1857.9699999999998</v>
      </c>
      <c r="L60" s="261"/>
      <c r="M60" s="261"/>
      <c r="N60" s="261"/>
      <c r="O60" s="2"/>
      <c r="P60" s="83">
        <v>0.9</v>
      </c>
      <c r="Q60" s="83">
        <f t="shared" si="1"/>
        <v>20.619</v>
      </c>
      <c r="R60" s="83"/>
      <c r="AD60" s="2" t="e">
        <f>#REF!-#REF!</f>
        <v>#REF!</v>
      </c>
      <c r="AE60" s="138" t="e">
        <f>#REF!/#REF!-1</f>
        <v>#REF!</v>
      </c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3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2"/>
        <v>4464.92</v>
      </c>
      <c r="L61" s="261"/>
      <c r="M61" s="261"/>
      <c r="N61" s="261"/>
      <c r="AD61" s="2" t="e">
        <f>#REF!-#REF!</f>
        <v>#REF!</v>
      </c>
      <c r="AE61" s="138" t="e">
        <f>#REF!/#REF!-1</f>
        <v>#REF!</v>
      </c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3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2"/>
        <v>18899.650000000001</v>
      </c>
      <c r="L62" s="261"/>
      <c r="M62" s="261"/>
      <c r="N62" s="261"/>
      <c r="AD62" s="2" t="e">
        <f>#REF!-#REF!</f>
        <v>#REF!</v>
      </c>
      <c r="AE62" s="138" t="e">
        <f>#REF!/#REF!-1</f>
        <v>#REF!</v>
      </c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3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2"/>
        <v>9889.82</v>
      </c>
      <c r="L63" s="261"/>
      <c r="M63" s="261"/>
      <c r="N63" s="261"/>
      <c r="AD63" s="2" t="e">
        <f>#REF!-#REF!</f>
        <v>#REF!</v>
      </c>
      <c r="AE63" s="138" t="e">
        <f>#REF!/#REF!-1</f>
        <v>#REF!</v>
      </c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3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2"/>
        <v>720.99</v>
      </c>
      <c r="L64" s="261"/>
      <c r="M64" s="261"/>
      <c r="N64" s="261"/>
      <c r="AD64" s="2" t="e">
        <f>#REF!-#REF!</f>
        <v>#REF!</v>
      </c>
      <c r="AE64" s="138" t="e">
        <f>#REF!/#REF!-1</f>
        <v>#REF!</v>
      </c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3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2"/>
        <v>741.99</v>
      </c>
      <c r="L65" s="262"/>
      <c r="M65" s="261"/>
      <c r="N65" s="261"/>
      <c r="AD65" s="2" t="e">
        <f>#REF!-#REF!</f>
        <v>#REF!</v>
      </c>
      <c r="AE65" s="138" t="e">
        <f>#REF!/#REF!-1</f>
        <v>#REF!</v>
      </c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3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2"/>
        <v>801.99</v>
      </c>
      <c r="L66" s="261"/>
      <c r="M66" s="261"/>
      <c r="N66" s="261"/>
      <c r="AD66" s="2" t="e">
        <f>#REF!-#REF!</f>
        <v>#REF!</v>
      </c>
      <c r="AE66" s="138" t="e">
        <f>#REF!/#REF!-1</f>
        <v>#REF!</v>
      </c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3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2"/>
        <v>2393.9499999999998</v>
      </c>
      <c r="L67" s="261"/>
      <c r="M67" s="261"/>
      <c r="N67" s="261"/>
      <c r="AD67" s="2" t="e">
        <f>#REF!-#REF!</f>
        <v>#REF!</v>
      </c>
      <c r="AE67" s="138" t="e">
        <f>#REF!/#REF!-1</f>
        <v>#REF!</v>
      </c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3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AD68" s="2" t="e">
        <f>#REF!-#REF!</f>
        <v>#REF!</v>
      </c>
      <c r="AE68" s="138" t="e">
        <f>#REF!/AC4-1</f>
        <v>#REF!</v>
      </c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3"/>
        <v>30672.999999999996</v>
      </c>
      <c r="G69" s="266"/>
      <c r="H69" s="267"/>
      <c r="I69" s="262"/>
      <c r="J69" s="262"/>
      <c r="K69" s="262"/>
      <c r="L69" s="261"/>
      <c r="M69" s="261"/>
      <c r="N69" s="261"/>
      <c r="AD69" s="2">
        <f>Y4-Z4</f>
        <v>0</v>
      </c>
      <c r="AE69" s="138" t="e">
        <f>AC4/AC5-1</f>
        <v>#DIV/0!</v>
      </c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3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3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3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3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3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3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3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3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3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3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4"/>
      <c r="B81" s="384"/>
      <c r="C81" s="384"/>
      <c r="D81" s="385"/>
      <c r="E81" s="385"/>
      <c r="F81" s="385"/>
      <c r="G81" s="384"/>
      <c r="H81" s="384"/>
      <c r="I81" s="385"/>
      <c r="J81" s="385"/>
      <c r="K81" s="385"/>
      <c r="L81" s="384"/>
      <c r="M81" s="384"/>
      <c r="N81" s="384"/>
    </row>
    <row r="82" spans="1:14" x14ac:dyDescent="0.25">
      <c r="A82" s="384"/>
      <c r="B82" s="383">
        <v>42545</v>
      </c>
      <c r="C82" s="384">
        <v>250</v>
      </c>
      <c r="D82" s="385">
        <v>9.36</v>
      </c>
      <c r="E82" s="385">
        <v>0</v>
      </c>
      <c r="F82" s="385">
        <f>D82*C82+E82</f>
        <v>2340</v>
      </c>
      <c r="G82" s="384">
        <v>42577</v>
      </c>
      <c r="H82" s="388">
        <v>150</v>
      </c>
      <c r="I82" s="385">
        <v>10.58</v>
      </c>
      <c r="J82" s="385">
        <v>0.03</v>
      </c>
      <c r="K82" s="385">
        <f t="shared" ref="K82:K83" si="4">H82*I82-J82</f>
        <v>1586.97</v>
      </c>
      <c r="L82" s="384"/>
      <c r="M82" s="384"/>
      <c r="N82" s="384"/>
    </row>
    <row r="83" spans="1:14" x14ac:dyDescent="0.25">
      <c r="A83" s="384"/>
      <c r="B83" s="383"/>
      <c r="C83" s="384"/>
      <c r="D83" s="385"/>
      <c r="E83" s="385"/>
      <c r="F83" s="385"/>
      <c r="G83" s="384">
        <v>42577</v>
      </c>
      <c r="H83" s="388">
        <v>100</v>
      </c>
      <c r="I83" s="385">
        <v>10.65</v>
      </c>
      <c r="J83" s="385">
        <v>0.02</v>
      </c>
      <c r="K83" s="385">
        <f t="shared" si="4"/>
        <v>1064.98</v>
      </c>
      <c r="L83" s="384"/>
      <c r="M83" s="384"/>
      <c r="N83" s="384"/>
    </row>
    <row r="84" spans="1:14" x14ac:dyDescent="0.25">
      <c r="A84" s="384"/>
      <c r="B84" s="384"/>
      <c r="C84" s="384"/>
      <c r="D84" s="385"/>
      <c r="E84" s="385"/>
      <c r="F84" s="385"/>
      <c r="G84" s="384"/>
      <c r="H84" s="384"/>
      <c r="I84" s="385"/>
      <c r="J84" s="385"/>
      <c r="K84" s="385"/>
      <c r="L84" s="384"/>
      <c r="M84" s="384"/>
      <c r="N84" s="384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149</v>
      </c>
      <c r="D88" s="270" t="s">
        <v>148</v>
      </c>
      <c r="E88" s="271" t="s">
        <v>150</v>
      </c>
      <c r="F88" s="271" t="s">
        <v>65</v>
      </c>
      <c r="G88" s="273" t="s">
        <v>154</v>
      </c>
      <c r="H88" s="273" t="s">
        <v>88</v>
      </c>
      <c r="I88" s="273" t="s">
        <v>158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5">C90*(E90-D90)</f>
        <v>-2848.9999999999986</v>
      </c>
      <c r="G90" s="262">
        <f t="shared" ref="G90:G107" si="6">D90*C90</f>
        <v>36112</v>
      </c>
      <c r="H90" s="276">
        <f t="shared" ref="H90:H96" si="7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5"/>
        <v>-1294.9999999999986</v>
      </c>
      <c r="G91" s="262">
        <f t="shared" si="6"/>
        <v>36001</v>
      </c>
      <c r="H91" s="276">
        <f t="shared" si="7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5"/>
        <v>-8805.9999999999964</v>
      </c>
      <c r="G92" s="262">
        <f t="shared" si="6"/>
        <v>66674</v>
      </c>
      <c r="H92" s="276">
        <f t="shared" si="7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5"/>
        <v>-8959.9999999999945</v>
      </c>
      <c r="G93" s="262">
        <f t="shared" si="6"/>
        <v>71520</v>
      </c>
      <c r="H93" s="276">
        <f t="shared" si="7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5"/>
        <v>-4278.7799999999934</v>
      </c>
      <c r="G94" s="262">
        <f t="shared" si="6"/>
        <v>59784.779999999992</v>
      </c>
      <c r="H94" s="276">
        <f t="shared" si="7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5"/>
        <v>-4279.1179999999986</v>
      </c>
      <c r="G95" s="262">
        <f t="shared" si="6"/>
        <v>59238.468000000001</v>
      </c>
      <c r="H95" s="276">
        <f t="shared" si="7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5"/>
        <v>-2573.1199999999994</v>
      </c>
      <c r="G96" s="262">
        <f t="shared" si="6"/>
        <v>40241.119999999995</v>
      </c>
      <c r="H96" s="276">
        <f t="shared" si="7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5"/>
        <v>-2579.2700000000027</v>
      </c>
      <c r="G97" s="262">
        <f t="shared" si="6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5"/>
        <v>-1405.9999999999964</v>
      </c>
      <c r="G98" s="262">
        <f t="shared" si="6"/>
        <v>34965</v>
      </c>
      <c r="H98" s="276">
        <f t="shared" ref="H98:H107" si="8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5"/>
        <v>-67.320000000001386</v>
      </c>
      <c r="G99" s="262">
        <f t="shared" si="6"/>
        <v>31120.320000000003</v>
      </c>
      <c r="H99" s="276">
        <f t="shared" si="8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5"/>
        <v>183.40000000000032</v>
      </c>
      <c r="G100" s="262">
        <f t="shared" si="6"/>
        <v>26360.600000000002</v>
      </c>
      <c r="H100" s="276">
        <f t="shared" si="8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5"/>
        <v>-180.00000000000148</v>
      </c>
      <c r="G101" s="262">
        <f t="shared" si="6"/>
        <v>28230</v>
      </c>
      <c r="H101" s="276">
        <f t="shared" si="8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5"/>
        <v>-254.99999999999989</v>
      </c>
      <c r="G102" s="262">
        <f t="shared" si="6"/>
        <v>14265</v>
      </c>
      <c r="H102" s="276">
        <f t="shared" si="8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5"/>
        <v>-159.90000000000038</v>
      </c>
      <c r="G103" s="262">
        <f t="shared" si="6"/>
        <v>28179.9</v>
      </c>
      <c r="H103" s="276">
        <f t="shared" si="8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5"/>
        <v>-1050.9000000000012</v>
      </c>
      <c r="G104" s="262">
        <f t="shared" si="6"/>
        <v>29074.899999999998</v>
      </c>
      <c r="H104" s="276">
        <f t="shared" si="8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5"/>
        <v>-630.0000000000025</v>
      </c>
      <c r="G105" s="262">
        <f t="shared" si="6"/>
        <v>28140.000000000004</v>
      </c>
      <c r="H105" s="276">
        <f t="shared" si="8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5"/>
        <v>-1518.0000000000007</v>
      </c>
      <c r="G106" s="262">
        <f t="shared" si="6"/>
        <v>28098</v>
      </c>
      <c r="H106" s="276">
        <f t="shared" si="8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5"/>
        <v>360.00000000000119</v>
      </c>
      <c r="G107" s="262">
        <f t="shared" si="6"/>
        <v>9200</v>
      </c>
      <c r="H107" s="276">
        <f t="shared" si="8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9">C109*(E109-D109)</f>
        <v>704.00000000000023</v>
      </c>
      <c r="G109" s="262">
        <f t="shared" ref="G109:G114" si="10">D109*C109</f>
        <v>2524</v>
      </c>
      <c r="H109" s="276">
        <f t="shared" ref="H109:H114" si="11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9"/>
        <v>200.00000000000017</v>
      </c>
      <c r="G110" s="262">
        <f t="shared" si="10"/>
        <v>3170</v>
      </c>
      <c r="H110" s="276">
        <f t="shared" si="11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9"/>
        <v>407.99999999999983</v>
      </c>
      <c r="G111" s="262">
        <f t="shared" si="10"/>
        <v>2448</v>
      </c>
      <c r="H111" s="276">
        <f t="shared" si="11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9"/>
        <v>340.5499999999999</v>
      </c>
      <c r="G112" s="262">
        <f t="shared" si="10"/>
        <v>3144.45</v>
      </c>
      <c r="H112" s="276">
        <f t="shared" si="11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9"/>
        <v>616</v>
      </c>
      <c r="G113" s="262">
        <f t="shared" si="10"/>
        <v>2404</v>
      </c>
      <c r="H113" s="276">
        <f t="shared" si="11"/>
        <v>0.2562396006655574</v>
      </c>
      <c r="I113" s="262"/>
      <c r="J113" s="262"/>
      <c r="K113" s="262"/>
      <c r="L113" s="261"/>
      <c r="M113" s="261"/>
      <c r="N113" s="384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9"/>
        <v>892.53000000000009</v>
      </c>
      <c r="G114" s="262">
        <f t="shared" si="10"/>
        <v>1600.47</v>
      </c>
      <c r="H114" s="276">
        <f t="shared" si="11"/>
        <v>0.55766743519091266</v>
      </c>
      <c r="I114" s="262"/>
      <c r="J114" s="262"/>
      <c r="K114" s="262"/>
      <c r="L114" s="261"/>
      <c r="M114" s="261"/>
      <c r="N114" s="384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4"/>
    </row>
    <row r="116" spans="1:14" x14ac:dyDescent="0.25">
      <c r="A116" s="384"/>
      <c r="B116" s="383"/>
      <c r="C116" s="384"/>
      <c r="D116" s="385"/>
      <c r="E116" s="385"/>
      <c r="F116" s="385"/>
      <c r="G116" s="385"/>
      <c r="H116" s="386"/>
      <c r="I116" s="385"/>
      <c r="J116" s="385"/>
      <c r="K116" s="385"/>
      <c r="L116" s="384"/>
      <c r="M116" s="384"/>
      <c r="N116" s="384"/>
    </row>
    <row r="117" spans="1:14" x14ac:dyDescent="0.25">
      <c r="A117" s="384"/>
      <c r="B117" s="383">
        <v>42545</v>
      </c>
      <c r="C117" s="384">
        <v>250</v>
      </c>
      <c r="D117" s="385">
        <v>9.36</v>
      </c>
      <c r="E117" s="385">
        <v>9.3800000000000008</v>
      </c>
      <c r="F117" s="385">
        <f t="shared" ref="F117:F127" si="12">C117*(E117-D117)</f>
        <v>5.0000000000003375</v>
      </c>
      <c r="G117" s="385">
        <f t="shared" ref="G117:G127" si="13">D117*C117</f>
        <v>2340</v>
      </c>
      <c r="H117" s="386">
        <f t="shared" ref="H117:H127" si="14">(E117-D117)/D117</f>
        <v>2.1367521367522809E-3</v>
      </c>
      <c r="I117" s="385"/>
      <c r="J117" s="385"/>
      <c r="K117" s="385"/>
      <c r="L117" s="384"/>
      <c r="M117" s="384"/>
      <c r="N117" s="384"/>
    </row>
    <row r="118" spans="1:14" x14ac:dyDescent="0.25">
      <c r="A118" s="384"/>
      <c r="B118" s="383">
        <v>42548</v>
      </c>
      <c r="C118" s="384">
        <v>250</v>
      </c>
      <c r="D118" s="385">
        <v>9.36</v>
      </c>
      <c r="E118" s="385">
        <v>9.1</v>
      </c>
      <c r="F118" s="385">
        <f t="shared" si="12"/>
        <v>-64.999999999999943</v>
      </c>
      <c r="G118" s="385">
        <f t="shared" si="13"/>
        <v>2340</v>
      </c>
      <c r="H118" s="386">
        <f t="shared" si="14"/>
        <v>-2.7777777777777755E-2</v>
      </c>
      <c r="I118" s="385"/>
      <c r="J118" s="385"/>
      <c r="K118" s="385"/>
      <c r="L118" s="384"/>
      <c r="M118" s="384"/>
      <c r="N118" s="384"/>
    </row>
    <row r="119" spans="1:14" x14ac:dyDescent="0.25">
      <c r="A119" s="384"/>
      <c r="B119" s="383">
        <v>42549</v>
      </c>
      <c r="C119" s="384">
        <v>250</v>
      </c>
      <c r="D119" s="385">
        <v>9.36</v>
      </c>
      <c r="E119" s="385">
        <v>9.33</v>
      </c>
      <c r="F119" s="385">
        <f t="shared" si="12"/>
        <v>-7.4999999999998401</v>
      </c>
      <c r="G119" s="385">
        <f t="shared" si="13"/>
        <v>2340</v>
      </c>
      <c r="H119" s="386">
        <f t="shared" si="14"/>
        <v>-3.2051282051281369E-3</v>
      </c>
      <c r="I119" s="385"/>
      <c r="J119" s="385"/>
      <c r="K119" s="385"/>
      <c r="L119" s="384"/>
      <c r="M119" s="384"/>
      <c r="N119" s="384"/>
    </row>
    <row r="120" spans="1:14" x14ac:dyDescent="0.25">
      <c r="A120" s="384"/>
      <c r="B120" s="383">
        <v>42550</v>
      </c>
      <c r="C120" s="384">
        <v>250</v>
      </c>
      <c r="D120" s="385">
        <v>9.36</v>
      </c>
      <c r="E120" s="385">
        <v>9.1</v>
      </c>
      <c r="F120" s="385">
        <f t="shared" si="12"/>
        <v>-64.999999999999943</v>
      </c>
      <c r="G120" s="385">
        <f t="shared" si="13"/>
        <v>2340</v>
      </c>
      <c r="H120" s="386">
        <f t="shared" si="14"/>
        <v>-2.7777777777777755E-2</v>
      </c>
      <c r="I120" s="385"/>
      <c r="J120" s="385"/>
      <c r="K120" s="385"/>
      <c r="L120" s="384"/>
      <c r="M120" s="384"/>
      <c r="N120" s="384"/>
    </row>
    <row r="121" spans="1:14" x14ac:dyDescent="0.25">
      <c r="A121" s="384"/>
      <c r="B121" s="383">
        <v>42552</v>
      </c>
      <c r="C121" s="384">
        <v>250</v>
      </c>
      <c r="D121" s="385">
        <v>9.36</v>
      </c>
      <c r="E121" s="385">
        <v>9.5500000000000007</v>
      </c>
      <c r="F121" s="385">
        <f t="shared" si="12"/>
        <v>47.50000000000032</v>
      </c>
      <c r="G121" s="385">
        <f t="shared" si="13"/>
        <v>2340</v>
      </c>
      <c r="H121" s="386">
        <f t="shared" si="14"/>
        <v>2.0299145299145439E-2</v>
      </c>
      <c r="I121" s="385"/>
      <c r="J121" s="385"/>
      <c r="K121" s="385"/>
      <c r="L121" s="384"/>
      <c r="M121" s="384"/>
      <c r="N121" s="384"/>
    </row>
    <row r="122" spans="1:14" x14ac:dyDescent="0.25">
      <c r="A122" s="384"/>
      <c r="B122" s="383">
        <v>42556</v>
      </c>
      <c r="C122" s="384">
        <v>250</v>
      </c>
      <c r="D122" s="385">
        <v>9.36</v>
      </c>
      <c r="E122" s="385">
        <v>9.26</v>
      </c>
      <c r="F122" s="385">
        <f t="shared" si="12"/>
        <v>-24.999999999999911</v>
      </c>
      <c r="G122" s="385">
        <f t="shared" si="13"/>
        <v>2340</v>
      </c>
      <c r="H122" s="386">
        <f t="shared" si="14"/>
        <v>-1.0683760683760646E-2</v>
      </c>
      <c r="I122" s="385"/>
      <c r="J122" s="385"/>
      <c r="K122" s="385"/>
      <c r="L122" s="384"/>
      <c r="M122" s="384"/>
      <c r="N122" s="384"/>
    </row>
    <row r="123" spans="1:14" x14ac:dyDescent="0.25">
      <c r="A123" s="384"/>
      <c r="B123" s="383">
        <v>42557</v>
      </c>
      <c r="C123" s="384">
        <v>250</v>
      </c>
      <c r="D123" s="385">
        <v>9.36</v>
      </c>
      <c r="E123" s="385">
        <v>9.19</v>
      </c>
      <c r="F123" s="385">
        <f t="shared" si="12"/>
        <v>-42.499999999999986</v>
      </c>
      <c r="G123" s="385">
        <f t="shared" si="13"/>
        <v>2340</v>
      </c>
      <c r="H123" s="386">
        <f t="shared" si="14"/>
        <v>-1.8162393162393157E-2</v>
      </c>
      <c r="I123" s="385"/>
      <c r="J123" s="385"/>
      <c r="K123" s="385"/>
      <c r="L123" s="384"/>
      <c r="M123" s="384"/>
      <c r="N123" s="384"/>
    </row>
    <row r="124" spans="1:14" x14ac:dyDescent="0.25">
      <c r="A124" s="384"/>
      <c r="B124" s="383">
        <v>42559</v>
      </c>
      <c r="C124" s="384">
        <v>250</v>
      </c>
      <c r="D124" s="385">
        <v>9.36</v>
      </c>
      <c r="E124" s="385">
        <v>9.82</v>
      </c>
      <c r="F124" s="385">
        <f t="shared" si="12"/>
        <v>115.00000000000021</v>
      </c>
      <c r="G124" s="385">
        <f t="shared" si="13"/>
        <v>2340</v>
      </c>
      <c r="H124" s="386">
        <f t="shared" si="14"/>
        <v>4.9145299145299241E-2</v>
      </c>
      <c r="I124" s="385"/>
      <c r="J124" s="385"/>
      <c r="K124" s="385"/>
      <c r="L124" s="384"/>
      <c r="M124" s="384"/>
      <c r="N124" s="384"/>
    </row>
    <row r="125" spans="1:14" x14ac:dyDescent="0.25">
      <c r="A125" s="384"/>
      <c r="B125" s="383">
        <v>42562</v>
      </c>
      <c r="C125" s="384">
        <v>250</v>
      </c>
      <c r="D125" s="385">
        <v>9.36</v>
      </c>
      <c r="E125" s="385">
        <v>10.14</v>
      </c>
      <c r="F125" s="385">
        <f t="shared" si="12"/>
        <v>195.00000000000028</v>
      </c>
      <c r="G125" s="385">
        <f t="shared" si="13"/>
        <v>2340</v>
      </c>
      <c r="H125" s="386">
        <f t="shared" si="14"/>
        <v>8.3333333333333454E-2</v>
      </c>
      <c r="I125" s="385" t="s">
        <v>259</v>
      </c>
      <c r="J125" s="385"/>
      <c r="K125" s="385"/>
      <c r="L125" s="384"/>
      <c r="M125" s="384"/>
      <c r="N125" s="384"/>
    </row>
    <row r="126" spans="1:14" x14ac:dyDescent="0.25">
      <c r="A126" s="384"/>
      <c r="B126" s="383">
        <v>42566</v>
      </c>
      <c r="C126" s="384">
        <v>250</v>
      </c>
      <c r="D126" s="385">
        <v>9.36</v>
      </c>
      <c r="E126" s="385">
        <v>10.92</v>
      </c>
      <c r="F126" s="385">
        <f t="shared" si="12"/>
        <v>390.00000000000011</v>
      </c>
      <c r="G126" s="385">
        <f t="shared" si="13"/>
        <v>2340</v>
      </c>
      <c r="H126" s="386">
        <f t="shared" si="14"/>
        <v>0.16666666666666674</v>
      </c>
      <c r="I126" s="488">
        <v>8.8000000000000007</v>
      </c>
      <c r="J126" s="385"/>
      <c r="K126" s="385"/>
      <c r="L126" s="384"/>
      <c r="M126" s="384"/>
      <c r="N126" s="384"/>
    </row>
    <row r="127" spans="1:14" x14ac:dyDescent="0.25">
      <c r="A127" s="384"/>
      <c r="B127" s="383">
        <v>42570</v>
      </c>
      <c r="C127" s="384">
        <v>250</v>
      </c>
      <c r="D127" s="385">
        <v>9.36</v>
      </c>
      <c r="E127" s="385">
        <v>10.63</v>
      </c>
      <c r="F127" s="385">
        <f t="shared" si="12"/>
        <v>317.50000000000034</v>
      </c>
      <c r="G127" s="385">
        <f t="shared" si="13"/>
        <v>2340</v>
      </c>
      <c r="H127" s="386">
        <f t="shared" si="14"/>
        <v>0.13568376068376084</v>
      </c>
      <c r="I127" s="385"/>
      <c r="J127" s="385"/>
      <c r="K127" s="385"/>
      <c r="L127" s="384"/>
      <c r="M127" s="384"/>
      <c r="N127" s="384"/>
    </row>
    <row r="128" spans="1:14" x14ac:dyDescent="0.25">
      <c r="A128" s="384"/>
      <c r="B128" s="383">
        <v>42577</v>
      </c>
      <c r="C128" s="384">
        <v>0</v>
      </c>
      <c r="D128" s="385"/>
      <c r="E128" s="385"/>
      <c r="F128" s="385">
        <v>311.95</v>
      </c>
      <c r="G128" s="385"/>
      <c r="H128" s="386"/>
      <c r="I128" s="385"/>
      <c r="J128" s="385"/>
      <c r="K128" s="385"/>
      <c r="L128" s="384"/>
      <c r="M128" s="384"/>
    </row>
    <row r="129" spans="1:13" x14ac:dyDescent="0.25">
      <c r="A129" s="384"/>
      <c r="B129" s="383"/>
      <c r="C129" s="384"/>
      <c r="D129" s="385"/>
      <c r="E129" s="385"/>
      <c r="F129" s="385"/>
      <c r="G129" s="385"/>
      <c r="H129" s="386"/>
      <c r="I129" s="385"/>
      <c r="J129" s="385"/>
      <c r="K129" s="385"/>
      <c r="L129" s="384"/>
      <c r="M129" s="384"/>
    </row>
    <row r="130" spans="1:13" x14ac:dyDescent="0.25">
      <c r="A130" s="384"/>
      <c r="B130" s="383"/>
      <c r="C130" s="384"/>
      <c r="D130" s="385"/>
      <c r="E130" s="385"/>
      <c r="F130" s="385"/>
      <c r="G130" s="385"/>
      <c r="H130" s="386"/>
      <c r="I130" s="385"/>
      <c r="J130" s="385"/>
      <c r="K130" s="385"/>
      <c r="L130" s="384"/>
      <c r="M130" s="384"/>
    </row>
  </sheetData>
  <mergeCells count="1">
    <mergeCell ref="P39:Q39"/>
  </mergeCells>
  <conditionalFormatting sqref="F22:F39 H22:H39">
    <cfRule type="expression" dxfId="325" priority="66">
      <formula>F22&gt;0</formula>
    </cfRule>
    <cfRule type="expression" dxfId="324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23" priority="53">
      <formula>F41&gt;0</formula>
    </cfRule>
    <cfRule type="expression" dxfId="322" priority="54">
      <formula>F41&lt;0</formula>
    </cfRule>
  </conditionalFormatting>
  <conditionalFormatting sqref="F41">
    <cfRule type="expression" dxfId="321" priority="57">
      <formula>F41&gt;0</formula>
    </cfRule>
    <cfRule type="expression" dxfId="320" priority="58">
      <formula>F41&lt;0</formula>
    </cfRule>
  </conditionalFormatting>
  <conditionalFormatting sqref="H41">
    <cfRule type="expression" dxfId="319" priority="35">
      <formula>H41&gt;0</formula>
    </cfRule>
    <cfRule type="expression" dxfId="318" priority="36">
      <formula>H41&lt;0</formula>
    </cfRule>
  </conditionalFormatting>
  <conditionalFormatting sqref="F89:F95">
    <cfRule type="expression" dxfId="317" priority="29">
      <formula>F89&gt;0</formula>
    </cfRule>
    <cfRule type="expression" dxfId="316" priority="30">
      <formula>F89&lt;0</formula>
    </cfRule>
  </conditionalFormatting>
  <conditionalFormatting sqref="F96:F110">
    <cfRule type="expression" dxfId="315" priority="25">
      <formula>F96&gt;0</formula>
    </cfRule>
    <cfRule type="expression" dxfId="314" priority="26">
      <formula>F96&lt;0</formula>
    </cfRule>
  </conditionalFormatting>
  <conditionalFormatting sqref="F96:F110">
    <cfRule type="expression" dxfId="313" priority="27">
      <formula>F96&gt;0</formula>
    </cfRule>
    <cfRule type="expression" dxfId="312" priority="28">
      <formula>F96&lt;0</formula>
    </cfRule>
  </conditionalFormatting>
  <conditionalFormatting sqref="H89:H100">
    <cfRule type="expression" dxfId="311" priority="23">
      <formula>H89&gt;0</formula>
    </cfRule>
    <cfRule type="expression" dxfId="310" priority="24">
      <formula>H89&lt;0</formula>
    </cfRule>
  </conditionalFormatting>
  <conditionalFormatting sqref="H101">
    <cfRule type="expression" dxfId="309" priority="21">
      <formula>H101&gt;0</formula>
    </cfRule>
    <cfRule type="expression" dxfId="308" priority="22">
      <formula>H101&lt;0</formula>
    </cfRule>
  </conditionalFormatting>
  <conditionalFormatting sqref="F111:F116">
    <cfRule type="expression" dxfId="307" priority="19">
      <formula>F111&gt;0</formula>
    </cfRule>
    <cfRule type="expression" dxfId="306" priority="20">
      <formula>F111&lt;0</formula>
    </cfRule>
  </conditionalFormatting>
  <conditionalFormatting sqref="H103:H116">
    <cfRule type="expression" dxfId="305" priority="17">
      <formula>H103&gt;0</formula>
    </cfRule>
    <cfRule type="expression" dxfId="304" priority="18">
      <formula>H103&lt;0</formula>
    </cfRule>
  </conditionalFormatting>
  <conditionalFormatting sqref="H102">
    <cfRule type="expression" dxfId="303" priority="15">
      <formula>H102&gt;0</formula>
    </cfRule>
    <cfRule type="expression" dxfId="302" priority="16">
      <formula>H102&lt;0</formula>
    </cfRule>
  </conditionalFormatting>
  <conditionalFormatting sqref="M42">
    <cfRule type="expression" dxfId="301" priority="13">
      <formula>M42&gt;0</formula>
    </cfRule>
    <cfRule type="expression" dxfId="300" priority="14">
      <formula>M42&lt;0</formula>
    </cfRule>
  </conditionalFormatting>
  <conditionalFormatting sqref="Q7">
    <cfRule type="expression" dxfId="299" priority="9">
      <formula>Q7&gt;0</formula>
    </cfRule>
    <cfRule type="expression" dxfId="298" priority="10">
      <formula>Q7&lt;0</formula>
    </cfRule>
  </conditionalFormatting>
  <conditionalFormatting sqref="Q8">
    <cfRule type="expression" dxfId="297" priority="7">
      <formula>Q8&gt;0</formula>
    </cfRule>
    <cfRule type="expression" dxfId="296" priority="8">
      <formula>Q8&lt;0</formula>
    </cfRule>
  </conditionalFormatting>
  <conditionalFormatting sqref="F117:F130 H117:H130">
    <cfRule type="expression" dxfId="295" priority="1">
      <formula>F117&gt;0</formula>
    </cfRule>
    <cfRule type="expression" dxfId="294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42676</v>
      </c>
      <c r="X2" s="10">
        <v>14.75</v>
      </c>
      <c r="Y2" s="10">
        <v>16.100000000000001</v>
      </c>
      <c r="Z2" s="10">
        <v>14.32</v>
      </c>
      <c r="AA2" s="10">
        <v>14.67</v>
      </c>
      <c r="AB2" s="95">
        <v>11904300</v>
      </c>
      <c r="AC2" s="10">
        <v>14.67</v>
      </c>
      <c r="AD2" s="2">
        <f>Y2-Z2</f>
        <v>1.7800000000000011</v>
      </c>
      <c r="AE2" s="138">
        <f>AC2/AC3-1</f>
        <v>-0.10165339865278622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14.67</v>
      </c>
      <c r="W3" s="133">
        <v>42675</v>
      </c>
      <c r="X3" s="10">
        <v>16.920000000000002</v>
      </c>
      <c r="Y3" s="10">
        <v>17.28</v>
      </c>
      <c r="Z3" s="10">
        <v>16.07</v>
      </c>
      <c r="AA3" s="10">
        <v>16.329999999999998</v>
      </c>
      <c r="AB3" s="95">
        <v>4818000</v>
      </c>
      <c r="AC3" s="10">
        <v>16.329999999999998</v>
      </c>
      <c r="AD3" s="2">
        <f t="shared" ref="AD3:AD66" si="0">Y3-Z3</f>
        <v>1.2100000000000009</v>
      </c>
      <c r="AE3" s="138">
        <f t="shared" ref="AE3:AE66" si="1">AC3/AC4-1</f>
        <v>-2.5074626865671745E-2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14.67</v>
      </c>
      <c r="R4" s="527">
        <v>-0.1017</v>
      </c>
      <c r="W4" s="133">
        <v>42674</v>
      </c>
      <c r="X4" s="10">
        <v>16.27</v>
      </c>
      <c r="Y4" s="10">
        <v>16.87</v>
      </c>
      <c r="Z4" s="10">
        <v>16.059999999999999</v>
      </c>
      <c r="AA4" s="10">
        <v>16.75</v>
      </c>
      <c r="AB4" s="95">
        <v>4636000</v>
      </c>
      <c r="AC4" s="10">
        <v>16.75</v>
      </c>
      <c r="AD4" s="2">
        <f t="shared" si="0"/>
        <v>0.81000000000000227</v>
      </c>
      <c r="AE4" s="138">
        <f t="shared" si="1"/>
        <v>2.6977314530962637E-2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42671</v>
      </c>
      <c r="X5" s="10">
        <v>16.25</v>
      </c>
      <c r="Y5" s="10">
        <v>16.54</v>
      </c>
      <c r="Z5" s="10">
        <v>16.21</v>
      </c>
      <c r="AA5" s="10">
        <v>16.309999999999999</v>
      </c>
      <c r="AB5" s="95">
        <v>2861300</v>
      </c>
      <c r="AC5" s="10">
        <v>16.309999999999999</v>
      </c>
      <c r="AD5" s="2">
        <f t="shared" si="0"/>
        <v>0.32999999999999829</v>
      </c>
      <c r="AE5" s="138">
        <f t="shared" si="1"/>
        <v>-3.6652412950520796E-3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42670</v>
      </c>
      <c r="X6" s="10">
        <v>16.73</v>
      </c>
      <c r="Y6" s="10">
        <v>16.78</v>
      </c>
      <c r="Z6" s="10">
        <v>16.23</v>
      </c>
      <c r="AA6" s="10">
        <v>16.37</v>
      </c>
      <c r="AB6" s="95">
        <v>2904900</v>
      </c>
      <c r="AC6" s="10">
        <v>16.37</v>
      </c>
      <c r="AD6" s="2">
        <f t="shared" si="0"/>
        <v>0.55000000000000071</v>
      </c>
      <c r="AE6" s="138">
        <f t="shared" si="1"/>
        <v>-2.0933014354066914E-2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184</v>
      </c>
      <c r="Q7" s="2">
        <f>Q10+Q8</f>
        <v>155.90000000000146</v>
      </c>
      <c r="R7">
        <v>0</v>
      </c>
      <c r="W7" s="133">
        <v>42669</v>
      </c>
      <c r="X7" s="10">
        <v>16.52</v>
      </c>
      <c r="Y7" s="10">
        <v>17.13</v>
      </c>
      <c r="Z7" s="10">
        <v>16.440000000000001</v>
      </c>
      <c r="AA7" s="10">
        <v>16.72</v>
      </c>
      <c r="AB7" s="95">
        <v>2051100</v>
      </c>
      <c r="AC7" s="10">
        <v>16.72</v>
      </c>
      <c r="AD7" s="2">
        <f t="shared" si="0"/>
        <v>0.68999999999999773</v>
      </c>
      <c r="AE7" s="138">
        <f t="shared" si="1"/>
        <v>6.0168471720816186E-3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42668</v>
      </c>
      <c r="X8" s="10">
        <v>16.96</v>
      </c>
      <c r="Y8" s="10">
        <v>17.170000000000002</v>
      </c>
      <c r="Z8" s="10">
        <v>16.57</v>
      </c>
      <c r="AA8" s="10">
        <v>16.62</v>
      </c>
      <c r="AB8" s="95">
        <v>3096800</v>
      </c>
      <c r="AC8" s="10">
        <v>16.62</v>
      </c>
      <c r="AD8" s="2">
        <f t="shared" si="0"/>
        <v>0.60000000000000142</v>
      </c>
      <c r="AE8" s="138">
        <f t="shared" si="1"/>
        <v>-3.3720930232558066E-2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219</v>
      </c>
      <c r="Q9" s="138">
        <f>IF(Q2=0, 0, Q8/Q6)</f>
        <v>0</v>
      </c>
      <c r="W9" s="133">
        <v>42667</v>
      </c>
      <c r="X9" s="10">
        <v>17.649999999999999</v>
      </c>
      <c r="Y9" s="10">
        <v>17.649999999999999</v>
      </c>
      <c r="Z9" s="10">
        <v>17.02</v>
      </c>
      <c r="AA9" s="10">
        <v>17.2</v>
      </c>
      <c r="AB9" s="95">
        <v>1940300</v>
      </c>
      <c r="AC9" s="10">
        <v>17.2</v>
      </c>
      <c r="AD9" s="2">
        <f t="shared" si="0"/>
        <v>0.62999999999999901</v>
      </c>
      <c r="AE9" s="138">
        <f t="shared" si="1"/>
        <v>-1.0356731875719172E-2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218</v>
      </c>
      <c r="P10" s="34"/>
      <c r="Q10" s="2">
        <f>M45</f>
        <v>155.90000000000146</v>
      </c>
      <c r="W10" s="133">
        <v>42664</v>
      </c>
      <c r="X10" s="10">
        <v>17.57</v>
      </c>
      <c r="Y10" s="10">
        <v>17.61</v>
      </c>
      <c r="Z10" s="10">
        <v>17.170000000000002</v>
      </c>
      <c r="AA10" s="10">
        <v>17.38</v>
      </c>
      <c r="AB10" s="95">
        <v>2475800</v>
      </c>
      <c r="AC10" s="10">
        <v>17.38</v>
      </c>
      <c r="AD10" s="2">
        <f t="shared" si="0"/>
        <v>0.43999999999999773</v>
      </c>
      <c r="AE10" s="138">
        <f t="shared" si="1"/>
        <v>-1.3620885357548351E-2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42663</v>
      </c>
      <c r="X11" s="10">
        <v>17.829999999999998</v>
      </c>
      <c r="Y11" s="10">
        <v>17.89</v>
      </c>
      <c r="Z11" s="10">
        <v>17.440000000000001</v>
      </c>
      <c r="AA11" s="10">
        <v>17.62</v>
      </c>
      <c r="AB11" s="95">
        <v>1514000</v>
      </c>
      <c r="AC11" s="10">
        <v>17.62</v>
      </c>
      <c r="AD11" s="2">
        <f t="shared" si="0"/>
        <v>0.44999999999999929</v>
      </c>
      <c r="AE11" s="138">
        <f t="shared" si="1"/>
        <v>-1.8384401114206028E-2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42662</v>
      </c>
      <c r="X12" s="10">
        <v>17.61</v>
      </c>
      <c r="Y12" s="10">
        <v>18.07</v>
      </c>
      <c r="Z12" s="10">
        <v>17.579999999999998</v>
      </c>
      <c r="AA12" s="10">
        <v>17.95</v>
      </c>
      <c r="AB12" s="95">
        <v>1494900</v>
      </c>
      <c r="AC12" s="10">
        <v>17.95</v>
      </c>
      <c r="AD12" s="2">
        <f t="shared" si="0"/>
        <v>0.49000000000000199</v>
      </c>
      <c r="AE12" s="138">
        <f t="shared" si="1"/>
        <v>1.930721181147077E-2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42661</v>
      </c>
      <c r="X13" s="10">
        <v>17.48</v>
      </c>
      <c r="Y13" s="10">
        <v>17.72</v>
      </c>
      <c r="Z13" s="10">
        <v>17.48</v>
      </c>
      <c r="AA13" s="10">
        <v>17.61</v>
      </c>
      <c r="AB13" s="95">
        <v>1524900</v>
      </c>
      <c r="AC13" s="10">
        <v>17.61</v>
      </c>
      <c r="AD13" s="2">
        <f t="shared" si="0"/>
        <v>0.23999999999999844</v>
      </c>
      <c r="AE13" s="138">
        <f t="shared" si="1"/>
        <v>2.2054556006964487E-2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42660</v>
      </c>
      <c r="X14" s="10">
        <v>17.579999999999998</v>
      </c>
      <c r="Y14" s="10">
        <v>17.77</v>
      </c>
      <c r="Z14" s="10">
        <v>17.21</v>
      </c>
      <c r="AA14" s="10">
        <v>17.23</v>
      </c>
      <c r="AB14" s="95">
        <v>1102700</v>
      </c>
      <c r="AC14" s="10">
        <v>17.23</v>
      </c>
      <c r="AD14" s="2">
        <f t="shared" si="0"/>
        <v>0.55999999999999872</v>
      </c>
      <c r="AE14" s="138">
        <f t="shared" si="1"/>
        <v>-2.1578648495173103E-2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42657</v>
      </c>
      <c r="X15" s="10">
        <v>17.73</v>
      </c>
      <c r="Y15" s="10">
        <v>17.920000000000002</v>
      </c>
      <c r="Z15" s="10">
        <v>17.54</v>
      </c>
      <c r="AA15" s="10">
        <v>17.61</v>
      </c>
      <c r="AB15" s="95">
        <v>819600</v>
      </c>
      <c r="AC15" s="10">
        <v>17.61</v>
      </c>
      <c r="AD15" s="2">
        <f t="shared" si="0"/>
        <v>0.38000000000000256</v>
      </c>
      <c r="AE15" s="138">
        <f t="shared" si="1"/>
        <v>-5.6753688989796824E-4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42656</v>
      </c>
      <c r="X16" s="10">
        <v>17.52</v>
      </c>
      <c r="Y16" s="10">
        <v>17.71</v>
      </c>
      <c r="Z16" s="10">
        <v>17.059999999999999</v>
      </c>
      <c r="AA16" s="10">
        <v>17.62</v>
      </c>
      <c r="AB16" s="95">
        <v>1776500</v>
      </c>
      <c r="AC16" s="10">
        <v>17.62</v>
      </c>
      <c r="AD16" s="2">
        <f t="shared" si="0"/>
        <v>0.65000000000000213</v>
      </c>
      <c r="AE16" s="138">
        <f t="shared" si="1"/>
        <v>-3.3936651583709176E-3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42655</v>
      </c>
      <c r="X17" s="10">
        <v>17.75</v>
      </c>
      <c r="Y17" s="10">
        <v>17.86</v>
      </c>
      <c r="Z17" s="10">
        <v>17.61</v>
      </c>
      <c r="AA17" s="10">
        <v>17.68</v>
      </c>
      <c r="AB17" s="95">
        <v>1385800</v>
      </c>
      <c r="AC17" s="10">
        <v>17.68</v>
      </c>
      <c r="AD17" s="2">
        <f t="shared" si="0"/>
        <v>0.25</v>
      </c>
      <c r="AE17" s="138">
        <f t="shared" si="1"/>
        <v>-4.5045045045045695E-3</v>
      </c>
    </row>
    <row r="18" spans="1:31" x14ac:dyDescent="0.25">
      <c r="W18" s="133">
        <v>42654</v>
      </c>
      <c r="X18" s="10">
        <v>18.190000000000001</v>
      </c>
      <c r="Y18" s="10">
        <v>18.37</v>
      </c>
      <c r="Z18" s="10">
        <v>17.670000000000002</v>
      </c>
      <c r="AA18" s="10">
        <v>17.760000000000002</v>
      </c>
      <c r="AB18" s="95">
        <v>1448800</v>
      </c>
      <c r="AC18" s="10">
        <v>17.760000000000002</v>
      </c>
      <c r="AD18" s="2">
        <f t="shared" si="0"/>
        <v>0.69999999999999929</v>
      </c>
      <c r="AE18" s="138">
        <f t="shared" si="1"/>
        <v>-2.6849315068493085E-2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42653</v>
      </c>
      <c r="X19" s="10">
        <v>18.190000000000001</v>
      </c>
      <c r="Y19" s="10">
        <v>18.399999999999999</v>
      </c>
      <c r="Z19" s="10">
        <v>18.149999999999999</v>
      </c>
      <c r="AA19" s="10">
        <v>18.25</v>
      </c>
      <c r="AB19" s="95">
        <v>1354000</v>
      </c>
      <c r="AC19" s="10">
        <v>18.25</v>
      </c>
      <c r="AD19" s="2">
        <f t="shared" si="0"/>
        <v>0.25</v>
      </c>
      <c r="AE19" s="138">
        <f t="shared" si="1"/>
        <v>1.4452473596442639E-2</v>
      </c>
    </row>
    <row r="20" spans="1:31" x14ac:dyDescent="0.25">
      <c r="W20" s="133">
        <v>42650</v>
      </c>
      <c r="X20" s="10">
        <v>18.059999999999999</v>
      </c>
      <c r="Y20" s="10">
        <v>18.190000000000001</v>
      </c>
      <c r="Z20" s="10">
        <v>17.79</v>
      </c>
      <c r="AA20" s="10">
        <v>17.989999999999998</v>
      </c>
      <c r="AB20" s="95">
        <v>1592700</v>
      </c>
      <c r="AC20" s="10">
        <v>17.989999999999998</v>
      </c>
      <c r="AD20" s="2">
        <f t="shared" si="0"/>
        <v>0.40000000000000213</v>
      </c>
      <c r="AE20" s="138">
        <f t="shared" si="1"/>
        <v>1.1129660545352582E-3</v>
      </c>
    </row>
    <row r="21" spans="1:31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W21" s="133">
        <v>42649</v>
      </c>
      <c r="X21" s="10">
        <v>17.91</v>
      </c>
      <c r="Y21" s="10">
        <v>18.079999999999998</v>
      </c>
      <c r="Z21" s="10">
        <v>17.809999999999999</v>
      </c>
      <c r="AA21" s="10">
        <v>17.97</v>
      </c>
      <c r="AB21" s="95">
        <v>1177000</v>
      </c>
      <c r="AC21" s="10">
        <v>17.97</v>
      </c>
      <c r="AD21" s="2">
        <f t="shared" si="0"/>
        <v>0.26999999999999957</v>
      </c>
      <c r="AE21" s="138">
        <f t="shared" si="1"/>
        <v>-3.8802660753880502E-3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42648</v>
      </c>
      <c r="X22" s="10">
        <v>17.93</v>
      </c>
      <c r="Y22" s="10">
        <v>18.29</v>
      </c>
      <c r="Z22" s="10">
        <v>17.89</v>
      </c>
      <c r="AA22" s="10">
        <v>18.04</v>
      </c>
      <c r="AB22" s="95">
        <v>2073500</v>
      </c>
      <c r="AC22" s="10">
        <v>18.04</v>
      </c>
      <c r="AD22" s="2">
        <f t="shared" si="0"/>
        <v>0.39999999999999858</v>
      </c>
      <c r="AE22" s="138">
        <f t="shared" si="1"/>
        <v>9.5131505316170539E-3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42647</v>
      </c>
      <c r="X23" s="10">
        <v>17.29</v>
      </c>
      <c r="Y23" s="10">
        <v>17.920000000000002</v>
      </c>
      <c r="Z23" s="10">
        <v>17.170000000000002</v>
      </c>
      <c r="AA23" s="10">
        <v>17.87</v>
      </c>
      <c r="AB23" s="95">
        <v>2755700</v>
      </c>
      <c r="AC23" s="10">
        <v>17.87</v>
      </c>
      <c r="AD23" s="2">
        <f t="shared" si="0"/>
        <v>0.75</v>
      </c>
      <c r="AE23" s="138">
        <f t="shared" si="1"/>
        <v>3.4742327735958423E-2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42646</v>
      </c>
      <c r="X24" s="10">
        <v>17.04</v>
      </c>
      <c r="Y24" s="10">
        <v>17.45</v>
      </c>
      <c r="Z24" s="10">
        <v>17</v>
      </c>
      <c r="AA24" s="10">
        <v>17.27</v>
      </c>
      <c r="AB24" s="95">
        <v>1862600</v>
      </c>
      <c r="AC24" s="10">
        <v>17.27</v>
      </c>
      <c r="AD24" s="2">
        <f t="shared" si="0"/>
        <v>0.44999999999999929</v>
      </c>
      <c r="AE24" s="138">
        <f t="shared" si="1"/>
        <v>8.17279626386469E-3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42643</v>
      </c>
      <c r="X25" s="10">
        <v>17.52</v>
      </c>
      <c r="Y25" s="10">
        <v>17.53</v>
      </c>
      <c r="Z25" s="10">
        <v>17.059999999999999</v>
      </c>
      <c r="AA25" s="10">
        <v>17.13</v>
      </c>
      <c r="AB25" s="95">
        <v>2508100</v>
      </c>
      <c r="AC25" s="10">
        <v>17.13</v>
      </c>
      <c r="AD25" s="2">
        <f t="shared" si="0"/>
        <v>0.47000000000000242</v>
      </c>
      <c r="AE25" s="138">
        <f t="shared" si="1"/>
        <v>-1.211072664359869E-2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42642</v>
      </c>
      <c r="X26" s="10">
        <v>17.68</v>
      </c>
      <c r="Y26" s="10">
        <v>18.07</v>
      </c>
      <c r="Z26" s="10">
        <v>17.329999999999998</v>
      </c>
      <c r="AA26" s="10">
        <v>17.34</v>
      </c>
      <c r="AB26" s="95">
        <v>1537400</v>
      </c>
      <c r="AC26" s="10">
        <v>17.34</v>
      </c>
      <c r="AD26" s="2">
        <f t="shared" si="0"/>
        <v>0.74000000000000199</v>
      </c>
      <c r="AE26" s="138">
        <f t="shared" si="1"/>
        <v>-1.7563739376770471E-2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42641</v>
      </c>
      <c r="X27" s="10">
        <v>18.09</v>
      </c>
      <c r="Y27" s="10">
        <v>18.100000000000001</v>
      </c>
      <c r="Z27" s="10">
        <v>17.39</v>
      </c>
      <c r="AA27" s="10">
        <v>17.649999999999999</v>
      </c>
      <c r="AB27" s="95">
        <v>2119100</v>
      </c>
      <c r="AC27" s="10">
        <v>17.649999999999999</v>
      </c>
      <c r="AD27" s="2">
        <f t="shared" si="0"/>
        <v>0.71000000000000085</v>
      </c>
      <c r="AE27" s="138">
        <f t="shared" si="1"/>
        <v>-2.3242944106253605E-2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42640</v>
      </c>
      <c r="X28" s="10">
        <v>17.600000000000001</v>
      </c>
      <c r="Y28" s="10">
        <v>18.07</v>
      </c>
      <c r="Z28" s="10">
        <v>17.48</v>
      </c>
      <c r="AA28" s="10">
        <v>18.07</v>
      </c>
      <c r="AB28" s="95">
        <v>1827900</v>
      </c>
      <c r="AC28" s="10">
        <v>18.07</v>
      </c>
      <c r="AD28" s="2">
        <f t="shared" si="0"/>
        <v>0.58999999999999986</v>
      </c>
      <c r="AE28" s="138">
        <f t="shared" si="1"/>
        <v>2.9043280182232456E-2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42639</v>
      </c>
      <c r="X29" s="10">
        <v>18.329999999999998</v>
      </c>
      <c r="Y29" s="10">
        <v>18.399999999999999</v>
      </c>
      <c r="Z29" s="10">
        <v>17.5</v>
      </c>
      <c r="AA29" s="10">
        <v>17.559999999999999</v>
      </c>
      <c r="AB29" s="95">
        <v>2068200</v>
      </c>
      <c r="AC29" s="10">
        <v>17.559999999999999</v>
      </c>
      <c r="AD29" s="2">
        <f t="shared" si="0"/>
        <v>0.89999999999999858</v>
      </c>
      <c r="AE29" s="138">
        <f t="shared" si="1"/>
        <v>-4.6170559478544315E-2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42636</v>
      </c>
      <c r="X30" s="10">
        <v>18.45</v>
      </c>
      <c r="Y30" s="10">
        <v>18.68</v>
      </c>
      <c r="Z30" s="10">
        <v>18.36</v>
      </c>
      <c r="AA30" s="10">
        <v>18.41</v>
      </c>
      <c r="AB30" s="95">
        <v>1402300</v>
      </c>
      <c r="AC30" s="10">
        <v>18.41</v>
      </c>
      <c r="AD30" s="2">
        <f t="shared" si="0"/>
        <v>0.32000000000000028</v>
      </c>
      <c r="AE30" s="138">
        <f t="shared" si="1"/>
        <v>-3.2485110990795318E-3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42635</v>
      </c>
      <c r="X31" s="10">
        <v>18.57</v>
      </c>
      <c r="Y31" s="10">
        <v>18.670000000000002</v>
      </c>
      <c r="Z31" s="10">
        <v>18.38</v>
      </c>
      <c r="AA31" s="10">
        <v>18.47</v>
      </c>
      <c r="AB31" s="95">
        <v>1716900</v>
      </c>
      <c r="AC31" s="10">
        <v>18.47</v>
      </c>
      <c r="AD31" s="2">
        <f t="shared" si="0"/>
        <v>0.2900000000000027</v>
      </c>
      <c r="AE31" s="138">
        <f t="shared" si="1"/>
        <v>2.71444082518979E-3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42634</v>
      </c>
      <c r="X32" s="10">
        <v>18.559999999999999</v>
      </c>
      <c r="Y32" s="10">
        <v>18.739999999999998</v>
      </c>
      <c r="Z32" s="10">
        <v>18.18</v>
      </c>
      <c r="AA32" s="10">
        <v>18.420000000000002</v>
      </c>
      <c r="AB32" s="95">
        <v>2193400</v>
      </c>
      <c r="AC32" s="10">
        <v>18.420000000000002</v>
      </c>
      <c r="AD32" s="2">
        <f t="shared" si="0"/>
        <v>0.55999999999999872</v>
      </c>
      <c r="AE32" s="138">
        <f t="shared" si="1"/>
        <v>2.1762785636563198E-3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42633</v>
      </c>
      <c r="X33" s="10">
        <v>18.98</v>
      </c>
      <c r="Y33" s="10">
        <v>19.079999999999998</v>
      </c>
      <c r="Z33" s="10">
        <v>18.36</v>
      </c>
      <c r="AA33" s="10">
        <v>18.38</v>
      </c>
      <c r="AB33" s="95">
        <v>1246200</v>
      </c>
      <c r="AC33" s="10">
        <v>18.38</v>
      </c>
      <c r="AD33" s="2">
        <f t="shared" si="0"/>
        <v>0.71999999999999886</v>
      </c>
      <c r="AE33" s="138">
        <f t="shared" si="1"/>
        <v>-2.4416135881104029E-2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42632</v>
      </c>
      <c r="X34" s="10">
        <v>18.920000000000002</v>
      </c>
      <c r="Y34" s="10">
        <v>19.16</v>
      </c>
      <c r="Z34" s="10">
        <v>18.47</v>
      </c>
      <c r="AA34" s="10">
        <v>18.84</v>
      </c>
      <c r="AB34" s="95">
        <v>2512200</v>
      </c>
      <c r="AC34" s="10">
        <v>18.84</v>
      </c>
      <c r="AD34" s="2">
        <f t="shared" si="0"/>
        <v>0.69000000000000128</v>
      </c>
      <c r="AE34" s="138">
        <f t="shared" si="1"/>
        <v>1.1815252416756072E-2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42629</v>
      </c>
      <c r="X35" s="10">
        <v>18.649999999999999</v>
      </c>
      <c r="Y35" s="10">
        <v>18.73</v>
      </c>
      <c r="Z35" s="10">
        <v>18.41</v>
      </c>
      <c r="AA35" s="10">
        <v>18.62</v>
      </c>
      <c r="AB35" s="95">
        <v>1468500</v>
      </c>
      <c r="AC35" s="10">
        <v>18.62</v>
      </c>
      <c r="AD35" s="2">
        <f t="shared" si="0"/>
        <v>0.32000000000000028</v>
      </c>
      <c r="AE35" s="138">
        <f t="shared" si="1"/>
        <v>-1.2201591511936338E-2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42628</v>
      </c>
      <c r="X36" s="10">
        <v>18.47</v>
      </c>
      <c r="Y36" s="10">
        <v>19.010000000000002</v>
      </c>
      <c r="Z36" s="10">
        <v>18.39</v>
      </c>
      <c r="AA36" s="10">
        <v>18.850000000000001</v>
      </c>
      <c r="AB36" s="95">
        <v>1430300</v>
      </c>
      <c r="AC36" s="10">
        <v>18.850000000000001</v>
      </c>
      <c r="AD36" s="2">
        <f t="shared" si="0"/>
        <v>0.62000000000000099</v>
      </c>
      <c r="AE36" s="138">
        <f t="shared" si="1"/>
        <v>5.3333333333334121E-3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42627</v>
      </c>
      <c r="X37" s="10">
        <v>18.53</v>
      </c>
      <c r="Y37" s="10">
        <v>19.100000000000001</v>
      </c>
      <c r="Z37" s="10">
        <v>18.27</v>
      </c>
      <c r="AA37" s="10">
        <v>18.75</v>
      </c>
      <c r="AB37" s="95">
        <v>2972300</v>
      </c>
      <c r="AC37" s="10">
        <v>18.75</v>
      </c>
      <c r="AD37" s="2">
        <f t="shared" si="0"/>
        <v>0.83000000000000185</v>
      </c>
      <c r="AE37" s="138">
        <f t="shared" si="1"/>
        <v>1.1872638963842386E-2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42626</v>
      </c>
      <c r="X38" s="10">
        <v>18.899999999999999</v>
      </c>
      <c r="Y38" s="10">
        <v>19.09</v>
      </c>
      <c r="Z38" s="10">
        <v>18.14</v>
      </c>
      <c r="AA38" s="10">
        <v>18.53</v>
      </c>
      <c r="AB38" s="95">
        <v>3612200</v>
      </c>
      <c r="AC38" s="10">
        <v>18.53</v>
      </c>
      <c r="AD38" s="2">
        <f t="shared" si="0"/>
        <v>0.94999999999999929</v>
      </c>
      <c r="AE38" s="138">
        <f t="shared" si="1"/>
        <v>8.1610446137105885E-3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42625</v>
      </c>
      <c r="X39" s="10">
        <v>17.88</v>
      </c>
      <c r="Y39" s="10">
        <v>18.57</v>
      </c>
      <c r="Z39" s="10">
        <v>17.84</v>
      </c>
      <c r="AA39" s="10">
        <v>18.38</v>
      </c>
      <c r="AB39" s="95">
        <v>3724000</v>
      </c>
      <c r="AC39" s="10">
        <v>18.38</v>
      </c>
      <c r="AD39" s="2">
        <f t="shared" si="0"/>
        <v>0.73000000000000043</v>
      </c>
      <c r="AE39" s="138">
        <f t="shared" si="1"/>
        <v>1.603095632946383E-2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42622</v>
      </c>
      <c r="X40" s="10">
        <v>18.87</v>
      </c>
      <c r="Y40" s="10">
        <v>18.920000000000002</v>
      </c>
      <c r="Z40" s="10">
        <v>18.09</v>
      </c>
      <c r="AA40" s="10">
        <v>18.09</v>
      </c>
      <c r="AB40" s="95">
        <v>2698300</v>
      </c>
      <c r="AC40" s="10">
        <v>18.09</v>
      </c>
      <c r="AD40" s="2">
        <f t="shared" si="0"/>
        <v>0.83000000000000185</v>
      </c>
      <c r="AE40" s="138">
        <f t="shared" si="1"/>
        <v>-5.0891920251836198E-2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42621</v>
      </c>
      <c r="X41" s="10">
        <v>19.489999999999998</v>
      </c>
      <c r="Y41" s="10">
        <v>19.55</v>
      </c>
      <c r="Z41" s="10">
        <v>19.05</v>
      </c>
      <c r="AA41" s="10">
        <v>19.059999999999999</v>
      </c>
      <c r="AB41" s="95">
        <v>1784300</v>
      </c>
      <c r="AC41" s="10">
        <v>19.059999999999999</v>
      </c>
      <c r="AD41" s="2">
        <f t="shared" si="0"/>
        <v>0.5</v>
      </c>
      <c r="AE41" s="138">
        <f t="shared" si="1"/>
        <v>-2.9037187977585366E-2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42620</v>
      </c>
      <c r="X42" s="10">
        <v>18.829999999999998</v>
      </c>
      <c r="Y42" s="10">
        <v>19.760000000000002</v>
      </c>
      <c r="Z42" s="10">
        <v>18.829999999999998</v>
      </c>
      <c r="AA42" s="10">
        <v>19.63</v>
      </c>
      <c r="AB42" s="95">
        <v>2451200</v>
      </c>
      <c r="AC42" s="10">
        <v>19.63</v>
      </c>
      <c r="AD42" s="2">
        <f t="shared" si="0"/>
        <v>0.93000000000000327</v>
      </c>
      <c r="AE42" s="138">
        <f t="shared" si="1"/>
        <v>4.1932059447983061E-2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16.329999999999998</v>
      </c>
      <c r="W43" s="133">
        <v>42619</v>
      </c>
      <c r="X43" s="10">
        <v>19.13</v>
      </c>
      <c r="Y43" s="10">
        <v>19.170000000000002</v>
      </c>
      <c r="Z43" s="10">
        <v>18.559999999999999</v>
      </c>
      <c r="AA43" s="10">
        <v>18.84</v>
      </c>
      <c r="AB43" s="95">
        <v>2189800</v>
      </c>
      <c r="AC43" s="10">
        <v>18.84</v>
      </c>
      <c r="AD43" s="2">
        <f t="shared" si="0"/>
        <v>0.61000000000000298</v>
      </c>
      <c r="AE43" s="138">
        <f t="shared" si="1"/>
        <v>-1.4644351464435212E-2</v>
      </c>
    </row>
    <row r="44" spans="1:31" ht="20.25" thickBot="1" x14ac:dyDescent="0.35">
      <c r="O44" s="588" t="s">
        <v>78</v>
      </c>
      <c r="P44" s="588"/>
      <c r="T44" s="93" t="s">
        <v>99</v>
      </c>
      <c r="U44" s="88">
        <v>14.75</v>
      </c>
      <c r="W44" s="133">
        <v>42615</v>
      </c>
      <c r="X44" s="10">
        <v>18.920000000000002</v>
      </c>
      <c r="Y44" s="10">
        <v>19.36</v>
      </c>
      <c r="Z44" s="10">
        <v>18.73</v>
      </c>
      <c r="AA44" s="10">
        <v>19.12</v>
      </c>
      <c r="AB44" s="95">
        <v>1728400</v>
      </c>
      <c r="AC44" s="10">
        <v>19.12</v>
      </c>
      <c r="AD44" s="2">
        <f t="shared" si="0"/>
        <v>0.62999999999999901</v>
      </c>
      <c r="AE44" s="138">
        <f t="shared" si="1"/>
        <v>1.3785790031813461E-2</v>
      </c>
    </row>
    <row r="45" spans="1:31" ht="15.75" thickTop="1" x14ac:dyDescent="0.25">
      <c r="L45" t="s">
        <v>218</v>
      </c>
      <c r="M45" s="2">
        <f>M64+K64-F64</f>
        <v>155.90000000000146</v>
      </c>
      <c r="O45" s="83">
        <v>1.1000000000000001</v>
      </c>
      <c r="P45" s="83">
        <f>O45*$Q$4</f>
        <v>16.137</v>
      </c>
      <c r="Q45" s="2"/>
      <c r="T45" s="93" t="s">
        <v>100</v>
      </c>
      <c r="U45" s="88" t="s">
        <v>507</v>
      </c>
      <c r="W45" s="133">
        <v>42614</v>
      </c>
      <c r="X45" s="10">
        <v>18.63</v>
      </c>
      <c r="Y45" s="10">
        <v>18.98</v>
      </c>
      <c r="Z45" s="10">
        <v>18.54</v>
      </c>
      <c r="AA45" s="10">
        <v>18.86</v>
      </c>
      <c r="AB45" s="95">
        <v>1258700</v>
      </c>
      <c r="AC45" s="10">
        <v>18.86</v>
      </c>
      <c r="AD45" s="2">
        <f t="shared" si="0"/>
        <v>0.44000000000000128</v>
      </c>
      <c r="AE45" s="138">
        <f t="shared" si="1"/>
        <v>1.0718113612004254E-2</v>
      </c>
    </row>
    <row r="46" spans="1:31" x14ac:dyDescent="0.25">
      <c r="A46" s="390" t="s">
        <v>1</v>
      </c>
      <c r="B46" s="390" t="s">
        <v>2</v>
      </c>
      <c r="C46" s="390" t="s">
        <v>4</v>
      </c>
      <c r="D46" s="392" t="s">
        <v>5</v>
      </c>
      <c r="E46" s="392" t="s">
        <v>94</v>
      </c>
      <c r="F46" s="392" t="s">
        <v>60</v>
      </c>
      <c r="G46" s="390" t="s">
        <v>3</v>
      </c>
      <c r="H46" s="390" t="s">
        <v>6</v>
      </c>
      <c r="I46" s="390" t="s">
        <v>7</v>
      </c>
      <c r="J46" s="390" t="s">
        <v>95</v>
      </c>
      <c r="K46" s="390" t="s">
        <v>61</v>
      </c>
      <c r="L46" s="390" t="s">
        <v>37</v>
      </c>
      <c r="M46" s="390" t="s">
        <v>38</v>
      </c>
      <c r="O46" s="83">
        <v>1.0900000000000001</v>
      </c>
      <c r="P46" s="83">
        <f t="shared" ref="P46:P65" si="5">O46*$Q$4</f>
        <v>15.990300000000001</v>
      </c>
      <c r="Q46" s="2"/>
      <c r="T46" s="93" t="s">
        <v>101</v>
      </c>
      <c r="U46" s="88" t="s">
        <v>508</v>
      </c>
      <c r="W46" s="133">
        <v>42613</v>
      </c>
      <c r="X46" s="10">
        <v>18.75</v>
      </c>
      <c r="Y46" s="10">
        <v>18.93</v>
      </c>
      <c r="Z46" s="10">
        <v>18.43</v>
      </c>
      <c r="AA46" s="10">
        <v>18.66</v>
      </c>
      <c r="AB46" s="95">
        <v>1023800</v>
      </c>
      <c r="AC46" s="10">
        <v>18.66</v>
      </c>
      <c r="AD46" s="2">
        <f t="shared" si="0"/>
        <v>0.5</v>
      </c>
      <c r="AE46" s="138">
        <f t="shared" si="1"/>
        <v>-7.4468085106382809E-3</v>
      </c>
    </row>
    <row r="47" spans="1:31" x14ac:dyDescent="0.25">
      <c r="A47" s="393" t="s">
        <v>15</v>
      </c>
      <c r="B47" s="383">
        <v>42153</v>
      </c>
      <c r="C47" s="384">
        <v>1</v>
      </c>
      <c r="D47" s="385">
        <v>26.75</v>
      </c>
      <c r="E47" s="385">
        <v>0</v>
      </c>
      <c r="F47" s="385">
        <f>C47*D47</f>
        <v>26.75</v>
      </c>
      <c r="G47" s="383">
        <v>42226</v>
      </c>
      <c r="H47" s="384">
        <v>170</v>
      </c>
      <c r="I47" s="384">
        <v>22.35</v>
      </c>
      <c r="J47" s="385">
        <v>7.0000000000000007E-2</v>
      </c>
      <c r="K47" s="384">
        <f t="shared" ref="K47:K54" si="6">H47*I47-J47</f>
        <v>3799.4300000000003</v>
      </c>
      <c r="L47" s="384" t="s">
        <v>80</v>
      </c>
      <c r="M47" s="384"/>
      <c r="O47" s="83">
        <v>1.08</v>
      </c>
      <c r="P47" s="83">
        <f t="shared" si="5"/>
        <v>15.8436</v>
      </c>
      <c r="Q47" s="2"/>
      <c r="T47" s="93" t="s">
        <v>102</v>
      </c>
      <c r="U47" s="88">
        <v>21.56</v>
      </c>
      <c r="W47" s="133">
        <v>42612</v>
      </c>
      <c r="X47" s="10">
        <v>18.93</v>
      </c>
      <c r="Y47" s="10">
        <v>19.16</v>
      </c>
      <c r="Z47" s="10">
        <v>18.62</v>
      </c>
      <c r="AA47" s="10">
        <v>18.8</v>
      </c>
      <c r="AB47" s="95">
        <v>1250300</v>
      </c>
      <c r="AC47" s="10">
        <v>18.8</v>
      </c>
      <c r="AD47" s="2">
        <f t="shared" si="0"/>
        <v>0.53999999999999915</v>
      </c>
      <c r="AE47" s="138">
        <f t="shared" si="1"/>
        <v>-1.467505241090139E-2</v>
      </c>
    </row>
    <row r="48" spans="1:31" x14ac:dyDescent="0.25">
      <c r="A48" s="394" t="s">
        <v>71</v>
      </c>
      <c r="B48" s="383">
        <v>42173</v>
      </c>
      <c r="C48" s="384">
        <v>19</v>
      </c>
      <c r="D48" s="385">
        <v>24.84</v>
      </c>
      <c r="E48" s="385">
        <v>0</v>
      </c>
      <c r="F48" s="385">
        <f t="shared" ref="F48:F61" si="7">C48*D48</f>
        <v>471.96</v>
      </c>
      <c r="G48" s="383">
        <v>42263</v>
      </c>
      <c r="H48" s="384">
        <v>120</v>
      </c>
      <c r="I48" s="384">
        <v>19.28</v>
      </c>
      <c r="J48" s="384">
        <v>0.04</v>
      </c>
      <c r="K48" s="384">
        <f t="shared" si="6"/>
        <v>2313.5600000000004</v>
      </c>
      <c r="L48" s="384"/>
      <c r="M48" s="384"/>
      <c r="O48" s="83">
        <v>1.07</v>
      </c>
      <c r="P48" s="83">
        <f t="shared" si="5"/>
        <v>15.696900000000001</v>
      </c>
      <c r="Q48" s="2"/>
      <c r="T48" s="93" t="s">
        <v>103</v>
      </c>
      <c r="U48" s="88">
        <v>1.4762200000000001</v>
      </c>
      <c r="W48" s="133">
        <v>42611</v>
      </c>
      <c r="X48" s="10">
        <v>19.05</v>
      </c>
      <c r="Y48" s="10">
        <v>19.28</v>
      </c>
      <c r="Z48" s="10">
        <v>19</v>
      </c>
      <c r="AA48" s="10">
        <v>19.079999999999998</v>
      </c>
      <c r="AB48" s="95">
        <v>1232100</v>
      </c>
      <c r="AC48" s="10">
        <v>19.079999999999998</v>
      </c>
      <c r="AD48" s="2">
        <f t="shared" si="0"/>
        <v>0.28000000000000114</v>
      </c>
      <c r="AE48" s="138">
        <f t="shared" si="1"/>
        <v>2.1008403361344463E-3</v>
      </c>
    </row>
    <row r="49" spans="1:31" x14ac:dyDescent="0.25">
      <c r="A49" s="384"/>
      <c r="B49" s="383">
        <v>42184</v>
      </c>
      <c r="C49" s="384">
        <v>10</v>
      </c>
      <c r="D49" s="385">
        <v>24.33</v>
      </c>
      <c r="E49" s="385">
        <v>0</v>
      </c>
      <c r="F49" s="385">
        <f t="shared" si="7"/>
        <v>243.29999999999998</v>
      </c>
      <c r="G49" s="383">
        <v>42284</v>
      </c>
      <c r="H49" s="384">
        <v>40</v>
      </c>
      <c r="I49" s="384">
        <v>20.45</v>
      </c>
      <c r="J49" s="384">
        <v>0.02</v>
      </c>
      <c r="K49" s="384">
        <f t="shared" si="6"/>
        <v>817.98</v>
      </c>
      <c r="L49" s="384"/>
      <c r="M49" s="384"/>
      <c r="O49" s="83">
        <v>1.06</v>
      </c>
      <c r="P49" s="83">
        <f t="shared" si="5"/>
        <v>15.5502</v>
      </c>
      <c r="Q49" s="2"/>
      <c r="T49" s="93" t="s">
        <v>104</v>
      </c>
      <c r="U49" s="88" t="s">
        <v>295</v>
      </c>
      <c r="W49" s="133">
        <v>42608</v>
      </c>
      <c r="X49" s="10">
        <v>19.440000000000001</v>
      </c>
      <c r="Y49" s="10">
        <v>19.579999999999998</v>
      </c>
      <c r="Z49" s="10">
        <v>18.86</v>
      </c>
      <c r="AA49" s="10">
        <v>19.04</v>
      </c>
      <c r="AB49" s="95">
        <v>1983900</v>
      </c>
      <c r="AC49" s="10">
        <v>19.04</v>
      </c>
      <c r="AD49" s="2">
        <f t="shared" si="0"/>
        <v>0.71999999999999886</v>
      </c>
      <c r="AE49" s="138">
        <f t="shared" si="1"/>
        <v>-1.6020671834625411E-2</v>
      </c>
    </row>
    <row r="50" spans="1:31" x14ac:dyDescent="0.25">
      <c r="A50" s="384"/>
      <c r="B50" s="383">
        <v>42185</v>
      </c>
      <c r="C50" s="384">
        <v>5</v>
      </c>
      <c r="D50" s="385">
        <v>23.82</v>
      </c>
      <c r="E50" s="385">
        <v>0</v>
      </c>
      <c r="F50" s="385">
        <f t="shared" si="7"/>
        <v>119.1</v>
      </c>
      <c r="G50" s="383">
        <v>42285</v>
      </c>
      <c r="H50" s="384">
        <v>80</v>
      </c>
      <c r="I50" s="385">
        <v>21.14</v>
      </c>
      <c r="J50" s="385">
        <v>0.03</v>
      </c>
      <c r="K50" s="384">
        <f t="shared" si="6"/>
        <v>1691.17</v>
      </c>
      <c r="L50" s="384"/>
      <c r="M50" s="384"/>
      <c r="O50" s="83">
        <v>1.05</v>
      </c>
      <c r="P50" s="83">
        <f t="shared" si="5"/>
        <v>15.403500000000001</v>
      </c>
      <c r="Q50" s="2"/>
      <c r="T50" s="93"/>
      <c r="U50" s="88"/>
      <c r="W50" s="133">
        <v>42607</v>
      </c>
      <c r="X50" s="10">
        <v>19.25</v>
      </c>
      <c r="Y50" s="10">
        <v>19.61</v>
      </c>
      <c r="Z50" s="10">
        <v>19.18</v>
      </c>
      <c r="AA50" s="10">
        <v>19.350000000000001</v>
      </c>
      <c r="AB50" s="95">
        <v>1367200</v>
      </c>
      <c r="AC50" s="10">
        <v>19.350000000000001</v>
      </c>
      <c r="AD50" s="2">
        <f t="shared" si="0"/>
        <v>0.42999999999999972</v>
      </c>
      <c r="AE50" s="138">
        <f t="shared" si="1"/>
        <v>-1.0325245224573898E-3</v>
      </c>
    </row>
    <row r="51" spans="1:31" x14ac:dyDescent="0.25">
      <c r="A51" s="384"/>
      <c r="B51" s="383">
        <v>42185</v>
      </c>
      <c r="C51" s="384">
        <v>15</v>
      </c>
      <c r="D51" s="385">
        <v>23.71</v>
      </c>
      <c r="E51" s="385">
        <v>0</v>
      </c>
      <c r="F51" s="385">
        <f t="shared" si="7"/>
        <v>355.65000000000003</v>
      </c>
      <c r="G51" s="383">
        <v>42010</v>
      </c>
      <c r="H51" s="384">
        <v>60</v>
      </c>
      <c r="I51" s="384">
        <v>17.760000000000002</v>
      </c>
      <c r="J51" s="384">
        <v>0.02</v>
      </c>
      <c r="K51" s="384">
        <f t="shared" si="6"/>
        <v>1065.5800000000002</v>
      </c>
      <c r="L51" s="384"/>
      <c r="M51" s="384"/>
      <c r="O51" s="83">
        <v>1.04</v>
      </c>
      <c r="P51" s="83">
        <f t="shared" si="5"/>
        <v>15.2568</v>
      </c>
      <c r="Q51" s="2"/>
      <c r="T51" s="93" t="s">
        <v>105</v>
      </c>
      <c r="U51" s="88" t="s">
        <v>509</v>
      </c>
      <c r="W51" s="133">
        <v>42606</v>
      </c>
      <c r="X51" s="10">
        <v>19.690000000000001</v>
      </c>
      <c r="Y51" s="10">
        <v>19.79</v>
      </c>
      <c r="Z51" s="10">
        <v>19.32</v>
      </c>
      <c r="AA51" s="10">
        <v>19.37</v>
      </c>
      <c r="AB51" s="95">
        <v>1374000</v>
      </c>
      <c r="AC51" s="10">
        <v>19.37</v>
      </c>
      <c r="AD51" s="2">
        <f t="shared" si="0"/>
        <v>0.46999999999999886</v>
      </c>
      <c r="AE51" s="138">
        <f t="shared" si="1"/>
        <v>-2.0728008088978789E-2</v>
      </c>
    </row>
    <row r="52" spans="1:31" x14ac:dyDescent="0.25">
      <c r="A52" s="384"/>
      <c r="B52" s="383">
        <v>42185</v>
      </c>
      <c r="C52" s="384">
        <v>30</v>
      </c>
      <c r="D52" s="385">
        <v>23.65</v>
      </c>
      <c r="E52" s="385">
        <v>0</v>
      </c>
      <c r="F52" s="385">
        <f t="shared" si="7"/>
        <v>709.5</v>
      </c>
      <c r="G52" s="383">
        <v>42398</v>
      </c>
      <c r="H52" s="384">
        <v>60</v>
      </c>
      <c r="I52" s="384">
        <v>17.559999999999999</v>
      </c>
      <c r="J52" s="384">
        <v>0.02</v>
      </c>
      <c r="K52" s="384">
        <f t="shared" si="6"/>
        <v>1053.58</v>
      </c>
      <c r="L52" s="384"/>
      <c r="M52" s="384"/>
      <c r="O52" s="83">
        <v>1.03</v>
      </c>
      <c r="P52" s="83">
        <f t="shared" si="5"/>
        <v>15.110100000000001</v>
      </c>
      <c r="Q52" s="2"/>
      <c r="T52" s="93" t="s">
        <v>106</v>
      </c>
      <c r="U52" s="88" t="s">
        <v>510</v>
      </c>
      <c r="W52" s="133">
        <v>42605</v>
      </c>
      <c r="X52" s="10">
        <v>19.350000000000001</v>
      </c>
      <c r="Y52" s="10">
        <v>19.87</v>
      </c>
      <c r="Z52" s="10">
        <v>19.28</v>
      </c>
      <c r="AA52" s="10">
        <v>19.78</v>
      </c>
      <c r="AB52" s="95">
        <v>1728700</v>
      </c>
      <c r="AC52" s="10">
        <v>19.78</v>
      </c>
      <c r="AD52" s="2">
        <f t="shared" si="0"/>
        <v>0.58999999999999986</v>
      </c>
      <c r="AE52" s="138">
        <f t="shared" si="1"/>
        <v>3.1282586027111758E-2</v>
      </c>
    </row>
    <row r="53" spans="1:31" x14ac:dyDescent="0.25">
      <c r="A53" s="384"/>
      <c r="B53" s="383">
        <v>42185</v>
      </c>
      <c r="C53" s="384">
        <v>40</v>
      </c>
      <c r="D53" s="385">
        <v>23.2</v>
      </c>
      <c r="E53" s="385">
        <v>0</v>
      </c>
      <c r="F53" s="385">
        <f t="shared" si="7"/>
        <v>928</v>
      </c>
      <c r="G53" s="383">
        <v>42416</v>
      </c>
      <c r="H53" s="384">
        <v>60</v>
      </c>
      <c r="I53" s="384">
        <v>16.82</v>
      </c>
      <c r="J53" s="384">
        <v>0.02</v>
      </c>
      <c r="K53" s="384">
        <f t="shared" si="6"/>
        <v>1009.1800000000001</v>
      </c>
      <c r="L53" s="384"/>
      <c r="M53" s="384"/>
      <c r="O53" s="83">
        <v>1.02</v>
      </c>
      <c r="P53" s="83">
        <f t="shared" si="5"/>
        <v>14.9634</v>
      </c>
      <c r="Q53" s="2"/>
      <c r="T53" s="93" t="s">
        <v>107</v>
      </c>
      <c r="U53" s="90">
        <v>11905007</v>
      </c>
      <c r="W53" s="133">
        <v>42604</v>
      </c>
      <c r="X53" s="10">
        <v>19.39</v>
      </c>
      <c r="Y53" s="10">
        <v>19.420000000000002</v>
      </c>
      <c r="Z53" s="10">
        <v>19.07</v>
      </c>
      <c r="AA53" s="10">
        <v>19.18</v>
      </c>
      <c r="AB53" s="95">
        <v>1559200</v>
      </c>
      <c r="AC53" s="10">
        <v>19.18</v>
      </c>
      <c r="AD53" s="2">
        <f t="shared" si="0"/>
        <v>0.35000000000000142</v>
      </c>
      <c r="AE53" s="138">
        <f t="shared" si="1"/>
        <v>-1.4894709809963991E-2</v>
      </c>
    </row>
    <row r="54" spans="1:31" x14ac:dyDescent="0.25">
      <c r="A54" s="384"/>
      <c r="B54" s="383">
        <v>42185</v>
      </c>
      <c r="C54" s="384">
        <v>50</v>
      </c>
      <c r="D54" s="385">
        <v>22.94</v>
      </c>
      <c r="E54" s="385">
        <v>0</v>
      </c>
      <c r="F54" s="385">
        <f t="shared" si="7"/>
        <v>1147</v>
      </c>
      <c r="G54" s="383">
        <v>42423</v>
      </c>
      <c r="H54" s="384">
        <v>60</v>
      </c>
      <c r="I54" s="384">
        <v>17.84</v>
      </c>
      <c r="J54" s="384">
        <v>0.02</v>
      </c>
      <c r="K54" s="384">
        <f t="shared" si="6"/>
        <v>1070.3800000000001</v>
      </c>
      <c r="L54" s="384"/>
      <c r="M54" s="384"/>
      <c r="O54" s="83">
        <v>1.01</v>
      </c>
      <c r="P54" s="83">
        <f t="shared" si="5"/>
        <v>14.816700000000001</v>
      </c>
      <c r="Q54" s="2"/>
      <c r="T54" s="93" t="s">
        <v>110</v>
      </c>
      <c r="U54" s="90">
        <v>2877060</v>
      </c>
      <c r="W54" s="133">
        <v>42601</v>
      </c>
      <c r="X54" s="10">
        <v>19.170000000000002</v>
      </c>
      <c r="Y54" s="10">
        <v>19.64</v>
      </c>
      <c r="Z54" s="10">
        <v>18.97</v>
      </c>
      <c r="AA54" s="10">
        <v>19.47</v>
      </c>
      <c r="AB54" s="95">
        <v>2732400</v>
      </c>
      <c r="AC54" s="10">
        <v>19.47</v>
      </c>
      <c r="AD54" s="2">
        <f t="shared" si="0"/>
        <v>0.67000000000000171</v>
      </c>
      <c r="AE54" s="138">
        <f t="shared" si="1"/>
        <v>1.2480499219968744E-2</v>
      </c>
    </row>
    <row r="55" spans="1:31" x14ac:dyDescent="0.25">
      <c r="A55" s="384"/>
      <c r="B55" s="383">
        <v>42209</v>
      </c>
      <c r="C55" s="384">
        <v>50</v>
      </c>
      <c r="D55" s="385">
        <v>19.75</v>
      </c>
      <c r="E55" s="385">
        <v>0</v>
      </c>
      <c r="F55" s="385">
        <f t="shared" si="7"/>
        <v>987.5</v>
      </c>
      <c r="G55" s="384"/>
      <c r="H55" s="384"/>
      <c r="I55" s="384"/>
      <c r="J55" s="384"/>
      <c r="K55" s="384"/>
      <c r="L55" s="384"/>
      <c r="M55" s="384"/>
      <c r="O55" s="83">
        <v>1</v>
      </c>
      <c r="P55" s="83">
        <f t="shared" si="5"/>
        <v>14.67</v>
      </c>
      <c r="Q55" s="2"/>
      <c r="T55" s="93" t="s">
        <v>108</v>
      </c>
      <c r="U55" s="88" t="s">
        <v>511</v>
      </c>
      <c r="W55" s="133">
        <v>42600</v>
      </c>
      <c r="X55" s="10">
        <v>18.53</v>
      </c>
      <c r="Y55" s="10">
        <v>19.32</v>
      </c>
      <c r="Z55" s="10">
        <v>18.43</v>
      </c>
      <c r="AA55" s="10">
        <v>19.23</v>
      </c>
      <c r="AB55" s="95">
        <v>2836800</v>
      </c>
      <c r="AC55" s="10">
        <v>19.23</v>
      </c>
      <c r="AD55" s="2">
        <f t="shared" si="0"/>
        <v>0.89000000000000057</v>
      </c>
      <c r="AE55" s="138">
        <f t="shared" si="1"/>
        <v>4.0584415584415501E-2</v>
      </c>
    </row>
    <row r="56" spans="1:31" x14ac:dyDescent="0.25">
      <c r="A56" s="384"/>
      <c r="B56" s="383">
        <v>42212</v>
      </c>
      <c r="C56" s="384">
        <v>30</v>
      </c>
      <c r="D56" s="385">
        <v>19.2</v>
      </c>
      <c r="E56" s="385">
        <v>0</v>
      </c>
      <c r="F56" s="385">
        <f t="shared" si="7"/>
        <v>576</v>
      </c>
      <c r="G56" s="384"/>
      <c r="H56" s="384"/>
      <c r="I56" s="384"/>
      <c r="J56" s="384"/>
      <c r="K56" s="384"/>
      <c r="L56" s="384"/>
      <c r="M56" s="384"/>
      <c r="O56" s="83">
        <v>0.99</v>
      </c>
      <c r="P56" s="83">
        <f t="shared" si="5"/>
        <v>14.523299999999999</v>
      </c>
      <c r="Q56" s="2"/>
      <c r="T56" s="93" t="s">
        <v>111</v>
      </c>
      <c r="U56" s="88">
        <v>18.36</v>
      </c>
      <c r="W56" s="133">
        <v>42599</v>
      </c>
      <c r="X56" s="10">
        <v>18.75</v>
      </c>
      <c r="Y56" s="10">
        <v>18.87</v>
      </c>
      <c r="Z56" s="10">
        <v>18.47</v>
      </c>
      <c r="AA56" s="10">
        <v>18.48</v>
      </c>
      <c r="AB56" s="95">
        <v>1544700</v>
      </c>
      <c r="AC56" s="10">
        <v>18.48</v>
      </c>
      <c r="AD56" s="2">
        <f t="shared" si="0"/>
        <v>0.40000000000000213</v>
      </c>
      <c r="AE56" s="138">
        <f t="shared" si="1"/>
        <v>-1.5974440894568676E-2</v>
      </c>
    </row>
    <row r="57" spans="1:31" x14ac:dyDescent="0.25">
      <c r="A57" s="384"/>
      <c r="B57" s="383">
        <v>42240</v>
      </c>
      <c r="C57" s="384">
        <v>40</v>
      </c>
      <c r="D57" s="385">
        <v>19.93</v>
      </c>
      <c r="E57" s="385">
        <v>0</v>
      </c>
      <c r="F57" s="385">
        <f t="shared" si="7"/>
        <v>797.2</v>
      </c>
      <c r="G57" s="384"/>
      <c r="H57" s="384"/>
      <c r="I57" s="384"/>
      <c r="J57" s="384"/>
      <c r="K57" s="384"/>
      <c r="L57" s="384"/>
      <c r="M57" s="384"/>
      <c r="O57" s="83">
        <v>0.98</v>
      </c>
      <c r="P57" s="83">
        <f t="shared" si="5"/>
        <v>14.3766</v>
      </c>
      <c r="Q57" s="2"/>
      <c r="T57" s="93" t="s">
        <v>112</v>
      </c>
      <c r="U57" s="88">
        <v>0.8</v>
      </c>
      <c r="W57" s="133">
        <v>42598</v>
      </c>
      <c r="X57" s="10">
        <v>18.87</v>
      </c>
      <c r="Y57" s="10">
        <v>19.03</v>
      </c>
      <c r="Z57" s="10">
        <v>18.66</v>
      </c>
      <c r="AA57" s="10">
        <v>18.78</v>
      </c>
      <c r="AB57" s="95">
        <v>2066800</v>
      </c>
      <c r="AC57" s="10">
        <v>18.78</v>
      </c>
      <c r="AD57" s="2">
        <f t="shared" si="0"/>
        <v>0.37000000000000099</v>
      </c>
      <c r="AE57" s="138">
        <f t="shared" si="1"/>
        <v>-5.8231868713605195E-3</v>
      </c>
    </row>
    <row r="58" spans="1:31" x14ac:dyDescent="0.25">
      <c r="A58" s="384"/>
      <c r="B58" s="383">
        <v>42261</v>
      </c>
      <c r="C58" s="384">
        <v>120</v>
      </c>
      <c r="D58" s="385">
        <v>18.7</v>
      </c>
      <c r="E58" s="385">
        <v>0</v>
      </c>
      <c r="F58" s="385">
        <f t="shared" si="7"/>
        <v>2244</v>
      </c>
      <c r="G58" s="384"/>
      <c r="H58" s="384"/>
      <c r="I58" s="384"/>
      <c r="J58" s="384"/>
      <c r="K58" s="384"/>
      <c r="L58" s="384"/>
      <c r="M58" s="384"/>
      <c r="O58" s="83">
        <v>0.97</v>
      </c>
      <c r="P58" s="83">
        <f t="shared" si="5"/>
        <v>14.229899999999999</v>
      </c>
      <c r="T58" s="93" t="s">
        <v>109</v>
      </c>
      <c r="U58" s="88" t="s">
        <v>123</v>
      </c>
      <c r="W58" s="133">
        <v>42597</v>
      </c>
      <c r="X58" s="10">
        <v>19.05</v>
      </c>
      <c r="Y58" s="10">
        <v>19.53</v>
      </c>
      <c r="Z58" s="10">
        <v>18.82</v>
      </c>
      <c r="AA58" s="10">
        <v>18.89</v>
      </c>
      <c r="AB58" s="95">
        <v>3494400</v>
      </c>
      <c r="AC58" s="10">
        <v>18.89</v>
      </c>
      <c r="AD58" s="2">
        <f t="shared" si="0"/>
        <v>0.71000000000000085</v>
      </c>
      <c r="AE58" s="138">
        <f t="shared" si="1"/>
        <v>-3.1662269129286713E-3</v>
      </c>
    </row>
    <row r="59" spans="1:31" x14ac:dyDescent="0.25">
      <c r="A59" s="384"/>
      <c r="B59" s="383">
        <v>42349</v>
      </c>
      <c r="C59" s="384">
        <v>60</v>
      </c>
      <c r="D59" s="385">
        <v>18.04</v>
      </c>
      <c r="E59" s="385">
        <v>0</v>
      </c>
      <c r="F59" s="385">
        <f t="shared" si="7"/>
        <v>1082.3999999999999</v>
      </c>
      <c r="G59" s="384"/>
      <c r="H59" s="384"/>
      <c r="I59" s="384"/>
      <c r="J59" s="384"/>
      <c r="K59" s="384"/>
      <c r="L59" s="384"/>
      <c r="M59" s="384"/>
      <c r="O59" s="83">
        <v>0.96</v>
      </c>
      <c r="P59" s="83">
        <f t="shared" si="5"/>
        <v>14.0832</v>
      </c>
      <c r="W59" s="133">
        <v>42594</v>
      </c>
      <c r="X59" s="10">
        <v>18.309999999999999</v>
      </c>
      <c r="Y59" s="10">
        <v>19.2</v>
      </c>
      <c r="Z59" s="10">
        <v>18.260000000000002</v>
      </c>
      <c r="AA59" s="10">
        <v>18.95</v>
      </c>
      <c r="AB59" s="95">
        <v>4684100</v>
      </c>
      <c r="AC59" s="10">
        <v>18.95</v>
      </c>
      <c r="AD59" s="2">
        <f t="shared" si="0"/>
        <v>0.93999999999999773</v>
      </c>
      <c r="AE59" s="138">
        <f t="shared" si="1"/>
        <v>1.8269747447608786E-2</v>
      </c>
    </row>
    <row r="60" spans="1:31" x14ac:dyDescent="0.25">
      <c r="A60" s="384"/>
      <c r="B60" s="383">
        <v>42362</v>
      </c>
      <c r="C60" s="384">
        <v>120</v>
      </c>
      <c r="D60" s="385">
        <v>17.079999999999998</v>
      </c>
      <c r="E60" s="385">
        <v>0</v>
      </c>
      <c r="F60" s="385">
        <f t="shared" si="7"/>
        <v>2049.6</v>
      </c>
      <c r="G60" s="384"/>
      <c r="H60" s="384"/>
      <c r="I60" s="384"/>
      <c r="J60" s="384"/>
      <c r="K60" s="384"/>
      <c r="L60" s="384"/>
      <c r="M60" s="384"/>
      <c r="O60" s="83">
        <v>0.95</v>
      </c>
      <c r="P60" s="83">
        <f t="shared" si="5"/>
        <v>13.936499999999999</v>
      </c>
      <c r="W60" s="133">
        <v>42593</v>
      </c>
      <c r="X60" s="10">
        <v>17.54</v>
      </c>
      <c r="Y60" s="10">
        <v>18.690000000000001</v>
      </c>
      <c r="Z60" s="10">
        <v>17.5</v>
      </c>
      <c r="AA60" s="10">
        <v>18.61</v>
      </c>
      <c r="AB60" s="95">
        <v>6094800</v>
      </c>
      <c r="AC60" s="10">
        <v>18.61</v>
      </c>
      <c r="AD60" s="2">
        <f t="shared" si="0"/>
        <v>1.1900000000000013</v>
      </c>
      <c r="AE60" s="138">
        <f t="shared" si="1"/>
        <v>8.2606166375799761E-2</v>
      </c>
    </row>
    <row r="61" spans="1:31" x14ac:dyDescent="0.25">
      <c r="A61" s="384"/>
      <c r="B61" s="383">
        <v>42409</v>
      </c>
      <c r="C61" s="384">
        <v>60</v>
      </c>
      <c r="D61" s="385">
        <v>15.45</v>
      </c>
      <c r="E61" s="385">
        <v>0</v>
      </c>
      <c r="F61" s="385">
        <f t="shared" si="7"/>
        <v>927</v>
      </c>
      <c r="G61" s="384"/>
      <c r="H61" s="384"/>
      <c r="I61" s="384"/>
      <c r="J61" s="384"/>
      <c r="K61" s="384"/>
      <c r="L61" s="384"/>
      <c r="M61" s="384"/>
      <c r="O61" s="83">
        <v>0.94</v>
      </c>
      <c r="P61" s="83">
        <f t="shared" si="5"/>
        <v>13.7898</v>
      </c>
      <c r="W61" s="133">
        <v>42592</v>
      </c>
      <c r="X61" s="10">
        <v>17.41</v>
      </c>
      <c r="Y61" s="10">
        <v>17.61</v>
      </c>
      <c r="Z61" s="10">
        <v>17.100000000000001</v>
      </c>
      <c r="AA61" s="10">
        <v>17.190000000000001</v>
      </c>
      <c r="AB61" s="95">
        <v>2634300</v>
      </c>
      <c r="AC61" s="10">
        <v>17.190000000000001</v>
      </c>
      <c r="AD61" s="2">
        <f t="shared" si="0"/>
        <v>0.50999999999999801</v>
      </c>
      <c r="AE61" s="138">
        <f t="shared" si="1"/>
        <v>-6.9324090121315463E-3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4"/>
      <c r="I62" s="384"/>
      <c r="J62" s="384"/>
      <c r="K62" s="384"/>
      <c r="L62" s="384"/>
      <c r="M62" s="384"/>
      <c r="O62" s="83">
        <v>0.93</v>
      </c>
      <c r="P62" s="83">
        <f t="shared" si="5"/>
        <v>13.6431</v>
      </c>
      <c r="W62" s="133">
        <v>42591</v>
      </c>
      <c r="X62" s="10">
        <v>17.260000000000002</v>
      </c>
      <c r="Y62" s="10">
        <v>17.59</v>
      </c>
      <c r="Z62" s="10">
        <v>16.86</v>
      </c>
      <c r="AA62" s="10">
        <v>17.309999999999999</v>
      </c>
      <c r="AB62" s="95">
        <v>3205500</v>
      </c>
      <c r="AC62" s="10">
        <v>17.309999999999999</v>
      </c>
      <c r="AD62" s="2">
        <f t="shared" si="0"/>
        <v>0.73000000000000043</v>
      </c>
      <c r="AE62" s="138">
        <f t="shared" si="1"/>
        <v>-8.5910652920963004E-3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4"/>
      <c r="I63" s="384"/>
      <c r="J63" s="384"/>
      <c r="K63" s="384"/>
      <c r="L63" s="384"/>
      <c r="M63" s="384"/>
      <c r="O63" s="83">
        <v>0.92</v>
      </c>
      <c r="P63" s="83">
        <f t="shared" si="5"/>
        <v>13.496400000000001</v>
      </c>
      <c r="W63" s="133">
        <v>42590</v>
      </c>
      <c r="X63" s="10">
        <v>17.5</v>
      </c>
      <c r="Y63" s="10">
        <v>17.93</v>
      </c>
      <c r="Z63" s="10">
        <v>17.22</v>
      </c>
      <c r="AA63" s="10">
        <v>17.46</v>
      </c>
      <c r="AB63" s="95">
        <v>3147700</v>
      </c>
      <c r="AC63" s="10">
        <v>17.46</v>
      </c>
      <c r="AD63" s="2">
        <f t="shared" si="0"/>
        <v>0.71000000000000085</v>
      </c>
      <c r="AE63" s="138">
        <f t="shared" si="1"/>
        <v>-5.12820512820511E-3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13.3497</v>
      </c>
      <c r="W64" s="133">
        <v>42587</v>
      </c>
      <c r="X64" s="10">
        <v>17</v>
      </c>
      <c r="Y64" s="10">
        <v>17.68</v>
      </c>
      <c r="Z64" s="10">
        <v>16.95</v>
      </c>
      <c r="AA64" s="10">
        <v>17.55</v>
      </c>
      <c r="AB64" s="95">
        <v>5158200</v>
      </c>
      <c r="AC64" s="10">
        <v>17.55</v>
      </c>
      <c r="AD64" s="2">
        <f t="shared" si="0"/>
        <v>0.73000000000000043</v>
      </c>
      <c r="AE64" s="138">
        <f t="shared" si="1"/>
        <v>4.4642857142857206E-2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4"/>
      <c r="J65" s="384"/>
      <c r="K65" s="384"/>
      <c r="L65" s="384"/>
      <c r="M65" s="384"/>
      <c r="O65" s="83">
        <v>0.9</v>
      </c>
      <c r="P65" s="83">
        <f t="shared" si="5"/>
        <v>13.202999999999999</v>
      </c>
      <c r="W65" s="133">
        <v>42586</v>
      </c>
      <c r="X65" s="10">
        <v>16.559999999999999</v>
      </c>
      <c r="Y65" s="10">
        <v>17.350000000000001</v>
      </c>
      <c r="Z65" s="10">
        <v>16.52</v>
      </c>
      <c r="AA65" s="10">
        <v>16.8</v>
      </c>
      <c r="AB65" s="95">
        <v>8193400</v>
      </c>
      <c r="AC65" s="10">
        <v>16.8</v>
      </c>
      <c r="AD65" s="2">
        <f t="shared" si="0"/>
        <v>0.83000000000000185</v>
      </c>
      <c r="AE65" s="138">
        <f t="shared" si="1"/>
        <v>2.0036429872495543E-2</v>
      </c>
    </row>
    <row r="66" spans="1:31" x14ac:dyDescent="0.25">
      <c r="O66" s="34"/>
      <c r="W66" s="133">
        <v>42585</v>
      </c>
      <c r="X66" s="10">
        <v>20.14</v>
      </c>
      <c r="Y66" s="10">
        <v>20.14</v>
      </c>
      <c r="Z66" s="10">
        <v>15.66</v>
      </c>
      <c r="AA66" s="10">
        <v>16.47</v>
      </c>
      <c r="AB66" s="95">
        <v>26308900</v>
      </c>
      <c r="AC66" s="10">
        <v>16.47</v>
      </c>
      <c r="AD66" s="2">
        <f t="shared" si="0"/>
        <v>4.4800000000000004</v>
      </c>
      <c r="AE66" s="138">
        <f t="shared" si="1"/>
        <v>-0.18222442899702096</v>
      </c>
    </row>
    <row r="67" spans="1:31" x14ac:dyDescent="0.25">
      <c r="W67" s="133">
        <v>42584</v>
      </c>
      <c r="X67" s="10">
        <v>21.46</v>
      </c>
      <c r="Y67" s="10">
        <v>21.55</v>
      </c>
      <c r="Z67" s="10">
        <v>20.07</v>
      </c>
      <c r="AA67" s="10">
        <v>20.14</v>
      </c>
      <c r="AB67" s="95">
        <v>3886900</v>
      </c>
      <c r="AC67" s="10">
        <v>20.14</v>
      </c>
      <c r="AD67" s="2">
        <f>Y67-Z67</f>
        <v>1.4800000000000004</v>
      </c>
      <c r="AE67" s="138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93" priority="27">
      <formula>F27&gt;0</formula>
    </cfRule>
    <cfRule type="expression" dxfId="292" priority="28">
      <formula>F27&lt;0</formula>
    </cfRule>
  </conditionalFormatting>
  <conditionalFormatting sqref="F29:F33">
    <cfRule type="expression" dxfId="291" priority="23">
      <formula>F29&gt;0</formula>
    </cfRule>
    <cfRule type="expression" dxfId="290" priority="24">
      <formula>F29&lt;0</formula>
    </cfRule>
  </conditionalFormatting>
  <conditionalFormatting sqref="F29:F32">
    <cfRule type="expression" dxfId="289" priority="25">
      <formula>F29&gt;0</formula>
    </cfRule>
    <cfRule type="expression" dxfId="288" priority="26">
      <formula>F29&lt;0</formula>
    </cfRule>
  </conditionalFormatting>
  <conditionalFormatting sqref="H27:H33">
    <cfRule type="expression" dxfId="287" priority="21">
      <formula>H27&gt;0</formula>
    </cfRule>
    <cfRule type="expression" dxfId="286" priority="22">
      <formula>H27&lt;0</formula>
    </cfRule>
  </conditionalFormatting>
  <conditionalFormatting sqref="F34">
    <cfRule type="expression" dxfId="285" priority="19">
      <formula>F34&gt;0</formula>
    </cfRule>
    <cfRule type="expression" dxfId="284" priority="20">
      <formula>F34&lt;0</formula>
    </cfRule>
  </conditionalFormatting>
  <conditionalFormatting sqref="H34">
    <cfRule type="expression" dxfId="283" priority="17">
      <formula>H34&gt;0</formula>
    </cfRule>
    <cfRule type="expression" dxfId="282" priority="18">
      <formula>H34&lt;0</formula>
    </cfRule>
  </conditionalFormatting>
  <conditionalFormatting sqref="F36:F43">
    <cfRule type="expression" dxfId="281" priority="15">
      <formula>F36&gt;0</formula>
    </cfRule>
    <cfRule type="expression" dxfId="280" priority="16">
      <formula>F36&lt;0</formula>
    </cfRule>
  </conditionalFormatting>
  <conditionalFormatting sqref="H36:H43">
    <cfRule type="expression" dxfId="279" priority="13">
      <formula>H36&gt;0</formula>
    </cfRule>
    <cfRule type="expression" dxfId="278" priority="14">
      <formula>H36&lt;0</formula>
    </cfRule>
  </conditionalFormatting>
  <conditionalFormatting sqref="F35">
    <cfRule type="expression" dxfId="277" priority="11">
      <formula>F35&gt;0</formula>
    </cfRule>
    <cfRule type="expression" dxfId="276" priority="12">
      <formula>F35&lt;0</formula>
    </cfRule>
  </conditionalFormatting>
  <conditionalFormatting sqref="H35">
    <cfRule type="expression" dxfId="275" priority="9">
      <formula>H35&gt;0</formula>
    </cfRule>
    <cfRule type="expression" dxfId="274" priority="10">
      <formula>H35&lt;0</formula>
    </cfRule>
  </conditionalFormatting>
  <conditionalFormatting sqref="F22:F26">
    <cfRule type="expression" dxfId="273" priority="7">
      <formula>F22&gt;0</formula>
    </cfRule>
    <cfRule type="expression" dxfId="272" priority="8">
      <formula>F22&lt;0</formula>
    </cfRule>
  </conditionalFormatting>
  <conditionalFormatting sqref="H22:H26">
    <cfRule type="expression" dxfId="271" priority="5">
      <formula>H22&gt;0</formula>
    </cfRule>
    <cfRule type="expression" dxfId="270" priority="6">
      <formula>H22&lt;0</formula>
    </cfRule>
  </conditionalFormatting>
  <conditionalFormatting sqref="Q8">
    <cfRule type="expression" dxfId="269" priority="1">
      <formula>Q8&gt;0</formula>
    </cfRule>
    <cfRule type="expression" dxfId="268" priority="2">
      <formula>Q8&lt;0</formula>
    </cfRule>
  </conditionalFormatting>
  <conditionalFormatting sqref="Q7">
    <cfRule type="expression" dxfId="267" priority="3">
      <formula>Q7&gt;0</formula>
    </cfRule>
    <cfRule type="expression" dxfId="266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42578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179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42676</v>
      </c>
      <c r="X2" s="10">
        <v>48.16</v>
      </c>
      <c r="Y2" s="10">
        <v>48.23</v>
      </c>
      <c r="Z2" s="10">
        <v>47.65</v>
      </c>
      <c r="AA2" s="10">
        <v>47.65</v>
      </c>
      <c r="AB2" s="95">
        <v>4622700</v>
      </c>
      <c r="AC2" s="10">
        <v>47.65</v>
      </c>
      <c r="AD2" s="2">
        <f>Y2-Z2</f>
        <v>0.57999999999999829</v>
      </c>
      <c r="AE2" s="138">
        <f>AC2/AC3-1</f>
        <v>-1.0589700996677665E-2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47.65</v>
      </c>
      <c r="T3" s="1">
        <v>42312</v>
      </c>
      <c r="U3" t="s">
        <v>151</v>
      </c>
      <c r="W3" s="133">
        <v>42675</v>
      </c>
      <c r="X3" s="10">
        <v>48.56</v>
      </c>
      <c r="Y3" s="10">
        <v>49.44</v>
      </c>
      <c r="Z3" s="10">
        <v>47.63</v>
      </c>
      <c r="AA3" s="10">
        <v>48.16</v>
      </c>
      <c r="AB3" s="95">
        <v>6953500</v>
      </c>
      <c r="AC3" s="10">
        <v>48.16</v>
      </c>
      <c r="AD3" s="2">
        <f t="shared" ref="AD3:AD66" si="0">Y3-Z3</f>
        <v>1.8099999999999952</v>
      </c>
      <c r="AE3" s="138">
        <f t="shared" ref="AE3:AE66" si="1">AC3/AC4-1</f>
        <v>2.9154518950436081E-3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47.65</v>
      </c>
      <c r="R4" s="527">
        <v>-1.06E-2</v>
      </c>
      <c r="W4" s="133">
        <v>42674</v>
      </c>
      <c r="X4" s="10">
        <v>49.68</v>
      </c>
      <c r="Y4" s="10">
        <v>49.89</v>
      </c>
      <c r="Z4" s="10">
        <v>47.86</v>
      </c>
      <c r="AA4" s="10">
        <v>48.02</v>
      </c>
      <c r="AB4" s="95">
        <v>7580600</v>
      </c>
      <c r="AC4" s="10">
        <v>48.02</v>
      </c>
      <c r="AD4" s="2">
        <f t="shared" si="0"/>
        <v>2.0300000000000011</v>
      </c>
      <c r="AE4" s="138">
        <f t="shared" si="1"/>
        <v>-2.7935222672064719E-2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42671</v>
      </c>
      <c r="X5" s="10">
        <v>49.06</v>
      </c>
      <c r="Y5" s="10">
        <v>50.32</v>
      </c>
      <c r="Z5" s="10">
        <v>48.75</v>
      </c>
      <c r="AA5" s="10">
        <v>49.4</v>
      </c>
      <c r="AB5" s="95">
        <v>10896400</v>
      </c>
      <c r="AC5" s="10">
        <v>49.4</v>
      </c>
      <c r="AD5" s="2">
        <f t="shared" si="0"/>
        <v>1.5700000000000003</v>
      </c>
      <c r="AE5" s="138">
        <f t="shared" si="1"/>
        <v>-1.5936254980079778E-2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42670</v>
      </c>
      <c r="X6" s="10">
        <v>51</v>
      </c>
      <c r="Y6" s="10">
        <v>51.48</v>
      </c>
      <c r="Z6" s="10">
        <v>50.03</v>
      </c>
      <c r="AA6" s="10">
        <v>50.2</v>
      </c>
      <c r="AB6" s="95">
        <v>4225500</v>
      </c>
      <c r="AC6" s="10">
        <v>50.2</v>
      </c>
      <c r="AD6" s="2">
        <f t="shared" si="0"/>
        <v>1.4499999999999957</v>
      </c>
      <c r="AE6" s="138">
        <f t="shared" si="1"/>
        <v>-1.2976799056232724E-2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184</v>
      </c>
      <c r="Q7" s="2">
        <f>Q10+Q8</f>
        <v>75.019999999999982</v>
      </c>
      <c r="R7">
        <v>0</v>
      </c>
      <c r="W7" s="133">
        <v>42669</v>
      </c>
      <c r="X7" s="10">
        <v>51.52</v>
      </c>
      <c r="Y7" s="10">
        <v>51.6</v>
      </c>
      <c r="Z7" s="10">
        <v>50.82</v>
      </c>
      <c r="AA7" s="10">
        <v>50.86</v>
      </c>
      <c r="AB7" s="95">
        <v>3797900</v>
      </c>
      <c r="AC7" s="10">
        <v>50.86</v>
      </c>
      <c r="AD7" s="2">
        <f t="shared" si="0"/>
        <v>0.78000000000000114</v>
      </c>
      <c r="AE7" s="138">
        <f t="shared" si="1"/>
        <v>-1.4913809800503608E-2</v>
      </c>
    </row>
    <row r="8" spans="1:41" x14ac:dyDescent="0.25">
      <c r="O8" s="11" t="s">
        <v>187</v>
      </c>
      <c r="P8" s="34"/>
      <c r="Q8" s="2">
        <f>K18+M18-F18+Q2*Q4</f>
        <v>0</v>
      </c>
      <c r="W8" s="133">
        <v>42668</v>
      </c>
      <c r="X8" s="10">
        <v>52.22</v>
      </c>
      <c r="Y8" s="10">
        <v>52.4</v>
      </c>
      <c r="Z8" s="10">
        <v>51.52</v>
      </c>
      <c r="AA8" s="10">
        <v>51.63</v>
      </c>
      <c r="AB8" s="95">
        <v>2280800</v>
      </c>
      <c r="AC8" s="10">
        <v>51.63</v>
      </c>
      <c r="AD8" s="2">
        <f t="shared" si="0"/>
        <v>0.87999999999999545</v>
      </c>
      <c r="AE8" s="138">
        <f t="shared" si="1"/>
        <v>-1.6196646341463339E-2</v>
      </c>
    </row>
    <row r="9" spans="1:41" x14ac:dyDescent="0.25">
      <c r="O9" s="11" t="s">
        <v>219</v>
      </c>
      <c r="Q9" s="138">
        <f>IF(Q2=0, 0, Q8/Q6)</f>
        <v>0</v>
      </c>
      <c r="W9" s="133">
        <v>42667</v>
      </c>
      <c r="X9" s="10">
        <v>52.86</v>
      </c>
      <c r="Y9" s="10">
        <v>53.22</v>
      </c>
      <c r="Z9" s="10">
        <v>52.37</v>
      </c>
      <c r="AA9" s="10">
        <v>52.48</v>
      </c>
      <c r="AB9" s="95">
        <v>2804600</v>
      </c>
      <c r="AC9" s="10">
        <v>52.48</v>
      </c>
      <c r="AD9" s="2">
        <f t="shared" si="0"/>
        <v>0.85000000000000142</v>
      </c>
      <c r="AE9" s="138">
        <f t="shared" si="1"/>
        <v>-3.8095238095248174E-4</v>
      </c>
    </row>
    <row r="10" spans="1:41" x14ac:dyDescent="0.25">
      <c r="O10" s="11" t="s">
        <v>218</v>
      </c>
      <c r="P10" s="34"/>
      <c r="Q10" s="2">
        <f>M36</f>
        <v>75.019999999999982</v>
      </c>
      <c r="W10" s="133">
        <v>42664</v>
      </c>
      <c r="X10" s="10">
        <v>52.13</v>
      </c>
      <c r="Y10" s="10">
        <v>52.7</v>
      </c>
      <c r="Z10" s="10">
        <v>51.98</v>
      </c>
      <c r="AA10" s="10">
        <v>52.5</v>
      </c>
      <c r="AB10" s="95">
        <v>2486000</v>
      </c>
      <c r="AC10" s="10">
        <v>52.5</v>
      </c>
      <c r="AD10" s="2">
        <f t="shared" si="0"/>
        <v>0.72000000000000597</v>
      </c>
      <c r="AE10" s="138">
        <f t="shared" si="1"/>
        <v>5.717552887365418E-4</v>
      </c>
    </row>
    <row r="11" spans="1:41" x14ac:dyDescent="0.25">
      <c r="O11" s="11" t="s">
        <v>181</v>
      </c>
      <c r="P11" s="34"/>
      <c r="Q11" s="138">
        <f>IF(U58="N/A (N/A)", 0, VALUE(TRIM(CLEAN(MID(U58, FIND("(", U58)+1, 5)))))</f>
        <v>1.54E-2</v>
      </c>
      <c r="W11" s="133">
        <v>42663</v>
      </c>
      <c r="X11" s="10">
        <v>52.65</v>
      </c>
      <c r="Y11" s="10">
        <v>52.7</v>
      </c>
      <c r="Z11" s="10">
        <v>52.08</v>
      </c>
      <c r="AA11" s="10">
        <v>52.47</v>
      </c>
      <c r="AB11" s="95">
        <v>1943300</v>
      </c>
      <c r="AC11" s="10">
        <v>52.47</v>
      </c>
      <c r="AD11" s="2">
        <f t="shared" si="0"/>
        <v>0.62000000000000455</v>
      </c>
      <c r="AE11" s="138">
        <f t="shared" si="1"/>
        <v>-2.661091047329367E-3</v>
      </c>
    </row>
    <row r="12" spans="1:41" x14ac:dyDescent="0.25">
      <c r="W12" s="133">
        <v>42662</v>
      </c>
      <c r="X12" s="10">
        <v>52.85</v>
      </c>
      <c r="Y12" s="10">
        <v>52.98</v>
      </c>
      <c r="Z12" s="10">
        <v>52.37</v>
      </c>
      <c r="AA12" s="10">
        <v>52.61</v>
      </c>
      <c r="AB12" s="95">
        <v>1988800</v>
      </c>
      <c r="AC12" s="10">
        <v>52.61</v>
      </c>
      <c r="AD12" s="2">
        <f t="shared" si="0"/>
        <v>0.60999999999999943</v>
      </c>
      <c r="AE12" s="138">
        <f t="shared" si="1"/>
        <v>-1.3287775246773048E-3</v>
      </c>
    </row>
    <row r="13" spans="1:41" x14ac:dyDescent="0.25">
      <c r="W13" s="133">
        <v>42661</v>
      </c>
      <c r="X13" s="10">
        <v>52.9</v>
      </c>
      <c r="Y13" s="10">
        <v>53.01</v>
      </c>
      <c r="Z13" s="10">
        <v>52.27</v>
      </c>
      <c r="AA13" s="10">
        <v>52.68</v>
      </c>
      <c r="AB13" s="95">
        <v>2645500</v>
      </c>
      <c r="AC13" s="10">
        <v>52.68</v>
      </c>
      <c r="AD13" s="2">
        <f t="shared" si="0"/>
        <v>0.73999999999999488</v>
      </c>
      <c r="AE13" s="138">
        <f t="shared" si="1"/>
        <v>5.1516886090441361E-3</v>
      </c>
    </row>
    <row r="14" spans="1:41" x14ac:dyDescent="0.25">
      <c r="W14" s="133">
        <v>42660</v>
      </c>
      <c r="X14" s="10">
        <v>52.25</v>
      </c>
      <c r="Y14" s="10">
        <v>52.49</v>
      </c>
      <c r="Z14" s="10">
        <v>51.97</v>
      </c>
      <c r="AA14" s="10">
        <v>52.41</v>
      </c>
      <c r="AB14" s="95">
        <v>2958000</v>
      </c>
      <c r="AC14" s="10">
        <v>52.41</v>
      </c>
      <c r="AD14" s="2">
        <f t="shared" si="0"/>
        <v>0.52000000000000313</v>
      </c>
      <c r="AE14" s="138">
        <f t="shared" si="1"/>
        <v>3.0622009569376551E-3</v>
      </c>
    </row>
    <row r="15" spans="1:41" x14ac:dyDescent="0.25">
      <c r="W15" s="133">
        <v>42657</v>
      </c>
      <c r="X15" s="10">
        <v>52.44</v>
      </c>
      <c r="Y15" s="10">
        <v>52.92</v>
      </c>
      <c r="Z15" s="10">
        <v>52.23</v>
      </c>
      <c r="AA15" s="10">
        <v>52.25</v>
      </c>
      <c r="AB15" s="95">
        <v>2889100</v>
      </c>
      <c r="AC15" s="10">
        <v>52.25</v>
      </c>
      <c r="AD15" s="2">
        <f t="shared" si="0"/>
        <v>0.69000000000000483</v>
      </c>
      <c r="AE15" s="138">
        <f t="shared" si="1"/>
        <v>2.4942440521873444E-3</v>
      </c>
    </row>
    <row r="16" spans="1:41" x14ac:dyDescent="0.25">
      <c r="W16" s="133">
        <v>42656</v>
      </c>
      <c r="X16" s="10">
        <v>50.91</v>
      </c>
      <c r="Y16" s="10">
        <v>52.26</v>
      </c>
      <c r="Z16" s="10">
        <v>50.52</v>
      </c>
      <c r="AA16" s="10">
        <v>52.12</v>
      </c>
      <c r="AB16" s="95">
        <v>4108800</v>
      </c>
      <c r="AC16" s="10">
        <v>52.12</v>
      </c>
      <c r="AD16" s="2">
        <f t="shared" si="0"/>
        <v>1.7399999999999949</v>
      </c>
      <c r="AE16" s="138">
        <f t="shared" si="1"/>
        <v>1.3613380007778897E-2</v>
      </c>
    </row>
    <row r="17" spans="1:31" x14ac:dyDescent="0.25">
      <c r="W17" s="133">
        <v>42655</v>
      </c>
      <c r="X17" s="10">
        <v>50.74</v>
      </c>
      <c r="Y17" s="10">
        <v>51.73</v>
      </c>
      <c r="Z17" s="10">
        <v>50.35</v>
      </c>
      <c r="AA17" s="10">
        <v>51.42</v>
      </c>
      <c r="AB17" s="95">
        <v>4709400</v>
      </c>
      <c r="AC17" s="10">
        <v>51.42</v>
      </c>
      <c r="AD17" s="2">
        <f t="shared" si="0"/>
        <v>1.3799999999999955</v>
      </c>
      <c r="AE17" s="138">
        <f t="shared" si="1"/>
        <v>2.1454112038140627E-2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42654</v>
      </c>
      <c r="X18" s="10">
        <v>51.25</v>
      </c>
      <c r="Y18" s="10">
        <v>51.38</v>
      </c>
      <c r="Z18" s="10">
        <v>50.25</v>
      </c>
      <c r="AA18" s="10">
        <v>50.34</v>
      </c>
      <c r="AB18" s="95">
        <v>5147600</v>
      </c>
      <c r="AC18" s="10">
        <v>50.34</v>
      </c>
      <c r="AD18" s="2">
        <f t="shared" si="0"/>
        <v>1.1300000000000026</v>
      </c>
      <c r="AE18" s="138">
        <f t="shared" si="1"/>
        <v>-1.9477989871445223E-2</v>
      </c>
    </row>
    <row r="19" spans="1:31" x14ac:dyDescent="0.25">
      <c r="G19" s="2"/>
      <c r="W19" s="133">
        <v>42653</v>
      </c>
      <c r="X19" s="10">
        <v>52.24</v>
      </c>
      <c r="Y19" s="10">
        <v>52.43</v>
      </c>
      <c r="Z19" s="10">
        <v>51.32</v>
      </c>
      <c r="AA19" s="10">
        <v>51.34</v>
      </c>
      <c r="AB19" s="95">
        <v>3129900</v>
      </c>
      <c r="AC19" s="10">
        <v>51.34</v>
      </c>
      <c r="AD19" s="2">
        <f t="shared" si="0"/>
        <v>1.1099999999999994</v>
      </c>
      <c r="AE19" s="138">
        <f t="shared" si="1"/>
        <v>-1.0980543247928964E-2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5" t="s">
        <v>158</v>
      </c>
      <c r="W20" s="133">
        <v>42650</v>
      </c>
      <c r="X20" s="10">
        <v>52.5</v>
      </c>
      <c r="Y20" s="10">
        <v>52.5</v>
      </c>
      <c r="Z20" s="10">
        <v>51.64</v>
      </c>
      <c r="AA20" s="10">
        <v>51.91</v>
      </c>
      <c r="AB20" s="95">
        <v>2903500</v>
      </c>
      <c r="AC20" s="10">
        <v>51.91</v>
      </c>
      <c r="AD20" s="2">
        <f t="shared" si="0"/>
        <v>0.85999999999999943</v>
      </c>
      <c r="AE20" s="138">
        <f t="shared" si="1"/>
        <v>-7.8363914373089649E-3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42649</v>
      </c>
      <c r="X21" s="10">
        <v>52.54</v>
      </c>
      <c r="Y21" s="10">
        <v>52.65</v>
      </c>
      <c r="Z21" s="10">
        <v>51.89</v>
      </c>
      <c r="AA21" s="10">
        <v>52.32</v>
      </c>
      <c r="AB21" s="95">
        <v>2649500</v>
      </c>
      <c r="AC21" s="10">
        <v>52.32</v>
      </c>
      <c r="AD21" s="2">
        <f t="shared" si="0"/>
        <v>0.75999999999999801</v>
      </c>
      <c r="AE21" s="138">
        <f t="shared" si="1"/>
        <v>-4.7555640098915219E-3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42648</v>
      </c>
      <c r="X22" s="10">
        <v>52.03</v>
      </c>
      <c r="Y22" s="10">
        <v>52.79</v>
      </c>
      <c r="Z22" s="10">
        <v>51.82</v>
      </c>
      <c r="AA22" s="10">
        <v>52.57</v>
      </c>
      <c r="AB22" s="95">
        <v>3949700</v>
      </c>
      <c r="AC22" s="10">
        <v>52.57</v>
      </c>
      <c r="AD22" s="2">
        <f t="shared" si="0"/>
        <v>0.96999999999999886</v>
      </c>
      <c r="AE22" s="138">
        <f t="shared" si="1"/>
        <v>1.8798449612403179E-2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42647</v>
      </c>
      <c r="X23" s="10">
        <v>52.24</v>
      </c>
      <c r="Y23" s="10">
        <v>52.51</v>
      </c>
      <c r="Z23" s="10">
        <v>51.47</v>
      </c>
      <c r="AA23" s="10">
        <v>51.6</v>
      </c>
      <c r="AB23" s="95">
        <v>3375100</v>
      </c>
      <c r="AC23" s="10">
        <v>51.6</v>
      </c>
      <c r="AD23" s="2">
        <f t="shared" si="0"/>
        <v>1.0399999999999991</v>
      </c>
      <c r="AE23" s="138">
        <f t="shared" si="1"/>
        <v>-1.2440191387559807E-2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42646</v>
      </c>
      <c r="X24" s="10">
        <v>52.44</v>
      </c>
      <c r="Y24" s="10">
        <v>53.02</v>
      </c>
      <c r="Z24" s="10">
        <v>52.15</v>
      </c>
      <c r="AA24" s="10">
        <v>52.25</v>
      </c>
      <c r="AB24" s="95">
        <v>2941000</v>
      </c>
      <c r="AC24" s="10">
        <v>52.25</v>
      </c>
      <c r="AD24" s="2">
        <f t="shared" si="0"/>
        <v>0.87000000000000455</v>
      </c>
      <c r="AE24" s="138">
        <f t="shared" si="1"/>
        <v>-7.7857956703379916E-3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42643</v>
      </c>
      <c r="X25" s="10">
        <v>52.24</v>
      </c>
      <c r="Y25" s="10">
        <v>53.01</v>
      </c>
      <c r="Z25" s="10">
        <v>52</v>
      </c>
      <c r="AA25" s="10">
        <v>52.66</v>
      </c>
      <c r="AB25" s="95">
        <v>2738100</v>
      </c>
      <c r="AC25" s="10">
        <v>52.66</v>
      </c>
      <c r="AD25" s="2">
        <f t="shared" si="0"/>
        <v>1.009999999999998</v>
      </c>
      <c r="AE25" s="138">
        <f t="shared" si="1"/>
        <v>1.2497596616035445E-2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42642</v>
      </c>
      <c r="X26" s="10">
        <v>52.19</v>
      </c>
      <c r="Y26" s="10">
        <v>52.61</v>
      </c>
      <c r="Z26" s="10">
        <v>51.75</v>
      </c>
      <c r="AA26" s="10">
        <v>52.01</v>
      </c>
      <c r="AB26" s="95">
        <v>3706000</v>
      </c>
      <c r="AC26" s="10">
        <v>52.01</v>
      </c>
      <c r="AD26" s="2">
        <f t="shared" si="0"/>
        <v>0.85999999999999943</v>
      </c>
      <c r="AE26" s="138">
        <f t="shared" si="1"/>
        <v>-2.4932873034139158E-3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42641</v>
      </c>
      <c r="X27" s="10">
        <v>52.35</v>
      </c>
      <c r="Y27" s="10">
        <v>52.5</v>
      </c>
      <c r="Z27" s="10">
        <v>51.75</v>
      </c>
      <c r="AA27" s="10">
        <v>52.14</v>
      </c>
      <c r="AB27" s="95">
        <v>3478900</v>
      </c>
      <c r="AC27" s="10">
        <v>52.14</v>
      </c>
      <c r="AD27" s="2">
        <f t="shared" si="0"/>
        <v>0.75</v>
      </c>
      <c r="AE27" s="138">
        <f t="shared" si="1"/>
        <v>-4.961832061068705E-3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42640</v>
      </c>
      <c r="X28" s="10">
        <v>51.47</v>
      </c>
      <c r="Y28" s="10">
        <v>52.48</v>
      </c>
      <c r="Z28" s="10">
        <v>51.28</v>
      </c>
      <c r="AA28" s="10">
        <v>52.4</v>
      </c>
      <c r="AB28" s="95">
        <v>3972700</v>
      </c>
      <c r="AC28" s="10">
        <v>52.4</v>
      </c>
      <c r="AD28" s="2">
        <f t="shared" si="0"/>
        <v>1.1999999999999957</v>
      </c>
      <c r="AE28" s="138">
        <f t="shared" si="1"/>
        <v>2.0447906523855863E-2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42639</v>
      </c>
      <c r="X29" s="10">
        <v>51.67</v>
      </c>
      <c r="Y29" s="10">
        <v>51.72</v>
      </c>
      <c r="Z29" s="10">
        <v>51.32</v>
      </c>
      <c r="AA29" s="10">
        <v>51.35</v>
      </c>
      <c r="AB29" s="95">
        <v>2759800</v>
      </c>
      <c r="AC29" s="10">
        <v>51.35</v>
      </c>
      <c r="AD29" s="2">
        <f t="shared" si="0"/>
        <v>0.39999999999999858</v>
      </c>
      <c r="AE29" s="138">
        <f t="shared" si="1"/>
        <v>-1.1929959592072326E-2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42636</v>
      </c>
      <c r="X30" s="10">
        <v>52.51</v>
      </c>
      <c r="Y30" s="10">
        <v>52.61</v>
      </c>
      <c r="Z30" s="10">
        <v>51.97</v>
      </c>
      <c r="AA30" s="10">
        <v>51.97</v>
      </c>
      <c r="AB30" s="95">
        <v>2482700</v>
      </c>
      <c r="AC30" s="10">
        <v>51.97</v>
      </c>
      <c r="AD30" s="2">
        <f t="shared" si="0"/>
        <v>0.64000000000000057</v>
      </c>
      <c r="AE30" s="138">
        <f t="shared" si="1"/>
        <v>-7.4484339190221682E-3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189</v>
      </c>
      <c r="W31" s="133">
        <v>42635</v>
      </c>
      <c r="X31" s="10">
        <v>52.92</v>
      </c>
      <c r="Y31" s="10">
        <v>53.5</v>
      </c>
      <c r="Z31" s="10">
        <v>51.87</v>
      </c>
      <c r="AA31" s="10">
        <v>52.36</v>
      </c>
      <c r="AB31" s="95">
        <v>4083200</v>
      </c>
      <c r="AC31" s="10">
        <v>52.36</v>
      </c>
      <c r="AD31" s="2">
        <f t="shared" si="0"/>
        <v>1.6300000000000026</v>
      </c>
      <c r="AE31" s="138">
        <f t="shared" si="1"/>
        <v>-2.666666666666706E-3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42634</v>
      </c>
      <c r="X32" s="10">
        <v>51.81</v>
      </c>
      <c r="Y32" s="10">
        <v>52.57</v>
      </c>
      <c r="Z32" s="10">
        <v>51.53</v>
      </c>
      <c r="AA32" s="10">
        <v>52.5</v>
      </c>
      <c r="AB32" s="95">
        <v>3431200</v>
      </c>
      <c r="AC32" s="10">
        <v>52.5</v>
      </c>
      <c r="AD32" s="2">
        <f t="shared" si="0"/>
        <v>1.0399999999999991</v>
      </c>
      <c r="AE32" s="138">
        <f t="shared" si="1"/>
        <v>1.7244720015500814E-2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42633</v>
      </c>
      <c r="X33" s="10">
        <v>51.57</v>
      </c>
      <c r="Y33" s="10">
        <v>51.8</v>
      </c>
      <c r="Z33" s="10">
        <v>51.3</v>
      </c>
      <c r="AA33" s="10">
        <v>51.61</v>
      </c>
      <c r="AB33" s="95">
        <v>2941500</v>
      </c>
      <c r="AC33" s="10">
        <v>51.61</v>
      </c>
      <c r="AD33" s="2">
        <f t="shared" si="0"/>
        <v>0.5</v>
      </c>
      <c r="AE33" s="138">
        <f t="shared" si="1"/>
        <v>9.1904575674619515E-3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42632</v>
      </c>
      <c r="X34" s="10">
        <v>51.49</v>
      </c>
      <c r="Y34" s="10">
        <v>51.8</v>
      </c>
      <c r="Z34" s="10">
        <v>50.93</v>
      </c>
      <c r="AA34" s="10">
        <v>51.14</v>
      </c>
      <c r="AB34" s="95">
        <v>3556100</v>
      </c>
      <c r="AC34" s="10">
        <v>51.14</v>
      </c>
      <c r="AD34" s="2">
        <f t="shared" si="0"/>
        <v>0.86999999999999744</v>
      </c>
      <c r="AE34" s="138">
        <f t="shared" si="1"/>
        <v>2.9417532849578265E-3</v>
      </c>
    </row>
    <row r="35" spans="1:31" x14ac:dyDescent="0.25">
      <c r="W35" s="133">
        <v>42629</v>
      </c>
      <c r="X35" s="10">
        <v>50.48</v>
      </c>
      <c r="Y35" s="10">
        <v>51.06</v>
      </c>
      <c r="Z35" s="10">
        <v>50.13</v>
      </c>
      <c r="AA35" s="10">
        <v>50.99</v>
      </c>
      <c r="AB35" s="95">
        <v>6170300</v>
      </c>
      <c r="AC35" s="10">
        <v>50.99</v>
      </c>
      <c r="AD35" s="2">
        <f t="shared" si="0"/>
        <v>0.92999999999999972</v>
      </c>
      <c r="AE35" s="138">
        <f t="shared" si="1"/>
        <v>3.147747393271727E-3</v>
      </c>
    </row>
    <row r="36" spans="1:31" x14ac:dyDescent="0.25">
      <c r="L36" t="s">
        <v>220</v>
      </c>
      <c r="M36" s="2">
        <f>M50+K50-F50</f>
        <v>75.019999999999982</v>
      </c>
      <c r="W36" s="133">
        <v>42628</v>
      </c>
      <c r="X36" s="10">
        <v>50</v>
      </c>
      <c r="Y36" s="10">
        <v>51</v>
      </c>
      <c r="Z36" s="10">
        <v>49.92</v>
      </c>
      <c r="AA36" s="10">
        <v>50.83</v>
      </c>
      <c r="AB36" s="95">
        <v>4350700</v>
      </c>
      <c r="AC36" s="10">
        <v>50.83</v>
      </c>
      <c r="AD36" s="2">
        <f t="shared" si="0"/>
        <v>1.0799999999999983</v>
      </c>
      <c r="AE36" s="138">
        <f t="shared" si="1"/>
        <v>1.5381542149420557E-2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2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2" t="s">
        <v>7</v>
      </c>
      <c r="J37" s="392" t="s">
        <v>95</v>
      </c>
      <c r="K37" s="392" t="s">
        <v>61</v>
      </c>
      <c r="L37" s="390" t="s">
        <v>77</v>
      </c>
      <c r="M37" s="390" t="s">
        <v>38</v>
      </c>
      <c r="W37" s="133">
        <v>42627</v>
      </c>
      <c r="X37" s="10">
        <v>49.86</v>
      </c>
      <c r="Y37" s="10">
        <v>50.55</v>
      </c>
      <c r="Z37" s="10">
        <v>49.79</v>
      </c>
      <c r="AA37" s="10">
        <v>50.06</v>
      </c>
      <c r="AB37" s="95">
        <v>3993200</v>
      </c>
      <c r="AC37" s="10">
        <v>50.06</v>
      </c>
      <c r="AD37" s="2">
        <f t="shared" si="0"/>
        <v>0.75999999999999801</v>
      </c>
      <c r="AE37" s="138">
        <f t="shared" si="1"/>
        <v>7.8518220253673832E-3</v>
      </c>
    </row>
    <row r="38" spans="1:31" x14ac:dyDescent="0.25">
      <c r="A38" s="393" t="s">
        <v>179</v>
      </c>
      <c r="B38" s="383">
        <v>42376</v>
      </c>
      <c r="C38" s="384">
        <v>60</v>
      </c>
      <c r="D38" s="385">
        <v>41.01</v>
      </c>
      <c r="E38" s="385">
        <v>0</v>
      </c>
      <c r="F38" s="385">
        <f>C38*D38</f>
        <v>2460.6</v>
      </c>
      <c r="G38" s="383">
        <v>42426</v>
      </c>
      <c r="H38" s="388">
        <v>20</v>
      </c>
      <c r="I38" s="385">
        <v>38.450000000000003</v>
      </c>
      <c r="J38" s="385">
        <v>0.02</v>
      </c>
      <c r="K38" s="385">
        <f>H38*I38-J38</f>
        <v>768.98</v>
      </c>
      <c r="L38" s="383">
        <v>42444</v>
      </c>
      <c r="M38" s="385">
        <v>15.2</v>
      </c>
      <c r="W38" s="133">
        <v>42626</v>
      </c>
      <c r="X38" s="10">
        <v>50.1</v>
      </c>
      <c r="Y38" s="10">
        <v>50.2</v>
      </c>
      <c r="Z38" s="10">
        <v>49.11</v>
      </c>
      <c r="AA38" s="10">
        <v>49.67</v>
      </c>
      <c r="AB38" s="95">
        <v>7023900</v>
      </c>
      <c r="AC38" s="10">
        <v>49.67</v>
      </c>
      <c r="AD38" s="2">
        <f t="shared" si="0"/>
        <v>1.0900000000000034</v>
      </c>
      <c r="AE38" s="138">
        <f t="shared" si="1"/>
        <v>-1.7214087851206927E-2</v>
      </c>
    </row>
    <row r="39" spans="1:31" x14ac:dyDescent="0.25">
      <c r="A39" s="394" t="s">
        <v>71</v>
      </c>
      <c r="B39" s="383">
        <v>42403</v>
      </c>
      <c r="C39" s="384">
        <v>20</v>
      </c>
      <c r="D39" s="385">
        <v>35.5</v>
      </c>
      <c r="E39" s="385">
        <v>0</v>
      </c>
      <c r="F39" s="385">
        <f>C39*D39</f>
        <v>710</v>
      </c>
      <c r="G39" s="383">
        <v>42426</v>
      </c>
      <c r="H39" s="388">
        <v>30</v>
      </c>
      <c r="I39" s="385">
        <v>38.75</v>
      </c>
      <c r="J39" s="385">
        <v>0.03</v>
      </c>
      <c r="K39" s="385">
        <f>H39*I39-J39</f>
        <v>1162.47</v>
      </c>
      <c r="L39" s="384"/>
      <c r="M39" s="384"/>
      <c r="W39" s="133">
        <v>42625</v>
      </c>
      <c r="X39" s="10">
        <v>50.22</v>
      </c>
      <c r="Y39" s="10">
        <v>50.74</v>
      </c>
      <c r="Z39" s="10">
        <v>50.15</v>
      </c>
      <c r="AA39" s="10">
        <v>50.54</v>
      </c>
      <c r="AB39" s="95">
        <v>7083000</v>
      </c>
      <c r="AC39" s="10">
        <v>50.54</v>
      </c>
      <c r="AD39" s="2">
        <f t="shared" si="0"/>
        <v>0.59000000000000341</v>
      </c>
      <c r="AE39" s="138">
        <f t="shared" si="1"/>
        <v>2.7777777777777679E-3</v>
      </c>
    </row>
    <row r="40" spans="1:31" x14ac:dyDescent="0.25">
      <c r="A40" s="384"/>
      <c r="B40" s="384"/>
      <c r="C40" s="384"/>
      <c r="D40" s="385"/>
      <c r="E40" s="385"/>
      <c r="F40" s="385"/>
      <c r="G40" s="383">
        <v>42447</v>
      </c>
      <c r="H40" s="388">
        <v>30</v>
      </c>
      <c r="I40" s="385">
        <v>43.3</v>
      </c>
      <c r="J40" s="385">
        <v>0.03</v>
      </c>
      <c r="K40" s="385">
        <f>H40*I40-J40</f>
        <v>1298.97</v>
      </c>
      <c r="L40" s="384"/>
      <c r="M40" s="384"/>
      <c r="W40" s="133">
        <v>42622</v>
      </c>
      <c r="X40" s="10">
        <v>51.92</v>
      </c>
      <c r="Y40" s="10">
        <v>52</v>
      </c>
      <c r="Z40" s="10">
        <v>50.4</v>
      </c>
      <c r="AA40" s="10">
        <v>50.4</v>
      </c>
      <c r="AB40" s="95">
        <v>4855000</v>
      </c>
      <c r="AC40" s="10">
        <v>50.4</v>
      </c>
      <c r="AD40" s="2">
        <f t="shared" si="0"/>
        <v>1.6000000000000014</v>
      </c>
      <c r="AE40" s="138">
        <f t="shared" si="1"/>
        <v>-3.9451114922813058E-2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5"/>
      <c r="J41" s="385"/>
      <c r="K41" s="385"/>
      <c r="L41" s="384"/>
      <c r="M41" s="384"/>
      <c r="O41" s="34"/>
      <c r="R41" s="34"/>
      <c r="W41" s="133">
        <v>42621</v>
      </c>
      <c r="X41" s="10">
        <v>53.4</v>
      </c>
      <c r="Y41" s="10">
        <v>53.64</v>
      </c>
      <c r="Z41" s="10">
        <v>52.32</v>
      </c>
      <c r="AA41" s="10">
        <v>52.47</v>
      </c>
      <c r="AB41" s="95">
        <v>5447200</v>
      </c>
      <c r="AC41" s="10">
        <v>52.47</v>
      </c>
      <c r="AD41" s="2">
        <f t="shared" si="0"/>
        <v>1.3200000000000003</v>
      </c>
      <c r="AE41" s="138">
        <f t="shared" si="1"/>
        <v>-2.1629684877866984E-2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5"/>
      <c r="J42" s="385"/>
      <c r="K42" s="385"/>
      <c r="L42" s="384"/>
      <c r="M42" s="384"/>
      <c r="O42" s="245" t="s">
        <v>78</v>
      </c>
      <c r="P42" s="245"/>
      <c r="Q42" s="34"/>
      <c r="R42" s="34"/>
      <c r="T42" s="91" t="s">
        <v>113</v>
      </c>
      <c r="W42" s="133">
        <v>42620</v>
      </c>
      <c r="X42" s="10">
        <v>53.75</v>
      </c>
      <c r="Y42" s="10">
        <v>54.02</v>
      </c>
      <c r="Z42" s="10">
        <v>53.06</v>
      </c>
      <c r="AA42" s="10">
        <v>53.63</v>
      </c>
      <c r="AB42" s="95">
        <v>3068500</v>
      </c>
      <c r="AC42" s="10">
        <v>53.63</v>
      </c>
      <c r="AD42" s="2">
        <f t="shared" si="0"/>
        <v>0.96000000000000085</v>
      </c>
      <c r="AE42" s="138">
        <f t="shared" si="1"/>
        <v>-7.586972612879328E-3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5"/>
      <c r="J43" s="385"/>
      <c r="K43" s="385"/>
      <c r="L43" s="384"/>
      <c r="M43" s="384"/>
      <c r="O43" s="83">
        <v>1.1000000000000001</v>
      </c>
      <c r="P43" s="83">
        <f>O43*$Q$4</f>
        <v>52.414999999999999</v>
      </c>
      <c r="Q43" s="34"/>
      <c r="R43" s="34"/>
      <c r="T43" s="128" t="s">
        <v>98</v>
      </c>
      <c r="U43" s="98">
        <v>48.16</v>
      </c>
      <c r="W43" s="133">
        <v>42619</v>
      </c>
      <c r="X43" s="10">
        <v>53.67</v>
      </c>
      <c r="Y43" s="10">
        <v>54.38</v>
      </c>
      <c r="Z43" s="10">
        <v>53.43</v>
      </c>
      <c r="AA43" s="10">
        <v>54.04</v>
      </c>
      <c r="AB43" s="95">
        <v>3940200</v>
      </c>
      <c r="AC43" s="10">
        <v>54.04</v>
      </c>
      <c r="AD43" s="2">
        <f t="shared" si="0"/>
        <v>0.95000000000000284</v>
      </c>
      <c r="AE43" s="138">
        <f t="shared" si="1"/>
        <v>8.7735672951279042E-3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5"/>
      <c r="J44" s="385"/>
      <c r="K44" s="385"/>
      <c r="L44" s="384"/>
      <c r="M44" s="384"/>
      <c r="O44" s="83">
        <v>1.0900000000000001</v>
      </c>
      <c r="P44" s="83">
        <f t="shared" ref="P44:P63" si="5">O44*$Q$4</f>
        <v>51.938500000000005</v>
      </c>
      <c r="Q44" s="34"/>
      <c r="R44" s="34"/>
      <c r="T44" s="93" t="s">
        <v>99</v>
      </c>
      <c r="U44" s="88">
        <v>48.16</v>
      </c>
      <c r="W44" s="133">
        <v>42615</v>
      </c>
      <c r="X44" s="10">
        <v>53.51</v>
      </c>
      <c r="Y44" s="10">
        <v>53.96</v>
      </c>
      <c r="Z44" s="10">
        <v>53.35</v>
      </c>
      <c r="AA44" s="10">
        <v>53.57</v>
      </c>
      <c r="AB44" s="95">
        <v>2260900</v>
      </c>
      <c r="AC44" s="10">
        <v>53.57</v>
      </c>
      <c r="AD44" s="2">
        <f t="shared" si="0"/>
        <v>0.60999999999999943</v>
      </c>
      <c r="AE44" s="138">
        <f t="shared" si="1"/>
        <v>6.5764750093950664E-3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5"/>
      <c r="J45" s="385"/>
      <c r="K45" s="385"/>
      <c r="L45" s="384"/>
      <c r="M45" s="384"/>
      <c r="O45" s="83">
        <v>1.08</v>
      </c>
      <c r="P45" s="83">
        <f t="shared" si="5"/>
        <v>51.462000000000003</v>
      </c>
      <c r="Q45" s="34"/>
      <c r="R45" s="34"/>
      <c r="T45" s="93" t="s">
        <v>100</v>
      </c>
      <c r="U45" s="88" t="s">
        <v>512</v>
      </c>
      <c r="W45" s="133">
        <v>42614</v>
      </c>
      <c r="X45" s="10">
        <v>52.84</v>
      </c>
      <c r="Y45" s="10">
        <v>53.25</v>
      </c>
      <c r="Z45" s="10">
        <v>52.45</v>
      </c>
      <c r="AA45" s="10">
        <v>53.22</v>
      </c>
      <c r="AB45" s="95">
        <v>2351800</v>
      </c>
      <c r="AC45" s="10">
        <v>53.22</v>
      </c>
      <c r="AD45" s="2">
        <f t="shared" si="0"/>
        <v>0.79999999999999716</v>
      </c>
      <c r="AE45" s="138">
        <f t="shared" si="1"/>
        <v>2.6375282592314697E-3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5"/>
      <c r="J46" s="385"/>
      <c r="K46" s="385"/>
      <c r="L46" s="384"/>
      <c r="M46" s="384"/>
      <c r="O46" s="83">
        <v>1.07</v>
      </c>
      <c r="P46" s="83">
        <f t="shared" si="5"/>
        <v>50.985500000000002</v>
      </c>
      <c r="Q46" s="83"/>
      <c r="R46" s="34"/>
      <c r="T46" s="93" t="s">
        <v>101</v>
      </c>
      <c r="U46" s="88" t="s">
        <v>513</v>
      </c>
      <c r="W46" s="133">
        <v>42613</v>
      </c>
      <c r="X46" s="10">
        <v>53.42</v>
      </c>
      <c r="Y46" s="10">
        <v>53.58</v>
      </c>
      <c r="Z46" s="10">
        <v>52.84</v>
      </c>
      <c r="AA46" s="10">
        <v>53.08</v>
      </c>
      <c r="AB46" s="95">
        <v>4518700</v>
      </c>
      <c r="AC46" s="10">
        <v>53.08</v>
      </c>
      <c r="AD46" s="2">
        <f t="shared" si="0"/>
        <v>0.73999999999999488</v>
      </c>
      <c r="AE46" s="138">
        <f t="shared" si="1"/>
        <v>-8.7768440709616868E-3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5"/>
      <c r="J47" s="385"/>
      <c r="K47" s="385"/>
      <c r="L47" s="384"/>
      <c r="M47" s="384"/>
      <c r="O47" s="83">
        <v>1.06</v>
      </c>
      <c r="P47" s="83">
        <f t="shared" si="5"/>
        <v>50.509</v>
      </c>
      <c r="Q47" s="83"/>
      <c r="R47" s="34"/>
      <c r="T47" s="93" t="s">
        <v>102</v>
      </c>
      <c r="U47" s="88">
        <v>59.71</v>
      </c>
      <c r="W47" s="133">
        <v>42612</v>
      </c>
      <c r="X47" s="10">
        <v>53.84</v>
      </c>
      <c r="Y47" s="10">
        <v>53.97</v>
      </c>
      <c r="Z47" s="10">
        <v>53.44</v>
      </c>
      <c r="AA47" s="10">
        <v>53.55</v>
      </c>
      <c r="AB47" s="95">
        <v>1944200</v>
      </c>
      <c r="AC47" s="10">
        <v>53.55</v>
      </c>
      <c r="AD47" s="2">
        <f t="shared" si="0"/>
        <v>0.53000000000000114</v>
      </c>
      <c r="AE47" s="138">
        <f t="shared" si="1"/>
        <v>-6.6777963272119933E-3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5"/>
        <v>50.032499999999999</v>
      </c>
      <c r="Q48" s="83"/>
      <c r="R48" s="34"/>
      <c r="T48" s="93" t="s">
        <v>103</v>
      </c>
      <c r="U48" s="88">
        <v>1.1972400000000001</v>
      </c>
      <c r="W48" s="133">
        <v>42611</v>
      </c>
      <c r="X48" s="10">
        <v>53.67</v>
      </c>
      <c r="Y48" s="10">
        <v>54.2</v>
      </c>
      <c r="Z48" s="10">
        <v>53.58</v>
      </c>
      <c r="AA48" s="10">
        <v>53.91</v>
      </c>
      <c r="AB48" s="95">
        <v>1896500</v>
      </c>
      <c r="AC48" s="10">
        <v>53.91</v>
      </c>
      <c r="AD48" s="2">
        <f t="shared" si="0"/>
        <v>0.62000000000000455</v>
      </c>
      <c r="AE48" s="138" t="e">
        <f t="shared" si="1"/>
        <v>#DIV/0!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5"/>
        <v>49.555999999999997</v>
      </c>
      <c r="Q49" s="83"/>
      <c r="R49" s="34"/>
      <c r="T49" s="93" t="s">
        <v>122</v>
      </c>
      <c r="U49" s="88" t="s">
        <v>415</v>
      </c>
      <c r="W49" s="133">
        <v>42611</v>
      </c>
      <c r="X49" s="10" t="s">
        <v>183</v>
      </c>
      <c r="Y49" s="10"/>
      <c r="Z49" s="10"/>
      <c r="AA49" s="10"/>
      <c r="AB49" s="95"/>
      <c r="AC49" s="10"/>
      <c r="AD49" s="2">
        <f t="shared" si="0"/>
        <v>0</v>
      </c>
      <c r="AE49" s="138">
        <f t="shared" si="1"/>
        <v>-1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49.079500000000003</v>
      </c>
      <c r="Q50" s="83"/>
      <c r="R50" s="34"/>
      <c r="T50" s="93"/>
      <c r="U50" s="88"/>
      <c r="W50" s="133">
        <v>42608</v>
      </c>
      <c r="X50" s="10">
        <v>53.89</v>
      </c>
      <c r="Y50" s="10">
        <v>54.42</v>
      </c>
      <c r="Z50" s="10">
        <v>53.42</v>
      </c>
      <c r="AA50" s="10">
        <v>53.87</v>
      </c>
      <c r="AB50" s="95">
        <v>3835200</v>
      </c>
      <c r="AC50" s="10">
        <v>53.68</v>
      </c>
      <c r="AD50" s="2">
        <f t="shared" si="0"/>
        <v>1</v>
      </c>
      <c r="AE50" s="138">
        <f t="shared" si="1"/>
        <v>3.1769762661184586E-3</v>
      </c>
    </row>
    <row r="51" spans="1:31" x14ac:dyDescent="0.25">
      <c r="G51" s="2"/>
      <c r="O51" s="83">
        <v>1.02</v>
      </c>
      <c r="P51" s="83">
        <f t="shared" si="5"/>
        <v>48.603000000000002</v>
      </c>
      <c r="Q51" s="83"/>
      <c r="R51" s="34"/>
      <c r="T51" s="93" t="s">
        <v>105</v>
      </c>
      <c r="U51" s="88" t="s">
        <v>514</v>
      </c>
      <c r="W51" s="133">
        <v>42607</v>
      </c>
      <c r="X51" s="10">
        <v>53.54</v>
      </c>
      <c r="Y51" s="10">
        <v>53.74</v>
      </c>
      <c r="Z51" s="10">
        <v>53.26</v>
      </c>
      <c r="AA51" s="10">
        <v>53.7</v>
      </c>
      <c r="AB51" s="95">
        <v>3712000</v>
      </c>
      <c r="AC51" s="10">
        <v>53.51</v>
      </c>
      <c r="AD51" s="2">
        <f t="shared" si="0"/>
        <v>0.48000000000000398</v>
      </c>
      <c r="AE51" s="138">
        <f t="shared" si="1"/>
        <v>-2.6095060577819851E-3</v>
      </c>
    </row>
    <row r="52" spans="1:31" x14ac:dyDescent="0.25">
      <c r="O52" s="83">
        <v>1.01</v>
      </c>
      <c r="P52" s="83">
        <f t="shared" si="5"/>
        <v>48.1265</v>
      </c>
      <c r="Q52" s="83"/>
      <c r="R52" s="34"/>
      <c r="T52" s="93" t="s">
        <v>106</v>
      </c>
      <c r="U52" s="88" t="s">
        <v>300</v>
      </c>
      <c r="W52" s="133">
        <v>42606</v>
      </c>
      <c r="X52" s="10">
        <v>54.19</v>
      </c>
      <c r="Y52" s="10">
        <v>54.53</v>
      </c>
      <c r="Z52" s="10">
        <v>53.53</v>
      </c>
      <c r="AA52" s="10">
        <v>53.84</v>
      </c>
      <c r="AB52" s="95">
        <v>2807700</v>
      </c>
      <c r="AC52" s="10">
        <v>53.65</v>
      </c>
      <c r="AD52" s="2">
        <f t="shared" si="0"/>
        <v>1</v>
      </c>
      <c r="AE52" s="138">
        <f t="shared" si="1"/>
        <v>-1.142435968306621E-2</v>
      </c>
    </row>
    <row r="53" spans="1:31" x14ac:dyDescent="0.25">
      <c r="O53" s="83">
        <v>1</v>
      </c>
      <c r="P53" s="83">
        <f t="shared" si="5"/>
        <v>47.65</v>
      </c>
      <c r="Q53" s="83"/>
      <c r="R53" s="34"/>
      <c r="T53" s="93" t="s">
        <v>107</v>
      </c>
      <c r="U53" s="90">
        <v>4623740</v>
      </c>
      <c r="W53" s="133">
        <v>42605</v>
      </c>
      <c r="X53" s="10">
        <v>54.33</v>
      </c>
      <c r="Y53" s="10">
        <v>54.48</v>
      </c>
      <c r="Z53" s="10">
        <v>54.07</v>
      </c>
      <c r="AA53" s="10">
        <v>54.46</v>
      </c>
      <c r="AB53" s="95">
        <v>4026600</v>
      </c>
      <c r="AC53" s="10">
        <v>54.27</v>
      </c>
      <c r="AD53" s="2">
        <f t="shared" si="0"/>
        <v>0.40999999999999659</v>
      </c>
      <c r="AE53" s="138">
        <f t="shared" si="1"/>
        <v>1.1367871785315176E-2</v>
      </c>
    </row>
    <row r="54" spans="1:31" x14ac:dyDescent="0.25">
      <c r="O54" s="83">
        <v>0.99</v>
      </c>
      <c r="P54" s="83">
        <f t="shared" si="5"/>
        <v>47.173499999999997</v>
      </c>
      <c r="Q54" s="83"/>
      <c r="R54" s="34"/>
      <c r="T54" s="93" t="s">
        <v>110</v>
      </c>
      <c r="U54" s="90">
        <v>3764470</v>
      </c>
      <c r="W54" s="133">
        <v>42604</v>
      </c>
      <c r="X54" s="10">
        <v>53.72</v>
      </c>
      <c r="Y54" s="10">
        <v>53.87</v>
      </c>
      <c r="Z54" s="10">
        <v>53.43</v>
      </c>
      <c r="AA54" s="10">
        <v>53.85</v>
      </c>
      <c r="AB54" s="95">
        <v>2936600</v>
      </c>
      <c r="AC54" s="10">
        <v>53.66</v>
      </c>
      <c r="AD54" s="2">
        <f t="shared" si="0"/>
        <v>0.43999999999999773</v>
      </c>
      <c r="AE54" s="138">
        <f t="shared" si="1"/>
        <v>9.3266181682527538E-4</v>
      </c>
    </row>
    <row r="55" spans="1:31" x14ac:dyDescent="0.25">
      <c r="O55" s="83">
        <v>0.98</v>
      </c>
      <c r="P55" s="83">
        <f t="shared" si="5"/>
        <v>46.696999999999996</v>
      </c>
      <c r="Q55" s="83"/>
      <c r="T55" s="93" t="s">
        <v>108</v>
      </c>
      <c r="U55" s="88" t="s">
        <v>515</v>
      </c>
      <c r="W55" s="133">
        <v>42601</v>
      </c>
      <c r="X55" s="10">
        <v>53.76</v>
      </c>
      <c r="Y55" s="10">
        <v>54.08</v>
      </c>
      <c r="Z55" s="10">
        <v>53.64</v>
      </c>
      <c r="AA55" s="10">
        <v>53.8</v>
      </c>
      <c r="AB55" s="95">
        <v>7010000</v>
      </c>
      <c r="AC55" s="10">
        <v>53.61</v>
      </c>
      <c r="AD55" s="2">
        <f t="shared" si="0"/>
        <v>0.43999999999999773</v>
      </c>
      <c r="AE55" s="138">
        <f t="shared" si="1"/>
        <v>-3.7167812674224754E-3</v>
      </c>
    </row>
    <row r="56" spans="1:31" x14ac:dyDescent="0.25">
      <c r="O56" s="83">
        <v>0.97</v>
      </c>
      <c r="P56" s="83">
        <f t="shared" si="5"/>
        <v>46.220499999999994</v>
      </c>
      <c r="Q56" s="83"/>
      <c r="T56" s="93" t="s">
        <v>111</v>
      </c>
      <c r="U56" s="88">
        <v>46.22</v>
      </c>
      <c r="W56" s="133">
        <v>42600</v>
      </c>
      <c r="X56" s="10">
        <v>54.12</v>
      </c>
      <c r="Y56" s="10">
        <v>54.12</v>
      </c>
      <c r="Z56" s="10">
        <v>53.63</v>
      </c>
      <c r="AA56" s="10">
        <v>54</v>
      </c>
      <c r="AB56" s="95">
        <v>2784900</v>
      </c>
      <c r="AC56" s="10">
        <v>53.81</v>
      </c>
      <c r="AD56" s="2">
        <f t="shared" si="0"/>
        <v>0.48999999999999488</v>
      </c>
      <c r="AE56" s="138">
        <f t="shared" si="1"/>
        <v>9.3005952380953438E-4</v>
      </c>
    </row>
    <row r="57" spans="1:31" x14ac:dyDescent="0.25">
      <c r="O57" s="83">
        <v>0.96</v>
      </c>
      <c r="P57" s="83">
        <f t="shared" si="5"/>
        <v>45.744</v>
      </c>
      <c r="Q57" s="83"/>
      <c r="T57" s="93" t="s">
        <v>112</v>
      </c>
      <c r="U57" s="88">
        <v>1.03</v>
      </c>
      <c r="W57" s="133">
        <v>42599</v>
      </c>
      <c r="X57" s="10">
        <v>54.34</v>
      </c>
      <c r="Y57" s="10">
        <v>54.54</v>
      </c>
      <c r="Z57" s="10">
        <v>53.62</v>
      </c>
      <c r="AA57" s="10">
        <v>53.95</v>
      </c>
      <c r="AB57" s="95">
        <v>3564100</v>
      </c>
      <c r="AC57" s="10">
        <v>53.76</v>
      </c>
      <c r="AD57" s="2">
        <f t="shared" si="0"/>
        <v>0.92000000000000171</v>
      </c>
      <c r="AE57" s="138">
        <f t="shared" si="1"/>
        <v>-8.1180811808119202E-3</v>
      </c>
    </row>
    <row r="58" spans="1:31" x14ac:dyDescent="0.25">
      <c r="O58" s="83">
        <v>0.95</v>
      </c>
      <c r="P58" s="83">
        <f t="shared" si="5"/>
        <v>45.267499999999998</v>
      </c>
      <c r="Q58" s="83"/>
      <c r="T58" s="93" t="s">
        <v>109</v>
      </c>
      <c r="U58" s="88" t="s">
        <v>431</v>
      </c>
      <c r="W58" s="133">
        <v>42598</v>
      </c>
      <c r="X58" s="10">
        <v>54.87</v>
      </c>
      <c r="Y58" s="10">
        <v>54.95</v>
      </c>
      <c r="Z58" s="10">
        <v>54.14</v>
      </c>
      <c r="AA58" s="10">
        <v>54.39</v>
      </c>
      <c r="AB58" s="95">
        <v>2938300</v>
      </c>
      <c r="AC58" s="10">
        <v>54.2</v>
      </c>
      <c r="AD58" s="2">
        <f t="shared" si="0"/>
        <v>0.81000000000000227</v>
      </c>
      <c r="AE58" s="138">
        <f t="shared" si="1"/>
        <v>-9.1407678244972423E-3</v>
      </c>
    </row>
    <row r="59" spans="1:31" x14ac:dyDescent="0.25">
      <c r="O59" s="83">
        <v>0.94</v>
      </c>
      <c r="P59" s="83">
        <f t="shared" si="5"/>
        <v>44.790999999999997</v>
      </c>
      <c r="Q59" s="83"/>
      <c r="W59" s="133">
        <v>42597</v>
      </c>
      <c r="X59" s="10">
        <v>55</v>
      </c>
      <c r="Y59" s="10">
        <v>55.45</v>
      </c>
      <c r="Z59" s="10">
        <v>54.82</v>
      </c>
      <c r="AA59" s="10">
        <v>54.89</v>
      </c>
      <c r="AB59" s="95">
        <v>3725600</v>
      </c>
      <c r="AC59" s="10">
        <v>54.7</v>
      </c>
      <c r="AD59" s="2">
        <f t="shared" si="0"/>
        <v>0.63000000000000256</v>
      </c>
      <c r="AE59" s="138">
        <f t="shared" si="1"/>
        <v>0</v>
      </c>
    </row>
    <row r="60" spans="1:31" x14ac:dyDescent="0.25">
      <c r="O60" s="83">
        <v>0.93</v>
      </c>
      <c r="P60" s="83">
        <f t="shared" si="5"/>
        <v>44.314500000000002</v>
      </c>
      <c r="Q60" s="83"/>
      <c r="W60" s="133">
        <v>42594</v>
      </c>
      <c r="X60" s="10">
        <v>54.31</v>
      </c>
      <c r="Y60" s="10">
        <v>54.98</v>
      </c>
      <c r="Z60" s="10">
        <v>54.26</v>
      </c>
      <c r="AA60" s="10">
        <v>54.89</v>
      </c>
      <c r="AB60" s="95">
        <v>3167700</v>
      </c>
      <c r="AC60" s="10">
        <v>54.7</v>
      </c>
      <c r="AD60" s="2">
        <f t="shared" si="0"/>
        <v>0.71999999999999886</v>
      </c>
      <c r="AE60" s="138">
        <f t="shared" si="1"/>
        <v>7.7376565954310195E-3</v>
      </c>
    </row>
    <row r="61" spans="1:31" x14ac:dyDescent="0.25">
      <c r="O61" s="83">
        <v>0.92</v>
      </c>
      <c r="P61" s="83">
        <f t="shared" si="5"/>
        <v>43.838000000000001</v>
      </c>
      <c r="Q61" s="83"/>
      <c r="W61" s="133">
        <v>42593</v>
      </c>
      <c r="X61" s="10">
        <v>54.3</v>
      </c>
      <c r="Y61" s="10">
        <v>54.71</v>
      </c>
      <c r="Z61" s="10">
        <v>54.23</v>
      </c>
      <c r="AA61" s="10">
        <v>54.47</v>
      </c>
      <c r="AB61" s="95">
        <v>3393700</v>
      </c>
      <c r="AC61" s="10">
        <v>54.28</v>
      </c>
      <c r="AD61" s="2">
        <f t="shared" si="0"/>
        <v>0.48000000000000398</v>
      </c>
      <c r="AE61" s="138">
        <f t="shared" si="1"/>
        <v>5.1851851851851816E-3</v>
      </c>
    </row>
    <row r="62" spans="1:31" x14ac:dyDescent="0.25">
      <c r="O62" s="83">
        <v>0.91</v>
      </c>
      <c r="P62" s="83">
        <f t="shared" si="5"/>
        <v>43.361499999999999</v>
      </c>
      <c r="Q62" s="83"/>
      <c r="W62" s="133">
        <v>42592</v>
      </c>
      <c r="X62" s="10">
        <v>54.32</v>
      </c>
      <c r="Y62" s="10">
        <v>54.56</v>
      </c>
      <c r="Z62" s="10">
        <v>53.97</v>
      </c>
      <c r="AA62" s="10">
        <v>54.19</v>
      </c>
      <c r="AB62" s="95">
        <v>1908300</v>
      </c>
      <c r="AC62" s="10">
        <v>54</v>
      </c>
      <c r="AD62" s="2">
        <f t="shared" si="0"/>
        <v>0.59000000000000341</v>
      </c>
      <c r="AE62" s="138">
        <f t="shared" si="1"/>
        <v>7.4128984432908496E-4</v>
      </c>
    </row>
    <row r="63" spans="1:31" x14ac:dyDescent="0.25">
      <c r="O63" s="83">
        <v>0.9</v>
      </c>
      <c r="P63" s="83">
        <f t="shared" si="5"/>
        <v>42.884999999999998</v>
      </c>
      <c r="Q63" s="83"/>
      <c r="W63" s="133">
        <v>42591</v>
      </c>
      <c r="X63" s="10">
        <v>54.27</v>
      </c>
      <c r="Y63" s="10">
        <v>54.46</v>
      </c>
      <c r="Z63" s="10">
        <v>53.99</v>
      </c>
      <c r="AA63" s="10">
        <v>54.15</v>
      </c>
      <c r="AB63" s="95">
        <v>2586100</v>
      </c>
      <c r="AC63" s="10">
        <v>53.96</v>
      </c>
      <c r="AD63" s="2">
        <f t="shared" si="0"/>
        <v>0.46999999999999886</v>
      </c>
      <c r="AE63" s="138">
        <f t="shared" si="1"/>
        <v>-1.8528812303131303E-4</v>
      </c>
    </row>
    <row r="64" spans="1:31" x14ac:dyDescent="0.25">
      <c r="O64" s="34"/>
      <c r="W64" s="133">
        <v>42590</v>
      </c>
      <c r="X64" s="10">
        <v>54.09</v>
      </c>
      <c r="Y64" s="10">
        <v>54.41</v>
      </c>
      <c r="Z64" s="10">
        <v>53.59</v>
      </c>
      <c r="AA64" s="10">
        <v>54.16</v>
      </c>
      <c r="AB64" s="95">
        <v>3780800</v>
      </c>
      <c r="AC64" s="10">
        <v>53.97</v>
      </c>
      <c r="AD64" s="2">
        <f t="shared" si="0"/>
        <v>0.81999999999999318</v>
      </c>
      <c r="AE64" s="138">
        <f t="shared" si="1"/>
        <v>7.6549663928304756E-3</v>
      </c>
    </row>
    <row r="65" spans="15:31" x14ac:dyDescent="0.25">
      <c r="W65" s="133">
        <v>42587</v>
      </c>
      <c r="X65" s="10">
        <v>53.43</v>
      </c>
      <c r="Y65" s="10">
        <v>53.99</v>
      </c>
      <c r="Z65" s="10">
        <v>53.31</v>
      </c>
      <c r="AA65" s="10">
        <v>53.75</v>
      </c>
      <c r="AB65" s="95">
        <v>3260900</v>
      </c>
      <c r="AC65" s="10">
        <v>53.56</v>
      </c>
      <c r="AD65" s="2">
        <f t="shared" si="0"/>
        <v>0.67999999999999972</v>
      </c>
      <c r="AE65" s="138">
        <f t="shared" si="1"/>
        <v>8.8528913166321388E-3</v>
      </c>
    </row>
    <row r="66" spans="15:31" x14ac:dyDescent="0.25">
      <c r="W66" s="133">
        <v>42586</v>
      </c>
      <c r="X66" s="10">
        <v>53.51</v>
      </c>
      <c r="Y66" s="10">
        <v>53.78</v>
      </c>
      <c r="Z66" s="10">
        <v>53.25</v>
      </c>
      <c r="AA66" s="10">
        <v>53.28</v>
      </c>
      <c r="AB66" s="95">
        <v>2537800</v>
      </c>
      <c r="AC66" s="10">
        <v>53.09</v>
      </c>
      <c r="AD66" s="2">
        <f t="shared" si="0"/>
        <v>0.53000000000000114</v>
      </c>
      <c r="AE66" s="138">
        <f t="shared" si="1"/>
        <v>-4.3135783945985606E-3</v>
      </c>
    </row>
    <row r="67" spans="15:31" x14ac:dyDescent="0.25">
      <c r="W67" s="133">
        <v>42585</v>
      </c>
      <c r="X67" s="10">
        <v>53.55</v>
      </c>
      <c r="Y67" s="10">
        <v>53.58</v>
      </c>
      <c r="Z67" s="10">
        <v>53.09</v>
      </c>
      <c r="AA67" s="10">
        <v>53.51</v>
      </c>
      <c r="AB67" s="95">
        <v>2780900</v>
      </c>
      <c r="AC67" s="10">
        <v>53.32</v>
      </c>
      <c r="AD67" s="2">
        <f>Y67-Z67</f>
        <v>0.48999999999999488</v>
      </c>
      <c r="AE67" s="138">
        <f>AC67/AC68-1</f>
        <v>-5.7803468208093012E-3</v>
      </c>
    </row>
    <row r="68" spans="15:31" x14ac:dyDescent="0.25">
      <c r="W68" s="133">
        <v>42584</v>
      </c>
      <c r="X68" s="10">
        <v>53.93</v>
      </c>
      <c r="Y68" s="10">
        <v>54.06</v>
      </c>
      <c r="Z68" s="10">
        <v>53.09</v>
      </c>
      <c r="AA68" s="10">
        <v>53.82</v>
      </c>
      <c r="AB68" s="95">
        <v>5514500</v>
      </c>
      <c r="AC68" s="10">
        <v>53.63</v>
      </c>
      <c r="AD68" s="2">
        <f>Y68-Z68</f>
        <v>0.96999999999999886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65" priority="33">
      <formula>F25&gt;0</formula>
    </cfRule>
    <cfRule type="expression" dxfId="264" priority="34">
      <formula>F25&lt;0</formula>
    </cfRule>
  </conditionalFormatting>
  <conditionalFormatting sqref="H25:H27">
    <cfRule type="expression" dxfId="263" priority="31">
      <formula>H25&gt;0</formula>
    </cfRule>
    <cfRule type="expression" dxfId="262" priority="32">
      <formula>H25&lt;0</formula>
    </cfRule>
  </conditionalFormatting>
  <conditionalFormatting sqref="H28">
    <cfRule type="expression" dxfId="261" priority="29">
      <formula>H28&gt;0</formula>
    </cfRule>
    <cfRule type="expression" dxfId="260" priority="30">
      <formula>H28&lt;0</formula>
    </cfRule>
  </conditionalFormatting>
  <conditionalFormatting sqref="H29">
    <cfRule type="expression" dxfId="259" priority="27">
      <formula>H29&gt;0</formula>
    </cfRule>
    <cfRule type="expression" dxfId="258" priority="28">
      <formula>H29&lt;0</formula>
    </cfRule>
  </conditionalFormatting>
  <conditionalFormatting sqref="H30:H34">
    <cfRule type="expression" dxfId="257" priority="25">
      <formula>H30&gt;0</formula>
    </cfRule>
    <cfRule type="expression" dxfId="256" priority="26">
      <formula>H30&lt;0</formula>
    </cfRule>
  </conditionalFormatting>
  <conditionalFormatting sqref="F21:F24">
    <cfRule type="expression" dxfId="255" priority="23">
      <formula>F21&gt;0</formula>
    </cfRule>
    <cfRule type="expression" dxfId="254" priority="24">
      <formula>F21&lt;0</formula>
    </cfRule>
  </conditionalFormatting>
  <conditionalFormatting sqref="H21:H24">
    <cfRule type="expression" dxfId="253" priority="21">
      <formula>H21&gt;0</formula>
    </cfRule>
    <cfRule type="expression" dxfId="252" priority="22">
      <formula>H21&lt;0</formula>
    </cfRule>
  </conditionalFormatting>
  <conditionalFormatting sqref="F30:F31">
    <cfRule type="expression" dxfId="251" priority="17">
      <formula>F30&gt;0</formula>
    </cfRule>
    <cfRule type="expression" dxfId="250" priority="18">
      <formula>F30&lt;0</formula>
    </cfRule>
  </conditionalFormatting>
  <conditionalFormatting sqref="I25:I27">
    <cfRule type="expression" dxfId="249" priority="15">
      <formula>I25&gt;0</formula>
    </cfRule>
    <cfRule type="expression" dxfId="248" priority="16">
      <formula>I25&lt;0</formula>
    </cfRule>
  </conditionalFormatting>
  <conditionalFormatting sqref="I28">
    <cfRule type="expression" dxfId="247" priority="13">
      <formula>I28&gt;0</formula>
    </cfRule>
    <cfRule type="expression" dxfId="246" priority="14">
      <formula>I28&lt;0</formula>
    </cfRule>
  </conditionalFormatting>
  <conditionalFormatting sqref="I29">
    <cfRule type="expression" dxfId="245" priority="11">
      <formula>I29&gt;0</formula>
    </cfRule>
    <cfRule type="expression" dxfId="244" priority="12">
      <formula>I29&lt;0</formula>
    </cfRule>
  </conditionalFormatting>
  <conditionalFormatting sqref="I30:I34">
    <cfRule type="expression" dxfId="243" priority="9">
      <formula>I30&gt;0</formula>
    </cfRule>
    <cfRule type="expression" dxfId="242" priority="10">
      <formula>I30&lt;0</formula>
    </cfRule>
  </conditionalFormatting>
  <conditionalFormatting sqref="I21:I24">
    <cfRule type="expression" dxfId="241" priority="7">
      <formula>I21&gt;0</formula>
    </cfRule>
    <cfRule type="expression" dxfId="240" priority="8">
      <formula>I21&lt;0</formula>
    </cfRule>
  </conditionalFormatting>
  <conditionalFormatting sqref="F32">
    <cfRule type="expression" dxfId="239" priority="5">
      <formula>F32&gt;0</formula>
    </cfRule>
    <cfRule type="expression" dxfId="238" priority="6">
      <formula>F32&lt;0</formula>
    </cfRule>
  </conditionalFormatting>
  <conditionalFormatting sqref="Q8">
    <cfRule type="expression" dxfId="237" priority="1">
      <formula>Q8&gt;0</formula>
    </cfRule>
    <cfRule type="expression" dxfId="236" priority="2">
      <formula>Q8&lt;0</formula>
    </cfRule>
  </conditionalFormatting>
  <conditionalFormatting sqref="Q7">
    <cfRule type="expression" dxfId="235" priority="3">
      <formula>Q7&gt;0</formula>
    </cfRule>
    <cfRule type="expression" dxfId="23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159</v>
      </c>
      <c r="AJ1" s="11" t="s">
        <v>160</v>
      </c>
      <c r="AK1" s="11" t="s">
        <v>161</v>
      </c>
      <c r="AL1" s="11" t="s">
        <v>162</v>
      </c>
      <c r="AO1" s="11" t="s">
        <v>163</v>
      </c>
      <c r="AP1" s="11" t="s">
        <v>59</v>
      </c>
      <c r="AQ1" s="11" t="s">
        <v>165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42676</v>
      </c>
      <c r="X2" s="10">
        <v>49.99</v>
      </c>
      <c r="Y2" s="10">
        <v>51.18</v>
      </c>
      <c r="Z2" s="10">
        <v>49.57</v>
      </c>
      <c r="AA2" s="10">
        <v>49.73</v>
      </c>
      <c r="AB2" s="95">
        <v>2523000</v>
      </c>
      <c r="AC2" s="10">
        <v>49.73</v>
      </c>
      <c r="AD2" s="2">
        <f>Y2-Z2</f>
        <v>1.6099999999999994</v>
      </c>
      <c r="AE2" s="138">
        <f>AC2/AC3-1</f>
        <v>-1.2705975779233714E-2</v>
      </c>
      <c r="AP2" t="s">
        <v>164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49.73</v>
      </c>
      <c r="T3" s="1">
        <v>42312</v>
      </c>
      <c r="U3" t="s">
        <v>151</v>
      </c>
      <c r="W3" s="133">
        <v>42675</v>
      </c>
      <c r="X3" s="10">
        <v>50.95</v>
      </c>
      <c r="Y3" s="10">
        <v>52.67</v>
      </c>
      <c r="Z3" s="10">
        <v>50.12</v>
      </c>
      <c r="AA3" s="10">
        <v>50.37</v>
      </c>
      <c r="AB3" s="95">
        <v>4161900</v>
      </c>
      <c r="AC3" s="10">
        <v>50.37</v>
      </c>
      <c r="AD3" s="2">
        <f t="shared" ref="AD3:AD66" si="0">Y3-Z3</f>
        <v>2.5500000000000043</v>
      </c>
      <c r="AE3" s="138">
        <f t="shared" ref="AE3:AE66" si="1">AC3/AC4-1</f>
        <v>-8.0740448995668679E-3</v>
      </c>
      <c r="AI3" t="s">
        <v>166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49.73</v>
      </c>
      <c r="R4" s="527">
        <v>-1.2699999999999999E-2</v>
      </c>
      <c r="W4" s="133">
        <v>42674</v>
      </c>
      <c r="X4" s="10">
        <v>50.23</v>
      </c>
      <c r="Y4" s="10">
        <v>51.28</v>
      </c>
      <c r="Z4" s="10">
        <v>50.01</v>
      </c>
      <c r="AA4" s="10">
        <v>50.78</v>
      </c>
      <c r="AB4" s="95">
        <v>3686800</v>
      </c>
      <c r="AC4" s="10">
        <v>50.78</v>
      </c>
      <c r="AD4" s="2">
        <f t="shared" si="0"/>
        <v>1.2700000000000031</v>
      </c>
      <c r="AE4" s="138">
        <f t="shared" si="1"/>
        <v>1.3168395849960213E-2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42671</v>
      </c>
      <c r="X5" s="10">
        <v>48.21</v>
      </c>
      <c r="Y5" s="10">
        <v>50.88</v>
      </c>
      <c r="Z5" s="10">
        <v>48.15</v>
      </c>
      <c r="AA5" s="10">
        <v>50.12</v>
      </c>
      <c r="AB5" s="95">
        <v>5553100</v>
      </c>
      <c r="AC5" s="10">
        <v>50.12</v>
      </c>
      <c r="AD5" s="2">
        <f t="shared" si="0"/>
        <v>2.730000000000004</v>
      </c>
      <c r="AE5" s="138">
        <f t="shared" si="1"/>
        <v>4.0481627569026291E-2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42670</v>
      </c>
      <c r="X6" s="10">
        <v>48.77</v>
      </c>
      <c r="Y6" s="10">
        <v>49.04</v>
      </c>
      <c r="Z6" s="10">
        <v>47.97</v>
      </c>
      <c r="AA6" s="10">
        <v>48.17</v>
      </c>
      <c r="AB6" s="95">
        <v>1828600</v>
      </c>
      <c r="AC6" s="10">
        <v>48.17</v>
      </c>
      <c r="AD6" s="2">
        <f t="shared" si="0"/>
        <v>1.0700000000000003</v>
      </c>
      <c r="AE6" s="138">
        <f t="shared" si="1"/>
        <v>-8.0313014827018137E-3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184</v>
      </c>
      <c r="Q7" s="2">
        <f>Q10+Q8</f>
        <v>745.43999999999505</v>
      </c>
      <c r="R7">
        <v>0</v>
      </c>
      <c r="W7" s="133">
        <v>42669</v>
      </c>
      <c r="X7" s="10">
        <v>48.38</v>
      </c>
      <c r="Y7" s="10">
        <v>49.15</v>
      </c>
      <c r="Z7" s="10">
        <v>48.34</v>
      </c>
      <c r="AA7" s="10">
        <v>48.56</v>
      </c>
      <c r="AB7" s="95">
        <v>1427400</v>
      </c>
      <c r="AC7" s="10">
        <v>48.56</v>
      </c>
      <c r="AD7" s="2">
        <f t="shared" si="0"/>
        <v>0.80999999999999517</v>
      </c>
      <c r="AE7" s="138">
        <f t="shared" si="1"/>
        <v>2.0597322348114844E-4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42668</v>
      </c>
      <c r="X8" s="10">
        <v>48.21</v>
      </c>
      <c r="Y8" s="10">
        <v>48.89</v>
      </c>
      <c r="Z8" s="10">
        <v>48.21</v>
      </c>
      <c r="AA8" s="10">
        <v>48.55</v>
      </c>
      <c r="AB8" s="95">
        <v>1495900</v>
      </c>
      <c r="AC8" s="10">
        <v>48.55</v>
      </c>
      <c r="AD8" s="2">
        <f t="shared" si="0"/>
        <v>0.67999999999999972</v>
      </c>
      <c r="AE8" s="138">
        <f t="shared" si="1"/>
        <v>-5.9377559377560285E-3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W9" s="133">
        <v>42667</v>
      </c>
      <c r="X9" s="10">
        <v>49.14</v>
      </c>
      <c r="Y9" s="10">
        <v>49.37</v>
      </c>
      <c r="Z9" s="10">
        <v>48.51</v>
      </c>
      <c r="AA9" s="10">
        <v>48.84</v>
      </c>
      <c r="AB9" s="95">
        <v>1395200</v>
      </c>
      <c r="AC9" s="10">
        <v>48.84</v>
      </c>
      <c r="AD9" s="2">
        <f t="shared" si="0"/>
        <v>0.85999999999999943</v>
      </c>
      <c r="AE9" s="138">
        <f t="shared" si="1"/>
        <v>-2.2471910112359383E-3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218</v>
      </c>
      <c r="P10" s="34"/>
      <c r="Q10" s="2">
        <f>M35</f>
        <v>745.43999999999505</v>
      </c>
      <c r="W10" s="133">
        <v>42664</v>
      </c>
      <c r="X10" s="10">
        <v>49.01</v>
      </c>
      <c r="Y10" s="10">
        <v>49.03</v>
      </c>
      <c r="Z10" s="10">
        <v>48.11</v>
      </c>
      <c r="AA10" s="10">
        <v>48.95</v>
      </c>
      <c r="AB10" s="95">
        <v>2440300</v>
      </c>
      <c r="AC10" s="10">
        <v>48.95</v>
      </c>
      <c r="AD10" s="2">
        <f t="shared" si="0"/>
        <v>0.92000000000000171</v>
      </c>
      <c r="AE10" s="138">
        <f t="shared" si="1"/>
        <v>-1.310483870967738E-2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42663</v>
      </c>
      <c r="X11" s="10">
        <v>49.95</v>
      </c>
      <c r="Y11" s="10">
        <v>49.95</v>
      </c>
      <c r="Z11" s="10">
        <v>49.17</v>
      </c>
      <c r="AA11" s="10">
        <v>49.6</v>
      </c>
      <c r="AB11" s="95">
        <v>3017900</v>
      </c>
      <c r="AC11" s="10">
        <v>49.6</v>
      </c>
      <c r="AD11" s="2">
        <f t="shared" si="0"/>
        <v>0.78000000000000114</v>
      </c>
      <c r="AE11" s="138">
        <f t="shared" si="1"/>
        <v>-9.9800399201597223E-3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42662</v>
      </c>
      <c r="X12" s="10">
        <v>47.74</v>
      </c>
      <c r="Y12" s="10">
        <v>50.33</v>
      </c>
      <c r="Z12" s="10">
        <v>47.48</v>
      </c>
      <c r="AA12" s="10">
        <v>50.1</v>
      </c>
      <c r="AB12" s="95">
        <v>6570000</v>
      </c>
      <c r="AC12" s="10">
        <v>50.1</v>
      </c>
      <c r="AD12" s="2">
        <f t="shared" si="0"/>
        <v>2.8500000000000014</v>
      </c>
      <c r="AE12" s="138">
        <f t="shared" si="1"/>
        <v>5.4292929292929282E-2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42661</v>
      </c>
      <c r="X13" s="10">
        <v>46.91</v>
      </c>
      <c r="Y13" s="10">
        <v>47.85</v>
      </c>
      <c r="Z13" s="10">
        <v>46.62</v>
      </c>
      <c r="AA13" s="10">
        <v>47.52</v>
      </c>
      <c r="AB13" s="95">
        <v>2491400</v>
      </c>
      <c r="AC13" s="10">
        <v>47.52</v>
      </c>
      <c r="AD13" s="2">
        <f t="shared" si="0"/>
        <v>1.230000000000004</v>
      </c>
      <c r="AE13" s="138">
        <f t="shared" si="1"/>
        <v>2.0837808807733671E-2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42660</v>
      </c>
      <c r="X14" s="10">
        <v>46.92</v>
      </c>
      <c r="Y14" s="10">
        <v>47.36</v>
      </c>
      <c r="Z14" s="10">
        <v>46.52</v>
      </c>
      <c r="AA14" s="10">
        <v>46.55</v>
      </c>
      <c r="AB14" s="95">
        <v>1641700</v>
      </c>
      <c r="AC14" s="10">
        <v>46.55</v>
      </c>
      <c r="AD14" s="2">
        <f t="shared" si="0"/>
        <v>0.83999999999999631</v>
      </c>
      <c r="AE14" s="138">
        <f t="shared" si="1"/>
        <v>-2.143622722400873E-3</v>
      </c>
    </row>
    <row r="15" spans="1:43" x14ac:dyDescent="0.25">
      <c r="W15" s="133">
        <v>42657</v>
      </c>
      <c r="X15" s="10">
        <v>46.91</v>
      </c>
      <c r="Y15" s="10">
        <v>47.21</v>
      </c>
      <c r="Z15" s="10">
        <v>46.64</v>
      </c>
      <c r="AA15" s="10">
        <v>46.65</v>
      </c>
      <c r="AB15" s="95">
        <v>2434200</v>
      </c>
      <c r="AC15" s="10">
        <v>46.65</v>
      </c>
      <c r="AD15" s="2">
        <f t="shared" si="0"/>
        <v>0.57000000000000028</v>
      </c>
      <c r="AE15" s="138">
        <f t="shared" si="1"/>
        <v>4.2890842805043405E-4</v>
      </c>
    </row>
    <row r="16" spans="1:43" x14ac:dyDescent="0.25">
      <c r="W16" s="133">
        <v>42656</v>
      </c>
      <c r="X16" s="10">
        <v>46.32</v>
      </c>
      <c r="Y16" s="10">
        <v>46.79</v>
      </c>
      <c r="Z16" s="10">
        <v>45.18</v>
      </c>
      <c r="AA16" s="10">
        <v>46.63</v>
      </c>
      <c r="AB16" s="95">
        <v>3130000</v>
      </c>
      <c r="AC16" s="10">
        <v>46.63</v>
      </c>
      <c r="AD16" s="2">
        <f t="shared" si="0"/>
        <v>1.6099999999999994</v>
      </c>
      <c r="AE16" s="138">
        <f t="shared" si="1"/>
        <v>-2.9933718195424008E-3</v>
      </c>
    </row>
    <row r="17" spans="1:31" x14ac:dyDescent="0.25">
      <c r="B17" s="1"/>
      <c r="C17" s="4"/>
      <c r="W17" s="133">
        <v>42655</v>
      </c>
      <c r="X17" s="10">
        <v>45.65</v>
      </c>
      <c r="Y17" s="10">
        <v>47</v>
      </c>
      <c r="Z17" s="10">
        <v>45.45</v>
      </c>
      <c r="AA17" s="10">
        <v>46.77</v>
      </c>
      <c r="AB17" s="95">
        <v>3131000</v>
      </c>
      <c r="AC17" s="10">
        <v>46.77</v>
      </c>
      <c r="AD17" s="2">
        <f t="shared" si="0"/>
        <v>1.5499999999999972</v>
      </c>
      <c r="AE17" s="138">
        <f t="shared" si="1"/>
        <v>2.4534501642935469E-2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42654</v>
      </c>
      <c r="X18" s="10">
        <v>46.44</v>
      </c>
      <c r="Y18" s="10">
        <v>46.77</v>
      </c>
      <c r="Z18" s="10">
        <v>45.47</v>
      </c>
      <c r="AA18" s="10">
        <v>45.65</v>
      </c>
      <c r="AB18" s="95">
        <v>3237400</v>
      </c>
      <c r="AC18" s="10">
        <v>45.65</v>
      </c>
      <c r="AD18" s="2">
        <f t="shared" si="0"/>
        <v>1.3000000000000043</v>
      </c>
      <c r="AE18" s="138">
        <f t="shared" si="1"/>
        <v>-1.6587677725118599E-2</v>
      </c>
    </row>
    <row r="19" spans="1:31" x14ac:dyDescent="0.25">
      <c r="G19" s="2"/>
      <c r="W19" s="133">
        <v>42653</v>
      </c>
      <c r="X19" s="10">
        <v>47.24</v>
      </c>
      <c r="Y19" s="10">
        <v>47.61</v>
      </c>
      <c r="Z19" s="10">
        <v>46.39</v>
      </c>
      <c r="AA19" s="10">
        <v>46.42</v>
      </c>
      <c r="AB19" s="95">
        <v>2204000</v>
      </c>
      <c r="AC19" s="10">
        <v>46.42</v>
      </c>
      <c r="AD19" s="2">
        <f t="shared" si="0"/>
        <v>1.2199999999999989</v>
      </c>
      <c r="AE19" s="138">
        <f t="shared" si="1"/>
        <v>-1.1499148211243648E-2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W20" s="133">
        <v>42650</v>
      </c>
      <c r="X20" s="10">
        <v>47.7</v>
      </c>
      <c r="Y20" s="10">
        <v>47.78</v>
      </c>
      <c r="Z20" s="10">
        <v>46.86</v>
      </c>
      <c r="AA20" s="10">
        <v>46.96</v>
      </c>
      <c r="AB20" s="95">
        <v>2154100</v>
      </c>
      <c r="AC20" s="10">
        <v>46.96</v>
      </c>
      <c r="AD20" s="2">
        <f t="shared" si="0"/>
        <v>0.92000000000000171</v>
      </c>
      <c r="AE20" s="138">
        <f t="shared" si="1"/>
        <v>-1.1784511784511786E-2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42649</v>
      </c>
      <c r="X21" s="10">
        <v>47.01</v>
      </c>
      <c r="Y21" s="10">
        <v>47.73</v>
      </c>
      <c r="Z21" s="10">
        <v>46.68</v>
      </c>
      <c r="AA21" s="10">
        <v>47.52</v>
      </c>
      <c r="AB21" s="95">
        <v>3012200</v>
      </c>
      <c r="AC21" s="10">
        <v>47.52</v>
      </c>
      <c r="AD21" s="2">
        <f t="shared" si="0"/>
        <v>1.0499999999999972</v>
      </c>
      <c r="AE21" s="138">
        <f t="shared" si="1"/>
        <v>1.0848755583918512E-2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42648</v>
      </c>
      <c r="X22" s="10">
        <v>47.38</v>
      </c>
      <c r="Y22" s="10">
        <v>47.44</v>
      </c>
      <c r="Z22" s="10">
        <v>47</v>
      </c>
      <c r="AA22" s="10">
        <v>47.01</v>
      </c>
      <c r="AB22" s="95">
        <v>1834100</v>
      </c>
      <c r="AC22" s="10">
        <v>47.01</v>
      </c>
      <c r="AD22" s="2">
        <f t="shared" si="0"/>
        <v>0.43999999999999773</v>
      </c>
      <c r="AE22" s="138">
        <f t="shared" si="1"/>
        <v>-7.1805702217530021E-3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42647</v>
      </c>
      <c r="X23" s="10">
        <v>46.6</v>
      </c>
      <c r="Y23" s="10">
        <v>47.5</v>
      </c>
      <c r="Z23" s="10">
        <v>46.05</v>
      </c>
      <c r="AA23" s="10">
        <v>47.35</v>
      </c>
      <c r="AB23" s="95">
        <v>2397600</v>
      </c>
      <c r="AC23" s="10">
        <v>47.35</v>
      </c>
      <c r="AD23" s="2">
        <f t="shared" si="0"/>
        <v>1.4500000000000028</v>
      </c>
      <c r="AE23" s="138">
        <f t="shared" si="1"/>
        <v>1.9595176571920891E-2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42646</v>
      </c>
      <c r="X24" s="10">
        <v>46.61</v>
      </c>
      <c r="Y24" s="10">
        <v>46.88</v>
      </c>
      <c r="Z24" s="10">
        <v>46.1</v>
      </c>
      <c r="AA24" s="10">
        <v>46.44</v>
      </c>
      <c r="AB24" s="95">
        <v>1746400</v>
      </c>
      <c r="AC24" s="10">
        <v>46.44</v>
      </c>
      <c r="AD24" s="2">
        <f t="shared" si="0"/>
        <v>0.78000000000000114</v>
      </c>
      <c r="AE24" s="138">
        <f t="shared" si="1"/>
        <v>-7.4802308185509814E-3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42643</v>
      </c>
      <c r="X25" s="10">
        <v>46.99</v>
      </c>
      <c r="Y25" s="10">
        <v>47.32</v>
      </c>
      <c r="Z25" s="10">
        <v>46.44</v>
      </c>
      <c r="AA25" s="10">
        <v>46.79</v>
      </c>
      <c r="AB25" s="95">
        <v>2852300</v>
      </c>
      <c r="AC25" s="10">
        <v>46.79</v>
      </c>
      <c r="AD25" s="2">
        <f t="shared" si="0"/>
        <v>0.88000000000000256</v>
      </c>
      <c r="AE25" s="138">
        <f t="shared" si="1"/>
        <v>-1.7068487305311741E-3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42642</v>
      </c>
      <c r="X26" s="10">
        <v>47.98</v>
      </c>
      <c r="Y26" s="10">
        <v>48.29</v>
      </c>
      <c r="Z26" s="10">
        <v>46.87</v>
      </c>
      <c r="AA26" s="10">
        <v>46.87</v>
      </c>
      <c r="AB26" s="95">
        <v>1778400</v>
      </c>
      <c r="AC26" s="10">
        <v>46.87</v>
      </c>
      <c r="AD26" s="2">
        <f t="shared" si="0"/>
        <v>1.4200000000000017</v>
      </c>
      <c r="AE26" s="138">
        <f t="shared" si="1"/>
        <v>-2.8399668325041594E-2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42641</v>
      </c>
      <c r="X27" s="10">
        <v>48.02</v>
      </c>
      <c r="Y27" s="10">
        <v>48.35</v>
      </c>
      <c r="Z27" s="10">
        <v>47.77</v>
      </c>
      <c r="AA27" s="10">
        <v>48.24</v>
      </c>
      <c r="AB27" s="95">
        <v>1888900</v>
      </c>
      <c r="AC27" s="10">
        <v>48.24</v>
      </c>
      <c r="AD27" s="2">
        <f t="shared" si="0"/>
        <v>0.57999999999999829</v>
      </c>
      <c r="AE27" s="138">
        <f t="shared" si="1"/>
        <v>1.4531866306830565E-3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42640</v>
      </c>
      <c r="X28" s="10">
        <v>47.97</v>
      </c>
      <c r="Y28" s="10">
        <v>48.22</v>
      </c>
      <c r="Z28" s="10">
        <v>47.61</v>
      </c>
      <c r="AA28" s="10">
        <v>48.17</v>
      </c>
      <c r="AB28" s="95">
        <v>1966500</v>
      </c>
      <c r="AC28" s="10">
        <v>48.17</v>
      </c>
      <c r="AD28" s="2">
        <f t="shared" si="0"/>
        <v>0.60999999999999943</v>
      </c>
      <c r="AE28" s="138">
        <f t="shared" si="1"/>
        <v>4.169272461955531E-3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42639</v>
      </c>
      <c r="X29" s="10">
        <v>50.38</v>
      </c>
      <c r="Y29" s="10">
        <v>50.44</v>
      </c>
      <c r="Z29" s="10">
        <v>47.96</v>
      </c>
      <c r="AA29" s="10">
        <v>47.97</v>
      </c>
      <c r="AB29" s="95">
        <v>4016100</v>
      </c>
      <c r="AC29" s="10">
        <v>47.97</v>
      </c>
      <c r="AD29" s="2">
        <f t="shared" si="0"/>
        <v>2.4799999999999969</v>
      </c>
      <c r="AE29" s="138">
        <f t="shared" si="1"/>
        <v>-5.0287071866957023E-2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42636</v>
      </c>
      <c r="X30" s="10">
        <v>50.07</v>
      </c>
      <c r="Y30" s="10">
        <v>51.06</v>
      </c>
      <c r="Z30" s="10">
        <v>50.07</v>
      </c>
      <c r="AA30" s="10">
        <v>50.51</v>
      </c>
      <c r="AB30" s="95">
        <v>1666500</v>
      </c>
      <c r="AC30" s="10">
        <v>50.51</v>
      </c>
      <c r="AD30" s="2">
        <f t="shared" si="0"/>
        <v>0.99000000000000199</v>
      </c>
      <c r="AE30" s="138">
        <f t="shared" si="1"/>
        <v>7.9824386350029197E-3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42635</v>
      </c>
      <c r="X31" s="10">
        <v>50.05</v>
      </c>
      <c r="Y31" s="10">
        <v>50.41</v>
      </c>
      <c r="Z31" s="10">
        <v>49.78</v>
      </c>
      <c r="AA31" s="10">
        <v>50.11</v>
      </c>
      <c r="AB31" s="95">
        <v>1552100</v>
      </c>
      <c r="AC31" s="10">
        <v>50.11</v>
      </c>
      <c r="AD31" s="2">
        <f t="shared" si="0"/>
        <v>0.62999999999999545</v>
      </c>
      <c r="AE31" s="138">
        <f t="shared" si="1"/>
        <v>5.4173354735151946E-3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42634</v>
      </c>
      <c r="X32" s="10">
        <v>49.22</v>
      </c>
      <c r="Y32" s="10">
        <v>49.88</v>
      </c>
      <c r="Z32" s="10">
        <v>48.88</v>
      </c>
      <c r="AA32" s="10">
        <v>49.84</v>
      </c>
      <c r="AB32" s="95">
        <v>1699100</v>
      </c>
      <c r="AC32" s="10">
        <v>49.84</v>
      </c>
      <c r="AD32" s="2">
        <f t="shared" si="0"/>
        <v>1</v>
      </c>
      <c r="AE32" s="138">
        <f t="shared" si="1"/>
        <v>1.4657980456026287E-2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42633</v>
      </c>
      <c r="X33" s="10">
        <v>49.86</v>
      </c>
      <c r="Y33" s="10">
        <v>49.9</v>
      </c>
      <c r="Z33" s="10">
        <v>48.78</v>
      </c>
      <c r="AA33" s="10">
        <v>49.12</v>
      </c>
      <c r="AB33" s="95">
        <v>1756300</v>
      </c>
      <c r="AC33" s="10">
        <v>49.12</v>
      </c>
      <c r="AD33" s="2">
        <f t="shared" si="0"/>
        <v>1.1199999999999974</v>
      </c>
      <c r="AE33" s="138">
        <f t="shared" si="1"/>
        <v>-1.0076582023377689E-2</v>
      </c>
    </row>
    <row r="34" spans="1:31" x14ac:dyDescent="0.25">
      <c r="W34" s="133">
        <v>42632</v>
      </c>
      <c r="X34" s="10">
        <v>48.07</v>
      </c>
      <c r="Y34" s="10">
        <v>49.94</v>
      </c>
      <c r="Z34" s="10">
        <v>47.97</v>
      </c>
      <c r="AA34" s="10">
        <v>49.62</v>
      </c>
      <c r="AB34" s="95">
        <v>3371500</v>
      </c>
      <c r="AC34" s="10">
        <v>49.62</v>
      </c>
      <c r="AD34" s="2">
        <f t="shared" si="0"/>
        <v>1.9699999999999989</v>
      </c>
      <c r="AE34" s="138">
        <f t="shared" si="1"/>
        <v>3.699059561128526E-2</v>
      </c>
    </row>
    <row r="35" spans="1:31" x14ac:dyDescent="0.25">
      <c r="L35" t="s">
        <v>218</v>
      </c>
      <c r="M35" s="2">
        <f>M51+K51-F51</f>
        <v>745.43999999999505</v>
      </c>
      <c r="W35" s="133">
        <v>42629</v>
      </c>
      <c r="X35" s="10">
        <v>47.44</v>
      </c>
      <c r="Y35" s="10">
        <v>47.94</v>
      </c>
      <c r="Z35" s="10">
        <v>47.14</v>
      </c>
      <c r="AA35" s="10">
        <v>47.85</v>
      </c>
      <c r="AB35" s="95">
        <v>4172600</v>
      </c>
      <c r="AC35" s="10">
        <v>47.85</v>
      </c>
      <c r="AD35" s="2">
        <f t="shared" si="0"/>
        <v>0.79999999999999716</v>
      </c>
      <c r="AE35" s="138">
        <f t="shared" si="1"/>
        <v>3.5654362416108754E-3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2" t="s">
        <v>7</v>
      </c>
      <c r="J36" s="392" t="s">
        <v>95</v>
      </c>
      <c r="K36" s="392" t="s">
        <v>61</v>
      </c>
      <c r="L36" s="390" t="s">
        <v>77</v>
      </c>
      <c r="M36" s="390" t="s">
        <v>38</v>
      </c>
      <c r="W36" s="133">
        <v>42628</v>
      </c>
      <c r="X36" s="10">
        <v>47.09</v>
      </c>
      <c r="Y36" s="10">
        <v>47.76</v>
      </c>
      <c r="Z36" s="10">
        <v>46.85</v>
      </c>
      <c r="AA36" s="10">
        <v>47.68</v>
      </c>
      <c r="AB36" s="95">
        <v>1823800</v>
      </c>
      <c r="AC36" s="10">
        <v>47.68</v>
      </c>
      <c r="AD36" s="2">
        <f t="shared" si="0"/>
        <v>0.90999999999999659</v>
      </c>
      <c r="AE36" s="138">
        <f t="shared" si="1"/>
        <v>4.0008422825856815E-3</v>
      </c>
    </row>
    <row r="37" spans="1:31" x14ac:dyDescent="0.25">
      <c r="A37" s="393" t="s">
        <v>24</v>
      </c>
      <c r="B37" s="383">
        <v>42156</v>
      </c>
      <c r="C37" s="384">
        <v>5</v>
      </c>
      <c r="D37" s="385">
        <v>48.55</v>
      </c>
      <c r="E37" s="385">
        <v>0</v>
      </c>
      <c r="F37" s="385">
        <f>C37*D37</f>
        <v>242.75</v>
      </c>
      <c r="G37" s="383">
        <v>42186</v>
      </c>
      <c r="H37" s="384">
        <v>100</v>
      </c>
      <c r="I37" s="385">
        <v>44.99</v>
      </c>
      <c r="J37" s="385">
        <v>0.08</v>
      </c>
      <c r="K37" s="385">
        <f>H37*I37-J37</f>
        <v>4498.92</v>
      </c>
      <c r="L37" s="384" t="s">
        <v>80</v>
      </c>
      <c r="M37" s="384"/>
      <c r="W37" s="133">
        <v>42627</v>
      </c>
      <c r="X37" s="10">
        <v>47.38</v>
      </c>
      <c r="Y37" s="10">
        <v>47.66</v>
      </c>
      <c r="Z37" s="10">
        <v>46.98</v>
      </c>
      <c r="AA37" s="10">
        <v>47.49</v>
      </c>
      <c r="AB37" s="95">
        <v>1831800</v>
      </c>
      <c r="AC37" s="10">
        <v>47.49</v>
      </c>
      <c r="AD37" s="2">
        <f t="shared" si="0"/>
        <v>0.67999999999999972</v>
      </c>
      <c r="AE37" s="138">
        <f t="shared" si="1"/>
        <v>-2.1052631578943881E-4</v>
      </c>
    </row>
    <row r="38" spans="1:31" x14ac:dyDescent="0.25">
      <c r="A38" s="394" t="s">
        <v>71</v>
      </c>
      <c r="B38" s="383">
        <v>42156</v>
      </c>
      <c r="C38" s="384">
        <v>5</v>
      </c>
      <c r="D38" s="385">
        <v>47.01</v>
      </c>
      <c r="E38" s="385">
        <v>0</v>
      </c>
      <c r="F38" s="385">
        <f t="shared" ref="F38:F49" si="5">C38*D38</f>
        <v>235.04999999999998</v>
      </c>
      <c r="G38" s="383">
        <v>42227</v>
      </c>
      <c r="H38" s="384">
        <v>100</v>
      </c>
      <c r="I38" s="385">
        <v>43</v>
      </c>
      <c r="J38" s="385">
        <v>0.08</v>
      </c>
      <c r="K38" s="385">
        <f>H38*I38-J38</f>
        <v>4299.92</v>
      </c>
      <c r="L38" s="384"/>
      <c r="M38" s="384"/>
      <c r="W38" s="133">
        <v>42626</v>
      </c>
      <c r="X38" s="10">
        <v>48.09</v>
      </c>
      <c r="Y38" s="10">
        <v>48.24</v>
      </c>
      <c r="Z38" s="10">
        <v>47.01</v>
      </c>
      <c r="AA38" s="10">
        <v>47.5</v>
      </c>
      <c r="AB38" s="95">
        <v>1529800</v>
      </c>
      <c r="AC38" s="10">
        <v>47.5</v>
      </c>
      <c r="AD38" s="2">
        <f t="shared" si="0"/>
        <v>1.230000000000004</v>
      </c>
      <c r="AE38" s="138">
        <f t="shared" si="1"/>
        <v>-1.6766714965845586E-2</v>
      </c>
    </row>
    <row r="39" spans="1:31" x14ac:dyDescent="0.25">
      <c r="A39" s="384"/>
      <c r="B39" s="383">
        <v>42156</v>
      </c>
      <c r="C39" s="384">
        <v>10</v>
      </c>
      <c r="D39" s="385">
        <v>46.5</v>
      </c>
      <c r="E39" s="385">
        <v>0</v>
      </c>
      <c r="F39" s="385">
        <f t="shared" si="5"/>
        <v>465</v>
      </c>
      <c r="G39" s="383">
        <v>42312</v>
      </c>
      <c r="H39" s="388">
        <v>40</v>
      </c>
      <c r="I39" s="385">
        <v>42.5</v>
      </c>
      <c r="J39" s="385">
        <v>0.03</v>
      </c>
      <c r="K39" s="385">
        <f>H39*I39-J39</f>
        <v>1699.97</v>
      </c>
      <c r="L39" s="384"/>
      <c r="M39" s="384"/>
      <c r="W39" s="133">
        <v>42625</v>
      </c>
      <c r="X39" s="10">
        <v>47.46</v>
      </c>
      <c r="Y39" s="10">
        <v>48.54</v>
      </c>
      <c r="Z39" s="10">
        <v>47.3</v>
      </c>
      <c r="AA39" s="10">
        <v>48.31</v>
      </c>
      <c r="AB39" s="95">
        <v>1684100</v>
      </c>
      <c r="AC39" s="10">
        <v>48.31</v>
      </c>
      <c r="AD39" s="2">
        <f t="shared" si="0"/>
        <v>1.240000000000002</v>
      </c>
      <c r="AE39" s="138">
        <f t="shared" si="1"/>
        <v>1.2151686570291309E-2</v>
      </c>
    </row>
    <row r="40" spans="1:31" x14ac:dyDescent="0.25">
      <c r="A40" s="384"/>
      <c r="B40" s="383">
        <v>42156</v>
      </c>
      <c r="C40" s="384">
        <v>50</v>
      </c>
      <c r="D40" s="385">
        <v>45.95</v>
      </c>
      <c r="E40" s="385">
        <v>0</v>
      </c>
      <c r="F40" s="385">
        <f t="shared" si="5"/>
        <v>2297.5</v>
      </c>
      <c r="G40" s="383">
        <v>42318</v>
      </c>
      <c r="H40" s="388">
        <v>14</v>
      </c>
      <c r="I40" s="385">
        <v>43.5</v>
      </c>
      <c r="J40" s="385">
        <v>0.01</v>
      </c>
      <c r="K40" s="385">
        <f t="shared" ref="K40:K47" si="6">H40*I40-J40</f>
        <v>608.99</v>
      </c>
      <c r="L40" s="384"/>
      <c r="M40" s="384"/>
      <c r="W40" s="133">
        <v>42622</v>
      </c>
      <c r="X40" s="10">
        <v>49</v>
      </c>
      <c r="Y40" s="10">
        <v>49</v>
      </c>
      <c r="Z40" s="10">
        <v>47.73</v>
      </c>
      <c r="AA40" s="10">
        <v>47.73</v>
      </c>
      <c r="AB40" s="95">
        <v>1990000</v>
      </c>
      <c r="AC40" s="10">
        <v>47.73</v>
      </c>
      <c r="AD40" s="2">
        <f t="shared" si="0"/>
        <v>1.2700000000000031</v>
      </c>
      <c r="AE40" s="138">
        <f t="shared" si="1"/>
        <v>-2.9286150091519358E-2</v>
      </c>
    </row>
    <row r="41" spans="1:31" x14ac:dyDescent="0.25">
      <c r="A41" s="384"/>
      <c r="B41" s="383">
        <v>42156</v>
      </c>
      <c r="C41" s="384">
        <v>30</v>
      </c>
      <c r="D41" s="385">
        <v>45.95</v>
      </c>
      <c r="E41" s="385">
        <v>0</v>
      </c>
      <c r="F41" s="385">
        <f t="shared" si="5"/>
        <v>1378.5</v>
      </c>
      <c r="G41" s="383">
        <v>42318</v>
      </c>
      <c r="H41" s="388">
        <v>26</v>
      </c>
      <c r="I41" s="385">
        <v>43.78</v>
      </c>
      <c r="J41" s="385">
        <v>0.02</v>
      </c>
      <c r="K41" s="385">
        <f t="shared" si="6"/>
        <v>1138.26</v>
      </c>
      <c r="L41" s="384"/>
      <c r="M41" s="384"/>
      <c r="W41" s="133">
        <v>42621</v>
      </c>
      <c r="X41" s="10">
        <v>49.92</v>
      </c>
      <c r="Y41" s="10">
        <v>49.99</v>
      </c>
      <c r="Z41" s="10">
        <v>49.04</v>
      </c>
      <c r="AA41" s="10">
        <v>49.17</v>
      </c>
      <c r="AB41" s="95">
        <v>2312700</v>
      </c>
      <c r="AC41" s="10">
        <v>49.17</v>
      </c>
      <c r="AD41" s="2">
        <f t="shared" si="0"/>
        <v>0.95000000000000284</v>
      </c>
      <c r="AE41" s="138">
        <f t="shared" si="1"/>
        <v>-1.5024038461538436E-2</v>
      </c>
    </row>
    <row r="42" spans="1:31" ht="20.25" thickBot="1" x14ac:dyDescent="0.35">
      <c r="A42" s="384"/>
      <c r="B42" s="383">
        <v>42186</v>
      </c>
      <c r="C42" s="384">
        <v>100</v>
      </c>
      <c r="D42" s="385">
        <v>44.9</v>
      </c>
      <c r="E42" s="385">
        <v>0</v>
      </c>
      <c r="F42" s="385">
        <f t="shared" si="5"/>
        <v>4490</v>
      </c>
      <c r="G42" s="383">
        <v>42320</v>
      </c>
      <c r="H42" s="388">
        <v>10</v>
      </c>
      <c r="I42" s="385">
        <v>43.9</v>
      </c>
      <c r="J42" s="385">
        <v>0.01</v>
      </c>
      <c r="K42" s="385">
        <f t="shared" si="6"/>
        <v>438.99</v>
      </c>
      <c r="L42" s="384"/>
      <c r="M42" s="384"/>
      <c r="O42" s="160" t="s">
        <v>78</v>
      </c>
      <c r="P42" s="160"/>
      <c r="T42" s="91" t="s">
        <v>113</v>
      </c>
      <c r="W42" s="133">
        <v>42620</v>
      </c>
      <c r="X42" s="10">
        <v>48.87</v>
      </c>
      <c r="Y42" s="10">
        <v>50</v>
      </c>
      <c r="Z42" s="10">
        <v>48.68</v>
      </c>
      <c r="AA42" s="10">
        <v>49.92</v>
      </c>
      <c r="AB42" s="95">
        <v>2832300</v>
      </c>
      <c r="AC42" s="10">
        <v>49.92</v>
      </c>
      <c r="AD42" s="2">
        <f t="shared" si="0"/>
        <v>1.3200000000000003</v>
      </c>
      <c r="AE42" s="138">
        <f t="shared" si="1"/>
        <v>2.4210094378334102E-2</v>
      </c>
    </row>
    <row r="43" spans="1:31" ht="15.75" thickTop="1" x14ac:dyDescent="0.25">
      <c r="A43" s="384"/>
      <c r="B43" s="383">
        <v>42206</v>
      </c>
      <c r="C43" s="384">
        <v>20</v>
      </c>
      <c r="D43" s="385">
        <v>41.2</v>
      </c>
      <c r="E43" s="385">
        <v>0</v>
      </c>
      <c r="F43" s="385">
        <f t="shared" si="5"/>
        <v>824</v>
      </c>
      <c r="G43" s="383">
        <v>42333</v>
      </c>
      <c r="H43" s="388">
        <v>50</v>
      </c>
      <c r="I43" s="385">
        <v>41.67</v>
      </c>
      <c r="J43" s="385">
        <v>0.04</v>
      </c>
      <c r="K43" s="385">
        <f t="shared" si="6"/>
        <v>2083.46</v>
      </c>
      <c r="L43" s="384"/>
      <c r="M43" s="384"/>
      <c r="O43" s="83">
        <v>1.1000000000000001</v>
      </c>
      <c r="P43" s="83">
        <f>O43*$Q$4</f>
        <v>54.703000000000003</v>
      </c>
      <c r="T43" s="128" t="s">
        <v>98</v>
      </c>
      <c r="U43" s="98">
        <v>50.37</v>
      </c>
      <c r="W43" s="133">
        <v>42619</v>
      </c>
      <c r="X43" s="10">
        <v>49.17</v>
      </c>
      <c r="Y43" s="10">
        <v>49.21</v>
      </c>
      <c r="Z43" s="10">
        <v>48.45</v>
      </c>
      <c r="AA43" s="10">
        <v>48.74</v>
      </c>
      <c r="AB43" s="95">
        <v>1777300</v>
      </c>
      <c r="AC43" s="10">
        <v>48.74</v>
      </c>
      <c r="AD43" s="2">
        <f t="shared" si="0"/>
        <v>0.75999999999999801</v>
      </c>
      <c r="AE43" s="138">
        <f t="shared" si="1"/>
        <v>-9.550904287746409E-3</v>
      </c>
    </row>
    <row r="44" spans="1:31" x14ac:dyDescent="0.25">
      <c r="A44" s="384"/>
      <c r="B44" s="383">
        <v>42207</v>
      </c>
      <c r="C44" s="384">
        <v>20</v>
      </c>
      <c r="D44" s="385">
        <v>40.68</v>
      </c>
      <c r="E44" s="385">
        <v>0</v>
      </c>
      <c r="F44" s="385">
        <f t="shared" si="5"/>
        <v>813.6</v>
      </c>
      <c r="G44" s="383">
        <v>42335</v>
      </c>
      <c r="H44" s="388">
        <v>50</v>
      </c>
      <c r="I44" s="385">
        <v>41.85</v>
      </c>
      <c r="J44" s="385">
        <v>0.04</v>
      </c>
      <c r="K44" s="385">
        <f t="shared" si="6"/>
        <v>2092.46</v>
      </c>
      <c r="L44" s="384"/>
      <c r="M44" s="384"/>
      <c r="O44" s="83">
        <v>1.0900000000000001</v>
      </c>
      <c r="P44" s="83">
        <f t="shared" ref="P44:P63" si="7">O44*$Q$4</f>
        <v>54.2057</v>
      </c>
      <c r="T44" s="93" t="s">
        <v>99</v>
      </c>
      <c r="U44" s="88">
        <v>49.99</v>
      </c>
      <c r="W44" s="133">
        <v>42615</v>
      </c>
      <c r="X44" s="10">
        <v>49.48</v>
      </c>
      <c r="Y44" s="10">
        <v>50.36</v>
      </c>
      <c r="Z44" s="10">
        <v>49.16</v>
      </c>
      <c r="AA44" s="10">
        <v>49.21</v>
      </c>
      <c r="AB44" s="95">
        <v>2541800</v>
      </c>
      <c r="AC44" s="10">
        <v>49.21</v>
      </c>
      <c r="AD44" s="2">
        <f t="shared" si="0"/>
        <v>1.2000000000000028</v>
      </c>
      <c r="AE44" s="138">
        <f t="shared" si="1"/>
        <v>-8.2627972591696741E-3</v>
      </c>
    </row>
    <row r="45" spans="1:31" x14ac:dyDescent="0.25">
      <c r="A45" s="384"/>
      <c r="B45" s="383">
        <v>42292</v>
      </c>
      <c r="C45" s="384">
        <v>40</v>
      </c>
      <c r="D45" s="385">
        <v>41.65</v>
      </c>
      <c r="E45" s="385">
        <v>0</v>
      </c>
      <c r="F45" s="385">
        <f t="shared" si="5"/>
        <v>1666</v>
      </c>
      <c r="G45" s="383">
        <v>42335</v>
      </c>
      <c r="H45" s="388">
        <v>50</v>
      </c>
      <c r="I45" s="385">
        <v>42.4</v>
      </c>
      <c r="J45" s="385">
        <v>0.04</v>
      </c>
      <c r="K45" s="385">
        <f t="shared" si="6"/>
        <v>2119.96</v>
      </c>
      <c r="L45" s="384"/>
      <c r="M45" s="384"/>
      <c r="O45" s="83">
        <v>1.08</v>
      </c>
      <c r="P45" s="83">
        <f t="shared" si="7"/>
        <v>53.708399999999997</v>
      </c>
      <c r="R45" s="34"/>
      <c r="T45" s="93" t="s">
        <v>100</v>
      </c>
      <c r="U45" s="88" t="s">
        <v>516</v>
      </c>
      <c r="W45" s="133">
        <v>42614</v>
      </c>
      <c r="X45" s="10">
        <v>48.88</v>
      </c>
      <c r="Y45" s="10">
        <v>49.67</v>
      </c>
      <c r="Z45" s="10">
        <v>48.71</v>
      </c>
      <c r="AA45" s="10">
        <v>49.62</v>
      </c>
      <c r="AB45" s="95">
        <v>1762000</v>
      </c>
      <c r="AC45" s="10">
        <v>49.62</v>
      </c>
      <c r="AD45" s="2">
        <f t="shared" si="0"/>
        <v>0.96000000000000085</v>
      </c>
      <c r="AE45" s="138">
        <f t="shared" si="1"/>
        <v>1.36874361593462E-2</v>
      </c>
    </row>
    <row r="46" spans="1:31" x14ac:dyDescent="0.25">
      <c r="A46" s="384"/>
      <c r="B46" s="383">
        <v>42298</v>
      </c>
      <c r="C46" s="384">
        <v>80</v>
      </c>
      <c r="D46" s="385">
        <v>40.450000000000003</v>
      </c>
      <c r="E46" s="385">
        <v>0</v>
      </c>
      <c r="F46" s="385">
        <f t="shared" si="5"/>
        <v>3236</v>
      </c>
      <c r="G46" s="383">
        <v>42398</v>
      </c>
      <c r="H46" s="388">
        <v>50</v>
      </c>
      <c r="I46" s="385">
        <v>39.65</v>
      </c>
      <c r="J46" s="385">
        <v>0.04</v>
      </c>
      <c r="K46" s="385">
        <f t="shared" si="6"/>
        <v>1982.46</v>
      </c>
      <c r="L46" s="384"/>
      <c r="M46" s="384"/>
      <c r="O46" s="83">
        <v>1.07</v>
      </c>
      <c r="P46" s="83">
        <f t="shared" si="7"/>
        <v>53.211100000000002</v>
      </c>
      <c r="Q46" s="34"/>
      <c r="R46" s="34"/>
      <c r="T46" s="93" t="s">
        <v>101</v>
      </c>
      <c r="U46" s="88" t="s">
        <v>517</v>
      </c>
      <c r="W46" s="133">
        <v>42613</v>
      </c>
      <c r="X46" s="10">
        <v>49.14</v>
      </c>
      <c r="Y46" s="10">
        <v>49.72</v>
      </c>
      <c r="Z46" s="10">
        <v>48.46</v>
      </c>
      <c r="AA46" s="10">
        <v>48.95</v>
      </c>
      <c r="AB46" s="95">
        <v>2106500</v>
      </c>
      <c r="AC46" s="10">
        <v>48.95</v>
      </c>
      <c r="AD46" s="2">
        <f t="shared" si="0"/>
        <v>1.259999999999998</v>
      </c>
      <c r="AE46" s="138">
        <f t="shared" si="1"/>
        <v>-6.0913705583756084E-3</v>
      </c>
    </row>
    <row r="47" spans="1:31" x14ac:dyDescent="0.25">
      <c r="A47" s="384"/>
      <c r="B47" s="383">
        <v>42298</v>
      </c>
      <c r="C47" s="384">
        <v>80</v>
      </c>
      <c r="D47" s="385">
        <v>39.9</v>
      </c>
      <c r="E47" s="385">
        <v>0</v>
      </c>
      <c r="F47" s="385">
        <f t="shared" si="5"/>
        <v>3192</v>
      </c>
      <c r="G47" s="383">
        <v>42408</v>
      </c>
      <c r="H47" s="388">
        <v>50</v>
      </c>
      <c r="I47" s="385">
        <v>51.5</v>
      </c>
      <c r="J47" s="385">
        <v>0.05</v>
      </c>
      <c r="K47" s="385">
        <f t="shared" si="6"/>
        <v>2574.9499999999998</v>
      </c>
      <c r="L47" s="384"/>
      <c r="M47" s="384"/>
      <c r="O47" s="83">
        <v>1.06</v>
      </c>
      <c r="P47" s="83">
        <f t="shared" si="7"/>
        <v>52.713799999999999</v>
      </c>
      <c r="Q47" s="34"/>
      <c r="R47" s="34"/>
      <c r="T47" s="93" t="s">
        <v>102</v>
      </c>
      <c r="U47" s="88">
        <v>55</v>
      </c>
      <c r="W47" s="133">
        <v>42612</v>
      </c>
      <c r="X47" s="10">
        <v>49.96</v>
      </c>
      <c r="Y47" s="10">
        <v>50.11</v>
      </c>
      <c r="Z47" s="10">
        <v>49.14</v>
      </c>
      <c r="AA47" s="10">
        <v>49.25</v>
      </c>
      <c r="AB47" s="95">
        <v>1675800</v>
      </c>
      <c r="AC47" s="10">
        <v>49.25</v>
      </c>
      <c r="AD47" s="2">
        <f t="shared" si="0"/>
        <v>0.96999999999999886</v>
      </c>
      <c r="AE47" s="138">
        <f t="shared" si="1"/>
        <v>-1.9119697271459901E-2</v>
      </c>
    </row>
    <row r="48" spans="1:31" x14ac:dyDescent="0.25">
      <c r="A48" s="384"/>
      <c r="B48" s="383">
        <v>42333</v>
      </c>
      <c r="C48" s="384">
        <v>50</v>
      </c>
      <c r="D48" s="385">
        <v>41.2</v>
      </c>
      <c r="E48" s="385">
        <v>0</v>
      </c>
      <c r="F48" s="385">
        <f t="shared" si="5"/>
        <v>2060</v>
      </c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7"/>
        <v>52.216499999999996</v>
      </c>
      <c r="Q48" s="34"/>
      <c r="R48" s="34"/>
      <c r="T48" s="93" t="s">
        <v>103</v>
      </c>
      <c r="U48" s="88">
        <v>0.22034599999999999</v>
      </c>
      <c r="W48" s="133">
        <v>42611</v>
      </c>
      <c r="X48" s="10">
        <v>49.59</v>
      </c>
      <c r="Y48" s="10">
        <v>50.58</v>
      </c>
      <c r="Z48" s="10">
        <v>49.59</v>
      </c>
      <c r="AA48" s="10">
        <v>50.21</v>
      </c>
      <c r="AB48" s="95">
        <v>1445400</v>
      </c>
      <c r="AC48" s="10">
        <v>50.21</v>
      </c>
      <c r="AD48" s="2">
        <f t="shared" si="0"/>
        <v>0.98999999999999488</v>
      </c>
      <c r="AE48" s="138">
        <f t="shared" si="1"/>
        <v>1.2502520669489758E-2</v>
      </c>
    </row>
    <row r="49" spans="1:31" x14ac:dyDescent="0.25">
      <c r="A49" s="384"/>
      <c r="B49" s="383">
        <v>42377</v>
      </c>
      <c r="C49" s="384">
        <v>50</v>
      </c>
      <c r="D49" s="385">
        <v>37.85</v>
      </c>
      <c r="E49" s="385">
        <v>0</v>
      </c>
      <c r="F49" s="385">
        <f t="shared" si="5"/>
        <v>1892.5</v>
      </c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7"/>
        <v>51.719200000000001</v>
      </c>
      <c r="Q49" s="34"/>
      <c r="R49" s="34"/>
      <c r="T49" s="93" t="s">
        <v>104</v>
      </c>
      <c r="U49" s="88" t="s">
        <v>401</v>
      </c>
      <c r="W49" s="133">
        <v>42608</v>
      </c>
      <c r="X49" s="10">
        <v>50.13</v>
      </c>
      <c r="Y49" s="10">
        <v>50.65</v>
      </c>
      <c r="Z49" s="10">
        <v>49.43</v>
      </c>
      <c r="AA49" s="10">
        <v>49.59</v>
      </c>
      <c r="AB49" s="95">
        <v>1944200</v>
      </c>
      <c r="AC49" s="10">
        <v>49.59</v>
      </c>
      <c r="AD49" s="2">
        <f t="shared" si="0"/>
        <v>1.2199999999999989</v>
      </c>
      <c r="AE49" s="138">
        <f t="shared" si="1"/>
        <v>-1.3330680461599576E-2</v>
      </c>
    </row>
    <row r="50" spans="1:31" x14ac:dyDescent="0.25">
      <c r="A50" s="384"/>
      <c r="B50" s="383"/>
      <c r="C50" s="384"/>
      <c r="D50" s="385"/>
      <c r="E50" s="385"/>
      <c r="F50" s="385"/>
      <c r="G50" s="384"/>
      <c r="H50" s="384"/>
      <c r="I50" s="385"/>
      <c r="J50" s="385"/>
      <c r="K50" s="385"/>
      <c r="L50" s="384"/>
      <c r="M50" s="384"/>
      <c r="O50" s="83">
        <v>1.03</v>
      </c>
      <c r="P50" s="83">
        <f t="shared" si="7"/>
        <v>51.221899999999998</v>
      </c>
      <c r="Q50" s="83"/>
      <c r="R50" s="34"/>
      <c r="T50" s="93"/>
      <c r="U50" s="88"/>
      <c r="W50" s="133">
        <v>42607</v>
      </c>
      <c r="X50" s="10">
        <v>50.11</v>
      </c>
      <c r="Y50" s="10">
        <v>50.87</v>
      </c>
      <c r="Z50" s="10">
        <v>49.78</v>
      </c>
      <c r="AA50" s="10">
        <v>50.26</v>
      </c>
      <c r="AB50" s="95">
        <v>2548300</v>
      </c>
      <c r="AC50" s="10">
        <v>50.26</v>
      </c>
      <c r="AD50" s="2">
        <f t="shared" si="0"/>
        <v>1.0899999999999963</v>
      </c>
      <c r="AE50" s="138">
        <f t="shared" si="1"/>
        <v>-1.5891934843068611E-3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50.724599999999995</v>
      </c>
      <c r="Q51" s="83"/>
      <c r="R51" s="34"/>
      <c r="T51" s="93" t="s">
        <v>105</v>
      </c>
      <c r="U51" s="88" t="s">
        <v>518</v>
      </c>
      <c r="W51" s="133">
        <v>42606</v>
      </c>
      <c r="X51" s="10">
        <v>50.66</v>
      </c>
      <c r="Y51" s="10">
        <v>51</v>
      </c>
      <c r="Z51" s="10">
        <v>49.99</v>
      </c>
      <c r="AA51" s="10">
        <v>50.34</v>
      </c>
      <c r="AB51" s="95">
        <v>2171600</v>
      </c>
      <c r="AC51" s="10">
        <v>50.34</v>
      </c>
      <c r="AD51" s="2">
        <f t="shared" si="0"/>
        <v>1.009999999999998</v>
      </c>
      <c r="AE51" s="138">
        <f t="shared" si="1"/>
        <v>-8.6648286727057933E-3</v>
      </c>
    </row>
    <row r="52" spans="1:31" x14ac:dyDescent="0.25">
      <c r="A52" s="384"/>
      <c r="B52" s="384"/>
      <c r="C52" s="384"/>
      <c r="D52" s="385"/>
      <c r="E52" s="385"/>
      <c r="F52" s="385"/>
      <c r="G52" s="385"/>
      <c r="H52" s="384"/>
      <c r="I52" s="385"/>
      <c r="J52" s="385"/>
      <c r="K52" s="385"/>
      <c r="L52" s="384"/>
      <c r="M52" s="384"/>
      <c r="O52" s="83">
        <v>1.01</v>
      </c>
      <c r="P52" s="83">
        <f t="shared" si="7"/>
        <v>50.2273</v>
      </c>
      <c r="Q52" s="83"/>
      <c r="R52" s="34"/>
      <c r="T52" s="93" t="s">
        <v>106</v>
      </c>
      <c r="U52" s="88" t="s">
        <v>226</v>
      </c>
      <c r="W52" s="133">
        <v>42605</v>
      </c>
      <c r="X52" s="10">
        <v>50.33</v>
      </c>
      <c r="Y52" s="10">
        <v>50.96</v>
      </c>
      <c r="Z52" s="10">
        <v>50.23</v>
      </c>
      <c r="AA52" s="10">
        <v>50.78</v>
      </c>
      <c r="AB52" s="95">
        <v>2197500</v>
      </c>
      <c r="AC52" s="10">
        <v>50.78</v>
      </c>
      <c r="AD52" s="2">
        <f t="shared" si="0"/>
        <v>0.73000000000000398</v>
      </c>
      <c r="AE52" s="138">
        <f t="shared" si="1"/>
        <v>1.2966287652104391E-2</v>
      </c>
    </row>
    <row r="53" spans="1:31" x14ac:dyDescent="0.25">
      <c r="O53" s="83">
        <v>1</v>
      </c>
      <c r="P53" s="83">
        <f t="shared" si="7"/>
        <v>49.73</v>
      </c>
      <c r="Q53" s="83"/>
      <c r="R53" s="34"/>
      <c r="T53" s="93" t="s">
        <v>107</v>
      </c>
      <c r="U53" s="90">
        <v>2565115</v>
      </c>
      <c r="W53" s="133">
        <v>42604</v>
      </c>
      <c r="X53" s="10">
        <v>49.84</v>
      </c>
      <c r="Y53" s="10">
        <v>50.31</v>
      </c>
      <c r="Z53" s="10">
        <v>49.68</v>
      </c>
      <c r="AA53" s="10">
        <v>50.13</v>
      </c>
      <c r="AB53" s="95">
        <v>2025700</v>
      </c>
      <c r="AC53" s="10">
        <v>50.13</v>
      </c>
      <c r="AD53" s="2">
        <f t="shared" si="0"/>
        <v>0.63000000000000256</v>
      </c>
      <c r="AE53" s="138">
        <f t="shared" si="1"/>
        <v>9.9840255591066018E-4</v>
      </c>
    </row>
    <row r="54" spans="1:31" x14ac:dyDescent="0.25">
      <c r="O54" s="83">
        <v>0.99</v>
      </c>
      <c r="P54" s="83">
        <f t="shared" si="7"/>
        <v>49.232699999999994</v>
      </c>
      <c r="Q54" s="83"/>
      <c r="R54" s="34"/>
      <c r="T54" s="93" t="s">
        <v>110</v>
      </c>
      <c r="U54" s="90">
        <v>2739800</v>
      </c>
      <c r="W54" s="133">
        <v>42601</v>
      </c>
      <c r="X54" s="10">
        <v>49.21</v>
      </c>
      <c r="Y54" s="10">
        <v>50.32</v>
      </c>
      <c r="Z54" s="10">
        <v>48.98</v>
      </c>
      <c r="AA54" s="10">
        <v>50.08</v>
      </c>
      <c r="AB54" s="95">
        <v>2497600</v>
      </c>
      <c r="AC54" s="10">
        <v>50.08</v>
      </c>
      <c r="AD54" s="2">
        <f t="shared" si="0"/>
        <v>1.3400000000000034</v>
      </c>
      <c r="AE54" s="138">
        <f t="shared" si="1"/>
        <v>1.5615493814642001E-2</v>
      </c>
    </row>
    <row r="55" spans="1:31" x14ac:dyDescent="0.25">
      <c r="O55" s="83">
        <v>0.98</v>
      </c>
      <c r="P55" s="83">
        <f t="shared" si="7"/>
        <v>48.735399999999998</v>
      </c>
      <c r="Q55" s="83"/>
      <c r="R55" s="34"/>
      <c r="T55" s="93" t="s">
        <v>108</v>
      </c>
      <c r="U55" s="88" t="s">
        <v>519</v>
      </c>
      <c r="W55" s="133">
        <v>42600</v>
      </c>
      <c r="X55" s="10">
        <v>48.95</v>
      </c>
      <c r="Y55" s="10">
        <v>49.44</v>
      </c>
      <c r="Z55" s="10">
        <v>48.51</v>
      </c>
      <c r="AA55" s="10">
        <v>49.31</v>
      </c>
      <c r="AB55" s="95">
        <v>2737400</v>
      </c>
      <c r="AC55" s="10">
        <v>49.31</v>
      </c>
      <c r="AD55" s="2">
        <f t="shared" si="0"/>
        <v>0.92999999999999972</v>
      </c>
      <c r="AE55" s="138">
        <f t="shared" si="1"/>
        <v>1.0450819672131351E-2</v>
      </c>
    </row>
    <row r="56" spans="1:31" x14ac:dyDescent="0.25">
      <c r="O56" s="83">
        <v>0.97</v>
      </c>
      <c r="P56" s="83">
        <f t="shared" si="7"/>
        <v>48.238099999999996</v>
      </c>
      <c r="Q56" s="83"/>
      <c r="R56" s="34"/>
      <c r="T56" s="93" t="s">
        <v>111</v>
      </c>
      <c r="U56" s="88">
        <v>11.22</v>
      </c>
      <c r="W56" s="133">
        <v>42599</v>
      </c>
      <c r="X56" s="10">
        <v>49.77</v>
      </c>
      <c r="Y56" s="10">
        <v>49.94</v>
      </c>
      <c r="Z56" s="10">
        <v>48.68</v>
      </c>
      <c r="AA56" s="10">
        <v>48.8</v>
      </c>
      <c r="AB56" s="95">
        <v>3607600</v>
      </c>
      <c r="AC56" s="10">
        <v>48.8</v>
      </c>
      <c r="AD56" s="2">
        <f t="shared" si="0"/>
        <v>1.259999999999998</v>
      </c>
      <c r="AE56" s="138">
        <f t="shared" si="1"/>
        <v>-2.2044088176352727E-2</v>
      </c>
    </row>
    <row r="57" spans="1:31" x14ac:dyDescent="0.25">
      <c r="O57" s="83">
        <v>0.96</v>
      </c>
      <c r="P57" s="83">
        <f t="shared" si="7"/>
        <v>47.740799999999993</v>
      </c>
      <c r="Q57" s="83"/>
      <c r="R57" s="34"/>
      <c r="T57" s="93" t="s">
        <v>112</v>
      </c>
      <c r="U57" s="88">
        <v>4.43</v>
      </c>
      <c r="W57" s="133">
        <v>42598</v>
      </c>
      <c r="X57" s="10">
        <v>49.69</v>
      </c>
      <c r="Y57" s="10">
        <v>50.52</v>
      </c>
      <c r="Z57" s="10">
        <v>49.55</v>
      </c>
      <c r="AA57" s="10">
        <v>49.9</v>
      </c>
      <c r="AB57" s="95">
        <v>2091500</v>
      </c>
      <c r="AC57" s="10">
        <v>49.9</v>
      </c>
      <c r="AD57" s="2">
        <f t="shared" si="0"/>
        <v>0.97000000000000597</v>
      </c>
      <c r="AE57" s="138">
        <f t="shared" si="1"/>
        <v>-1.2009607686149781E-3</v>
      </c>
    </row>
    <row r="58" spans="1:31" x14ac:dyDescent="0.25">
      <c r="O58" s="83">
        <v>0.95</v>
      </c>
      <c r="P58" s="83">
        <f t="shared" si="7"/>
        <v>47.243499999999997</v>
      </c>
      <c r="Q58" s="83"/>
      <c r="R58" s="34"/>
      <c r="T58" s="93" t="s">
        <v>109</v>
      </c>
      <c r="U58" s="88" t="s">
        <v>123</v>
      </c>
      <c r="W58" s="133">
        <v>42597</v>
      </c>
      <c r="X58" s="10">
        <v>49</v>
      </c>
      <c r="Y58" s="10">
        <v>50.34</v>
      </c>
      <c r="Z58" s="10">
        <v>48.79</v>
      </c>
      <c r="AA58" s="10">
        <v>49.96</v>
      </c>
      <c r="AB58" s="95">
        <v>2883100</v>
      </c>
      <c r="AC58" s="10">
        <v>49.96</v>
      </c>
      <c r="AD58" s="2">
        <f t="shared" si="0"/>
        <v>1.5500000000000043</v>
      </c>
      <c r="AE58" s="138">
        <f t="shared" si="1"/>
        <v>2.3980323836851891E-2</v>
      </c>
    </row>
    <row r="59" spans="1:31" x14ac:dyDescent="0.25">
      <c r="O59" s="83">
        <v>0.94</v>
      </c>
      <c r="P59" s="83">
        <f t="shared" si="7"/>
        <v>46.746199999999995</v>
      </c>
      <c r="Q59" s="83"/>
      <c r="W59" s="133">
        <v>42594</v>
      </c>
      <c r="X59" s="10">
        <v>48.81</v>
      </c>
      <c r="Y59" s="10">
        <v>49.21</v>
      </c>
      <c r="Z59" s="10">
        <v>48.5</v>
      </c>
      <c r="AA59" s="10">
        <v>48.79</v>
      </c>
      <c r="AB59" s="95">
        <v>2481500</v>
      </c>
      <c r="AC59" s="10">
        <v>48.79</v>
      </c>
      <c r="AD59" s="2">
        <f t="shared" si="0"/>
        <v>0.71000000000000085</v>
      </c>
      <c r="AE59" s="138">
        <f t="shared" si="1"/>
        <v>-6.9204152249136008E-3</v>
      </c>
    </row>
    <row r="60" spans="1:31" x14ac:dyDescent="0.25">
      <c r="O60" s="83">
        <v>0.93</v>
      </c>
      <c r="P60" s="83">
        <f t="shared" si="7"/>
        <v>46.248899999999999</v>
      </c>
      <c r="Q60" s="83"/>
      <c r="W60" s="133">
        <v>42593</v>
      </c>
      <c r="X60" s="10">
        <v>49.22</v>
      </c>
      <c r="Y60" s="10">
        <v>49.84</v>
      </c>
      <c r="Z60" s="10">
        <v>48.48</v>
      </c>
      <c r="AA60" s="10">
        <v>49.13</v>
      </c>
      <c r="AB60" s="95">
        <v>4339600</v>
      </c>
      <c r="AC60" s="10">
        <v>49.13</v>
      </c>
      <c r="AD60" s="2">
        <f t="shared" si="0"/>
        <v>1.3600000000000065</v>
      </c>
      <c r="AE60" s="138">
        <f t="shared" si="1"/>
        <v>8.6224594539110466E-3</v>
      </c>
    </row>
    <row r="61" spans="1:31" x14ac:dyDescent="0.25">
      <c r="O61" s="83">
        <v>0.92</v>
      </c>
      <c r="P61" s="83">
        <f t="shared" si="7"/>
        <v>45.751599999999996</v>
      </c>
      <c r="Q61" s="83"/>
      <c r="W61" s="133">
        <v>42592</v>
      </c>
      <c r="X61" s="10">
        <v>49.59</v>
      </c>
      <c r="Y61" s="10">
        <v>51.14</v>
      </c>
      <c r="Z61" s="10">
        <v>48.45</v>
      </c>
      <c r="AA61" s="10">
        <v>48.71</v>
      </c>
      <c r="AB61" s="95">
        <v>8246700</v>
      </c>
      <c r="AC61" s="10">
        <v>48.71</v>
      </c>
      <c r="AD61" s="2">
        <f t="shared" si="0"/>
        <v>2.6899999999999977</v>
      </c>
      <c r="AE61" s="138">
        <f t="shared" si="1"/>
        <v>-2.7938535222510441E-2</v>
      </c>
    </row>
    <row r="62" spans="1:31" x14ac:dyDescent="0.25">
      <c r="O62" s="83">
        <v>0.91</v>
      </c>
      <c r="P62" s="83">
        <f t="shared" si="7"/>
        <v>45.254300000000001</v>
      </c>
      <c r="Q62" s="83"/>
      <c r="W62" s="133">
        <v>42591</v>
      </c>
      <c r="X62" s="10">
        <v>49.97</v>
      </c>
      <c r="Y62" s="10">
        <v>50.55</v>
      </c>
      <c r="Z62" s="10">
        <v>49.51</v>
      </c>
      <c r="AA62" s="10">
        <v>50.11</v>
      </c>
      <c r="AB62" s="95">
        <v>5645600</v>
      </c>
      <c r="AC62" s="10">
        <v>50.11</v>
      </c>
      <c r="AD62" s="2">
        <f t="shared" si="0"/>
        <v>1.0399999999999991</v>
      </c>
      <c r="AE62" s="138">
        <f t="shared" si="1"/>
        <v>-3.1828128108216669E-3</v>
      </c>
    </row>
    <row r="63" spans="1:31" x14ac:dyDescent="0.25">
      <c r="O63" s="83">
        <v>0.9</v>
      </c>
      <c r="P63" s="83">
        <f t="shared" si="7"/>
        <v>44.756999999999998</v>
      </c>
      <c r="Q63" s="83"/>
      <c r="W63" s="133">
        <v>42590</v>
      </c>
      <c r="X63" s="10">
        <v>50.88</v>
      </c>
      <c r="Y63" s="10">
        <v>51.84</v>
      </c>
      <c r="Z63" s="10">
        <v>50.09</v>
      </c>
      <c r="AA63" s="10">
        <v>50.27</v>
      </c>
      <c r="AB63" s="95">
        <v>4161800</v>
      </c>
      <c r="AC63" s="10">
        <v>50.27</v>
      </c>
      <c r="AD63" s="2">
        <f t="shared" si="0"/>
        <v>1.75</v>
      </c>
      <c r="AE63" s="138">
        <f t="shared" si="1"/>
        <v>-2.777226740725891E-3</v>
      </c>
    </row>
    <row r="64" spans="1:31" x14ac:dyDescent="0.25">
      <c r="Q64" s="83"/>
      <c r="W64" s="133">
        <v>42587</v>
      </c>
      <c r="X64" s="10">
        <v>49.89</v>
      </c>
      <c r="Y64" s="10">
        <v>50.73</v>
      </c>
      <c r="Z64" s="10">
        <v>49.81</v>
      </c>
      <c r="AA64" s="10">
        <v>50.41</v>
      </c>
      <c r="AB64" s="95">
        <v>2645000</v>
      </c>
      <c r="AC64" s="10">
        <v>50.41</v>
      </c>
      <c r="AD64" s="2">
        <f t="shared" si="0"/>
        <v>0.9199999999999946</v>
      </c>
      <c r="AE64" s="138">
        <f t="shared" si="1"/>
        <v>1.4898328971209907E-2</v>
      </c>
    </row>
    <row r="65" spans="15:31" x14ac:dyDescent="0.25">
      <c r="Q65" s="83"/>
      <c r="W65" s="133">
        <v>42586</v>
      </c>
      <c r="X65" s="10">
        <v>49.26</v>
      </c>
      <c r="Y65" s="10">
        <v>50.66</v>
      </c>
      <c r="Z65" s="10">
        <v>49.26</v>
      </c>
      <c r="AA65" s="10">
        <v>49.67</v>
      </c>
      <c r="AB65" s="95">
        <v>3211100</v>
      </c>
      <c r="AC65" s="10">
        <v>49.67</v>
      </c>
      <c r="AD65" s="2">
        <f t="shared" si="0"/>
        <v>1.3999999999999986</v>
      </c>
      <c r="AE65" s="138">
        <f t="shared" si="1"/>
        <v>1.3259893920848587E-2</v>
      </c>
    </row>
    <row r="66" spans="15:31" x14ac:dyDescent="0.25">
      <c r="Q66" s="83"/>
      <c r="W66" s="133">
        <v>42585</v>
      </c>
      <c r="X66" s="10">
        <v>47.64</v>
      </c>
      <c r="Y66" s="10">
        <v>49.29</v>
      </c>
      <c r="Z66" s="10">
        <v>46.5</v>
      </c>
      <c r="AA66" s="10">
        <v>49.02</v>
      </c>
      <c r="AB66" s="95">
        <v>5565000</v>
      </c>
      <c r="AC66" s="10">
        <v>49.02</v>
      </c>
      <c r="AD66" s="2">
        <f t="shared" si="0"/>
        <v>2.7899999999999991</v>
      </c>
      <c r="AE66" s="138">
        <f t="shared" si="1"/>
        <v>-2.5834658187599335E-2</v>
      </c>
    </row>
    <row r="67" spans="15:31" x14ac:dyDescent="0.25">
      <c r="Q67" s="83"/>
      <c r="W67" s="133">
        <v>42584</v>
      </c>
      <c r="X67" s="10">
        <v>52.65</v>
      </c>
      <c r="Y67" s="10">
        <v>53.17</v>
      </c>
      <c r="Z67" s="10">
        <v>50.32</v>
      </c>
      <c r="AA67" s="10">
        <v>50.32</v>
      </c>
      <c r="AB67" s="95">
        <v>3304800</v>
      </c>
      <c r="AC67" s="10">
        <v>50.32</v>
      </c>
      <c r="AD67" s="2">
        <f>Y67-Z67</f>
        <v>2.8500000000000014</v>
      </c>
      <c r="AE67" s="138" t="e">
        <f>AC67/AC68-1</f>
        <v>#DIV/0!</v>
      </c>
    </row>
    <row r="68" spans="15:31" x14ac:dyDescent="0.25"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33" priority="19">
      <formula>F31&gt;0</formula>
    </cfRule>
    <cfRule type="expression" dxfId="232" priority="20">
      <formula>F31&lt;0</formula>
    </cfRule>
  </conditionalFormatting>
  <conditionalFormatting sqref="H31:H33">
    <cfRule type="expression" dxfId="231" priority="11">
      <formula>H31&gt;0</formula>
    </cfRule>
    <cfRule type="expression" dxfId="230" priority="12">
      <formula>H31&lt;0</formula>
    </cfRule>
  </conditionalFormatting>
  <conditionalFormatting sqref="F21:F30">
    <cfRule type="expression" dxfId="229" priority="7">
      <formula>F21&gt;0</formula>
    </cfRule>
    <cfRule type="expression" dxfId="228" priority="8">
      <formula>F21&lt;0</formula>
    </cfRule>
  </conditionalFormatting>
  <conditionalFormatting sqref="H21:H30">
    <cfRule type="expression" dxfId="227" priority="5">
      <formula>H21&gt;0</formula>
    </cfRule>
    <cfRule type="expression" dxfId="226" priority="6">
      <formula>H21&lt;0</formula>
    </cfRule>
  </conditionalFormatting>
  <conditionalFormatting sqref="Q8">
    <cfRule type="expression" dxfId="225" priority="1">
      <formula>Q8&gt;0</formula>
    </cfRule>
    <cfRule type="expression" dxfId="224" priority="2">
      <formula>Q8&lt;0</formula>
    </cfRule>
  </conditionalFormatting>
  <conditionalFormatting sqref="Q7">
    <cfRule type="expression" dxfId="223" priority="3">
      <formula>Q7&gt;0</formula>
    </cfRule>
    <cfRule type="expression" dxfId="222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5703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42676</v>
      </c>
      <c r="Y2" s="9">
        <v>66.92</v>
      </c>
      <c r="Z2" s="9">
        <v>67.59</v>
      </c>
      <c r="AA2" s="9">
        <v>66.91</v>
      </c>
      <c r="AB2" s="9">
        <v>67.34</v>
      </c>
      <c r="AC2" s="104">
        <v>2850900</v>
      </c>
      <c r="AD2" s="9">
        <v>67.34</v>
      </c>
      <c r="AE2" s="2">
        <f>Z2-AA2</f>
        <v>0.68000000000000682</v>
      </c>
      <c r="AF2" s="138">
        <f>AD2/AD3-1</f>
        <v>1.9342359767893225E-3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67.34</v>
      </c>
      <c r="T3" s="85"/>
      <c r="X3" s="110">
        <v>42675</v>
      </c>
      <c r="Y3" s="9">
        <v>67.849999999999994</v>
      </c>
      <c r="Z3" s="9">
        <v>67.86</v>
      </c>
      <c r="AA3" s="9">
        <v>66.819999999999993</v>
      </c>
      <c r="AB3" s="9">
        <v>67.209999999999994</v>
      </c>
      <c r="AC3" s="104">
        <v>2410200</v>
      </c>
      <c r="AD3" s="9">
        <v>67.209999999999994</v>
      </c>
      <c r="AE3" s="2">
        <f t="shared" ref="AE3:AE66" si="0">Z3-AA3</f>
        <v>1.0400000000000063</v>
      </c>
      <c r="AF3" s="138">
        <f t="shared" ref="AF3:AF66" si="1">AD3/AD4-1</f>
        <v>-1.0162002945508286E-2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67.34</v>
      </c>
      <c r="R4" s="527">
        <v>1.9E-3</v>
      </c>
      <c r="X4" s="110">
        <v>42674</v>
      </c>
      <c r="Y4" s="9">
        <v>67.760000000000005</v>
      </c>
      <c r="Z4" s="9">
        <v>68.11</v>
      </c>
      <c r="AA4" s="9">
        <v>67.53</v>
      </c>
      <c r="AB4" s="9">
        <v>67.900000000000006</v>
      </c>
      <c r="AC4" s="104">
        <v>2271100</v>
      </c>
      <c r="AD4" s="9">
        <v>67.900000000000006</v>
      </c>
      <c r="AE4" s="2">
        <f t="shared" si="0"/>
        <v>0.57999999999999829</v>
      </c>
      <c r="AF4" s="138">
        <f t="shared" si="1"/>
        <v>5.4790463497704778E-3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42671</v>
      </c>
      <c r="Y5" s="9">
        <v>67.760000000000005</v>
      </c>
      <c r="Z5" s="9">
        <v>68.27</v>
      </c>
      <c r="AA5" s="9">
        <v>67.08</v>
      </c>
      <c r="AB5" s="9">
        <v>67.53</v>
      </c>
      <c r="AC5" s="104">
        <v>2435200</v>
      </c>
      <c r="AD5" s="9">
        <v>67.53</v>
      </c>
      <c r="AE5" s="2">
        <f t="shared" si="0"/>
        <v>1.1899999999999977</v>
      </c>
      <c r="AF5" s="138">
        <f t="shared" si="1"/>
        <v>-8.8770528184645148E-4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42670</v>
      </c>
      <c r="Y6" s="9">
        <v>68.12</v>
      </c>
      <c r="Z6" s="9">
        <v>68.14</v>
      </c>
      <c r="AA6" s="9">
        <v>67.58</v>
      </c>
      <c r="AB6" s="9">
        <v>67.59</v>
      </c>
      <c r="AC6" s="104">
        <v>1366600</v>
      </c>
      <c r="AD6" s="9">
        <v>67.59</v>
      </c>
      <c r="AE6" s="2">
        <f t="shared" si="0"/>
        <v>0.56000000000000227</v>
      </c>
      <c r="AF6" s="138">
        <f t="shared" si="1"/>
        <v>-5.1516043567852998E-3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184</v>
      </c>
      <c r="Q7" s="2">
        <f>Q10+Q8</f>
        <v>523.61999999999898</v>
      </c>
      <c r="R7">
        <v>0</v>
      </c>
      <c r="T7" s="85"/>
      <c r="X7" s="110">
        <v>42669</v>
      </c>
      <c r="Y7" s="9">
        <v>67.489999999999995</v>
      </c>
      <c r="Z7" s="9">
        <v>68.14</v>
      </c>
      <c r="AA7" s="9">
        <v>67.36</v>
      </c>
      <c r="AB7" s="9">
        <v>67.94</v>
      </c>
      <c r="AC7" s="104">
        <v>926900</v>
      </c>
      <c r="AD7" s="9">
        <v>67.94</v>
      </c>
      <c r="AE7" s="2">
        <f t="shared" si="0"/>
        <v>0.78000000000000114</v>
      </c>
      <c r="AF7" s="138">
        <f t="shared" si="1"/>
        <v>4.8809347729625863E-3</v>
      </c>
    </row>
    <row r="8" spans="1:32" x14ac:dyDescent="0.25">
      <c r="O8" s="11" t="s">
        <v>187</v>
      </c>
      <c r="P8" s="34"/>
      <c r="Q8" s="2">
        <f>K18+M18-F18+Q2*Q4</f>
        <v>0</v>
      </c>
      <c r="R8" s="165"/>
      <c r="T8" s="85"/>
      <c r="X8" s="110">
        <v>42668</v>
      </c>
      <c r="Y8" s="9">
        <v>67.72</v>
      </c>
      <c r="Z8" s="9">
        <v>67.88</v>
      </c>
      <c r="AA8" s="9">
        <v>67.400000000000006</v>
      </c>
      <c r="AB8" s="9">
        <v>67.61</v>
      </c>
      <c r="AC8" s="104">
        <v>1114100</v>
      </c>
      <c r="AD8" s="9">
        <v>67.61</v>
      </c>
      <c r="AE8" s="2">
        <f t="shared" si="0"/>
        <v>0.47999999999998977</v>
      </c>
      <c r="AF8" s="138">
        <f t="shared" si="1"/>
        <v>-1.6243354991140047E-3</v>
      </c>
    </row>
    <row r="9" spans="1:32" x14ac:dyDescent="0.25">
      <c r="O9" s="11" t="s">
        <v>219</v>
      </c>
      <c r="Q9" s="138">
        <f>IF(Q2=0, 0, Q8/Q6)</f>
        <v>0</v>
      </c>
      <c r="X9" s="110">
        <v>42667</v>
      </c>
      <c r="Y9" s="9">
        <v>67.91</v>
      </c>
      <c r="Z9" s="9">
        <v>68.13</v>
      </c>
      <c r="AA9" s="9">
        <v>67.63</v>
      </c>
      <c r="AB9" s="9">
        <v>67.72</v>
      </c>
      <c r="AC9" s="104">
        <v>967100</v>
      </c>
      <c r="AD9" s="9">
        <v>67.72</v>
      </c>
      <c r="AE9" s="2">
        <f t="shared" si="0"/>
        <v>0.5</v>
      </c>
      <c r="AF9" s="138">
        <f t="shared" si="1"/>
        <v>2.5166543301258226E-3</v>
      </c>
    </row>
    <row r="10" spans="1:32" x14ac:dyDescent="0.25">
      <c r="O10" s="11" t="s">
        <v>218</v>
      </c>
      <c r="P10" s="34"/>
      <c r="Q10" s="2">
        <f>M40</f>
        <v>523.61999999999898</v>
      </c>
      <c r="T10" s="121"/>
      <c r="U10" s="68"/>
      <c r="X10" s="110">
        <v>42664</v>
      </c>
      <c r="Y10" s="9">
        <v>67.819999999999993</v>
      </c>
      <c r="Z10" s="9">
        <v>67.98</v>
      </c>
      <c r="AA10" s="9">
        <v>67.23</v>
      </c>
      <c r="AB10" s="9">
        <v>67.55</v>
      </c>
      <c r="AC10" s="104">
        <v>2279000</v>
      </c>
      <c r="AD10" s="9">
        <v>67.55</v>
      </c>
      <c r="AE10" s="2">
        <f t="shared" si="0"/>
        <v>0.75</v>
      </c>
      <c r="AF10" s="138">
        <f t="shared" si="1"/>
        <v>-9.9662904880551961E-3</v>
      </c>
    </row>
    <row r="11" spans="1:32" x14ac:dyDescent="0.25">
      <c r="O11" s="11" t="s">
        <v>181</v>
      </c>
      <c r="P11" s="34"/>
      <c r="Q11" s="138">
        <f>VALUE(TRIM(CLEAN(MID(U55, FIND("(", U55)+1, 5))))</f>
        <v>1.95E-2</v>
      </c>
      <c r="T11" s="121"/>
      <c r="U11" s="68"/>
      <c r="X11" s="110">
        <v>42663</v>
      </c>
      <c r="Y11" s="9">
        <v>68.959999999999994</v>
      </c>
      <c r="Z11" s="9">
        <v>69.12</v>
      </c>
      <c r="AA11" s="9">
        <v>68.2</v>
      </c>
      <c r="AB11" s="9">
        <v>68.23</v>
      </c>
      <c r="AC11" s="104">
        <v>2370400</v>
      </c>
      <c r="AD11" s="9">
        <v>68.23</v>
      </c>
      <c r="AE11" s="2">
        <f t="shared" si="0"/>
        <v>0.92000000000000171</v>
      </c>
      <c r="AF11" s="138">
        <f t="shared" si="1"/>
        <v>-1.7283594987757445E-2</v>
      </c>
    </row>
    <row r="12" spans="1:32" x14ac:dyDescent="0.25">
      <c r="X12" s="110">
        <v>42662</v>
      </c>
      <c r="Y12" s="9">
        <v>69.38</v>
      </c>
      <c r="Z12" s="9">
        <v>69.48</v>
      </c>
      <c r="AA12" s="9">
        <v>68.8</v>
      </c>
      <c r="AB12" s="9">
        <v>69.430000000000007</v>
      </c>
      <c r="AC12" s="104">
        <v>1528600</v>
      </c>
      <c r="AD12" s="9">
        <v>69.430000000000007</v>
      </c>
      <c r="AE12" s="2">
        <f t="shared" si="0"/>
        <v>0.68000000000000682</v>
      </c>
      <c r="AF12" s="138">
        <f t="shared" si="1"/>
        <v>2.0204935777168309E-3</v>
      </c>
    </row>
    <row r="13" spans="1:32" x14ac:dyDescent="0.25">
      <c r="Q13" s="2"/>
      <c r="X13" s="110">
        <v>42661</v>
      </c>
      <c r="Y13" s="9">
        <v>69.86</v>
      </c>
      <c r="Z13" s="9">
        <v>69.94</v>
      </c>
      <c r="AA13" s="9">
        <v>69.19</v>
      </c>
      <c r="AB13" s="9">
        <v>69.290000000000006</v>
      </c>
      <c r="AC13" s="104">
        <v>1301200</v>
      </c>
      <c r="AD13" s="9">
        <v>69.290000000000006</v>
      </c>
      <c r="AE13" s="2">
        <f t="shared" si="0"/>
        <v>0.75</v>
      </c>
      <c r="AF13" s="138">
        <f t="shared" si="1"/>
        <v>-7.2108451110464156E-4</v>
      </c>
    </row>
    <row r="14" spans="1:32" x14ac:dyDescent="0.25">
      <c r="X14" s="110">
        <v>42660</v>
      </c>
      <c r="Y14" s="9">
        <v>69.34</v>
      </c>
      <c r="Z14" s="9">
        <v>69.59</v>
      </c>
      <c r="AA14" s="9">
        <v>69.209999999999994</v>
      </c>
      <c r="AB14" s="9">
        <v>69.34</v>
      </c>
      <c r="AC14" s="104">
        <v>1188200</v>
      </c>
      <c r="AD14" s="9">
        <v>69.34</v>
      </c>
      <c r="AE14" s="2">
        <f t="shared" si="0"/>
        <v>0.38000000000000966</v>
      </c>
      <c r="AF14" s="138">
        <f t="shared" si="1"/>
        <v>1.4423770373572786E-4</v>
      </c>
    </row>
    <row r="15" spans="1:32" x14ac:dyDescent="0.25">
      <c r="X15" s="110">
        <v>42657</v>
      </c>
      <c r="Y15" s="9">
        <v>69.47</v>
      </c>
      <c r="Z15" s="9">
        <v>69.819999999999993</v>
      </c>
      <c r="AA15" s="9">
        <v>69.33</v>
      </c>
      <c r="AB15" s="9">
        <v>69.33</v>
      </c>
      <c r="AC15" s="104">
        <v>2324300</v>
      </c>
      <c r="AD15" s="9">
        <v>69.33</v>
      </c>
      <c r="AE15" s="2">
        <f t="shared" si="0"/>
        <v>0.48999999999999488</v>
      </c>
      <c r="AF15" s="138">
        <f t="shared" si="1"/>
        <v>3.4737299174989467E-3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42656</v>
      </c>
      <c r="Y16" s="9">
        <v>68.41</v>
      </c>
      <c r="Z16" s="9">
        <v>69.23</v>
      </c>
      <c r="AA16" s="9">
        <v>68.28</v>
      </c>
      <c r="AB16" s="9">
        <v>69.09</v>
      </c>
      <c r="AC16" s="104">
        <v>1899500</v>
      </c>
      <c r="AD16" s="9">
        <v>69.09</v>
      </c>
      <c r="AE16" s="2">
        <f t="shared" si="0"/>
        <v>0.95000000000000284</v>
      </c>
      <c r="AF16" s="138">
        <f t="shared" si="1"/>
        <v>7.2421784472775919E-4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42655</v>
      </c>
      <c r="Y17" s="9">
        <v>68.28</v>
      </c>
      <c r="Z17" s="9">
        <v>69.13</v>
      </c>
      <c r="AA17" s="9">
        <v>68.16</v>
      </c>
      <c r="AB17" s="9">
        <v>69.040000000000006</v>
      </c>
      <c r="AC17" s="104">
        <v>1712100</v>
      </c>
      <c r="AD17" s="9">
        <v>69.040000000000006</v>
      </c>
      <c r="AE17" s="2">
        <f t="shared" si="0"/>
        <v>0.96999999999999886</v>
      </c>
      <c r="AF17" s="138">
        <f t="shared" si="1"/>
        <v>1.2316715542522116E-2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42654</v>
      </c>
      <c r="Y18" s="9">
        <v>68.31</v>
      </c>
      <c r="Z18" s="9">
        <v>68.47</v>
      </c>
      <c r="AA18" s="9">
        <v>67.89</v>
      </c>
      <c r="AB18" s="9">
        <v>68.2</v>
      </c>
      <c r="AC18" s="104">
        <v>1723900</v>
      </c>
      <c r="AD18" s="9">
        <v>68.2</v>
      </c>
      <c r="AE18" s="2">
        <f t="shared" si="0"/>
        <v>0.57999999999999829</v>
      </c>
      <c r="AF18" s="138">
        <f t="shared" si="1"/>
        <v>-4.2341947729593876E-3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42653</v>
      </c>
      <c r="Y19" s="9">
        <v>68.790000000000006</v>
      </c>
      <c r="Z19" s="9">
        <v>68.959999999999994</v>
      </c>
      <c r="AA19" s="9">
        <v>68.44</v>
      </c>
      <c r="AB19" s="9">
        <v>68.489999999999995</v>
      </c>
      <c r="AC19" s="104">
        <v>1172200</v>
      </c>
      <c r="AD19" s="9">
        <v>68.489999999999995</v>
      </c>
      <c r="AE19" s="2">
        <f t="shared" si="0"/>
        <v>0.51999999999999602</v>
      </c>
      <c r="AF19" s="138">
        <f t="shared" si="1"/>
        <v>8.7680841736070825E-4</v>
      </c>
    </row>
    <row r="20" spans="1:32" x14ac:dyDescent="0.25">
      <c r="X20" s="110">
        <v>42650</v>
      </c>
      <c r="Y20" s="9">
        <v>67.97</v>
      </c>
      <c r="Z20" s="9">
        <v>69.05</v>
      </c>
      <c r="AA20" s="9">
        <v>67.91</v>
      </c>
      <c r="AB20" s="9">
        <v>68.430000000000007</v>
      </c>
      <c r="AC20" s="104">
        <v>2319500</v>
      </c>
      <c r="AD20" s="9">
        <v>68.430000000000007</v>
      </c>
      <c r="AE20" s="2">
        <f t="shared" si="0"/>
        <v>1.1400000000000006</v>
      </c>
      <c r="AF20" s="138">
        <f t="shared" si="1"/>
        <v>9.7388224878265373E-3</v>
      </c>
    </row>
    <row r="21" spans="1:32" x14ac:dyDescent="0.25">
      <c r="X21" s="110">
        <v>42649</v>
      </c>
      <c r="Y21" s="9">
        <v>67.86</v>
      </c>
      <c r="Z21" s="9">
        <v>67.930000000000007</v>
      </c>
      <c r="AA21" s="9">
        <v>67.180000000000007</v>
      </c>
      <c r="AB21" s="9">
        <v>67.77</v>
      </c>
      <c r="AC21" s="104">
        <v>2587400</v>
      </c>
      <c r="AD21" s="9">
        <v>67.77</v>
      </c>
      <c r="AE21" s="2">
        <f t="shared" si="0"/>
        <v>0.75</v>
      </c>
      <c r="AF21" s="138">
        <f t="shared" si="1"/>
        <v>-5.8988349800925821E-4</v>
      </c>
    </row>
    <row r="22" spans="1:32" x14ac:dyDescent="0.25">
      <c r="X22" s="110">
        <v>42648</v>
      </c>
      <c r="Y22" s="9">
        <v>68.12</v>
      </c>
      <c r="Z22" s="9">
        <v>68.430000000000007</v>
      </c>
      <c r="AA22" s="9">
        <v>67.7</v>
      </c>
      <c r="AB22" s="9">
        <v>67.81</v>
      </c>
      <c r="AC22" s="104">
        <v>1751600</v>
      </c>
      <c r="AD22" s="9">
        <v>67.81</v>
      </c>
      <c r="AE22" s="2">
        <f t="shared" si="0"/>
        <v>0.73000000000000398</v>
      </c>
      <c r="AF22" s="138">
        <f t="shared" si="1"/>
        <v>-4.4221698113211527E-4</v>
      </c>
    </row>
    <row r="23" spans="1:32" x14ac:dyDescent="0.25">
      <c r="X23" s="110">
        <v>42647</v>
      </c>
      <c r="Y23" s="9">
        <v>68.17</v>
      </c>
      <c r="Z23" s="9">
        <v>68.27</v>
      </c>
      <c r="AA23" s="9">
        <v>67.12</v>
      </c>
      <c r="AB23" s="9">
        <v>67.84</v>
      </c>
      <c r="AC23" s="104">
        <v>3655300</v>
      </c>
      <c r="AD23" s="9">
        <v>67.84</v>
      </c>
      <c r="AE23" s="2">
        <f t="shared" si="0"/>
        <v>1.1499999999999915</v>
      </c>
      <c r="AF23" s="138">
        <f t="shared" si="1"/>
        <v>-8.1871345029239651E-3</v>
      </c>
    </row>
    <row r="24" spans="1:32" x14ac:dyDescent="0.25">
      <c r="X24" s="110">
        <v>42646</v>
      </c>
      <c r="Y24" s="9">
        <v>68.900000000000006</v>
      </c>
      <c r="Z24" s="9">
        <v>69.06</v>
      </c>
      <c r="AA24" s="9">
        <v>68.290000000000006</v>
      </c>
      <c r="AB24" s="9">
        <v>68.400000000000006</v>
      </c>
      <c r="AC24" s="104">
        <v>2295200</v>
      </c>
      <c r="AD24" s="9">
        <v>68.400000000000006</v>
      </c>
      <c r="AE24" s="2">
        <f t="shared" si="0"/>
        <v>0.76999999999999602</v>
      </c>
      <c r="AF24" s="138">
        <f t="shared" si="1"/>
        <v>-1.1274934952298366E-2</v>
      </c>
    </row>
    <row r="25" spans="1:32" x14ac:dyDescent="0.25">
      <c r="X25" s="110">
        <v>42643</v>
      </c>
      <c r="Y25" s="9">
        <v>68.83</v>
      </c>
      <c r="Z25" s="9">
        <v>69.38</v>
      </c>
      <c r="AA25" s="9">
        <v>68.819999999999993</v>
      </c>
      <c r="AB25" s="9">
        <v>69.180000000000007</v>
      </c>
      <c r="AC25" s="104">
        <v>2867200</v>
      </c>
      <c r="AD25" s="9">
        <v>69.180000000000007</v>
      </c>
      <c r="AE25" s="2">
        <f t="shared" si="0"/>
        <v>0.56000000000000227</v>
      </c>
      <c r="AF25" s="138">
        <f t="shared" si="1"/>
        <v>7.8671328671329199E-3</v>
      </c>
    </row>
    <row r="26" spans="1:32" x14ac:dyDescent="0.25">
      <c r="B26" s="191" t="s">
        <v>114</v>
      </c>
      <c r="C26" s="191" t="s">
        <v>149</v>
      </c>
      <c r="D26" s="192" t="s">
        <v>148</v>
      </c>
      <c r="E26" s="194" t="s">
        <v>150</v>
      </c>
      <c r="F26" s="195" t="s">
        <v>65</v>
      </c>
      <c r="G26" s="229" t="s">
        <v>154</v>
      </c>
      <c r="H26" s="229" t="s">
        <v>88</v>
      </c>
      <c r="X26" s="110">
        <v>42642</v>
      </c>
      <c r="Y26" s="9">
        <v>68.78</v>
      </c>
      <c r="Z26" s="9">
        <v>69.290000000000006</v>
      </c>
      <c r="AA26" s="9">
        <v>68.430000000000007</v>
      </c>
      <c r="AB26" s="9">
        <v>68.64</v>
      </c>
      <c r="AC26" s="104">
        <v>2317900</v>
      </c>
      <c r="AD26" s="9">
        <v>68.64</v>
      </c>
      <c r="AE26" s="2">
        <f t="shared" si="0"/>
        <v>0.85999999999999943</v>
      </c>
      <c r="AF26" s="138">
        <f t="shared" si="1"/>
        <v>-6.6570188133139307E-3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42641</v>
      </c>
      <c r="Y27" s="9">
        <v>69</v>
      </c>
      <c r="Z27" s="9">
        <v>69.14</v>
      </c>
      <c r="AA27" s="9">
        <v>68.61</v>
      </c>
      <c r="AB27" s="9">
        <v>69.099999999999994</v>
      </c>
      <c r="AC27" s="104">
        <v>1506400</v>
      </c>
      <c r="AD27" s="9">
        <v>69.099999999999994</v>
      </c>
      <c r="AE27" s="2">
        <f t="shared" si="0"/>
        <v>0.53000000000000114</v>
      </c>
      <c r="AF27" s="138">
        <f t="shared" si="1"/>
        <v>1.7396346767177828E-3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42640</v>
      </c>
      <c r="Y28" s="9">
        <v>68.33</v>
      </c>
      <c r="Z28" s="9">
        <v>69.09</v>
      </c>
      <c r="AA28" s="9">
        <v>68.27</v>
      </c>
      <c r="AB28" s="9">
        <v>68.98</v>
      </c>
      <c r="AC28" s="104">
        <v>1747900</v>
      </c>
      <c r="AD28" s="9">
        <v>68.98</v>
      </c>
      <c r="AE28" s="2">
        <f t="shared" si="0"/>
        <v>0.82000000000000739</v>
      </c>
      <c r="AF28" s="138">
        <f t="shared" si="1"/>
        <v>8.6269922503290353E-3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42639</v>
      </c>
      <c r="Y29" s="9">
        <v>68.25</v>
      </c>
      <c r="Z29" s="9">
        <v>68.62</v>
      </c>
      <c r="AA29" s="9">
        <v>68.12</v>
      </c>
      <c r="AB29" s="9">
        <v>68.39</v>
      </c>
      <c r="AC29" s="104">
        <v>1861000</v>
      </c>
      <c r="AD29" s="9">
        <v>68.39</v>
      </c>
      <c r="AE29" s="2">
        <f t="shared" si="0"/>
        <v>0.5</v>
      </c>
      <c r="AF29" s="138">
        <f t="shared" si="1"/>
        <v>-1.4600671630894402E-3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42636</v>
      </c>
      <c r="Y30" s="9">
        <v>68.56</v>
      </c>
      <c r="Z30" s="9">
        <v>68.930000000000007</v>
      </c>
      <c r="AA30" s="9">
        <v>68.34</v>
      </c>
      <c r="AB30" s="9">
        <v>68.489999999999995</v>
      </c>
      <c r="AC30" s="104">
        <v>1297200</v>
      </c>
      <c r="AD30" s="9">
        <v>68.489999999999995</v>
      </c>
      <c r="AE30" s="2">
        <f t="shared" si="0"/>
        <v>0.59000000000000341</v>
      </c>
      <c r="AF30" s="138">
        <f t="shared" si="1"/>
        <v>-6.5274151436032213E-3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42635</v>
      </c>
      <c r="Y31" s="9">
        <v>68.84</v>
      </c>
      <c r="Z31" s="9">
        <v>69.06</v>
      </c>
      <c r="AA31" s="9">
        <v>68.73</v>
      </c>
      <c r="AB31" s="9">
        <v>68.94</v>
      </c>
      <c r="AC31" s="104">
        <v>1407000</v>
      </c>
      <c r="AD31" s="9">
        <v>68.94</v>
      </c>
      <c r="AE31" s="2">
        <f t="shared" si="0"/>
        <v>0.32999999999999829</v>
      </c>
      <c r="AF31" s="138">
        <f t="shared" si="1"/>
        <v>4.07806583163417E-3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42634</v>
      </c>
      <c r="Y32" s="9">
        <v>67.97</v>
      </c>
      <c r="Z32" s="9">
        <v>68.709999999999994</v>
      </c>
      <c r="AA32" s="9">
        <v>67.97</v>
      </c>
      <c r="AB32" s="9">
        <v>68.66</v>
      </c>
      <c r="AC32" s="104">
        <v>1393400</v>
      </c>
      <c r="AD32" s="9">
        <v>68.66</v>
      </c>
      <c r="AE32" s="2">
        <f t="shared" si="0"/>
        <v>0.73999999999999488</v>
      </c>
      <c r="AF32" s="138">
        <f t="shared" si="1"/>
        <v>1.1639899808457255E-2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42633</v>
      </c>
      <c r="Y33" s="9">
        <v>67.84</v>
      </c>
      <c r="Z33" s="9">
        <v>68.17</v>
      </c>
      <c r="AA33" s="9">
        <v>67.73</v>
      </c>
      <c r="AB33" s="9">
        <v>67.87</v>
      </c>
      <c r="AC33" s="104">
        <v>1423400</v>
      </c>
      <c r="AD33" s="9">
        <v>67.87</v>
      </c>
      <c r="AE33" s="2">
        <f t="shared" si="0"/>
        <v>0.43999999999999773</v>
      </c>
      <c r="AF33" s="138">
        <f t="shared" si="1"/>
        <v>6.077675659650339E-3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42632</v>
      </c>
      <c r="Y34" s="9">
        <v>67.58</v>
      </c>
      <c r="Z34" s="9">
        <v>67.900000000000006</v>
      </c>
      <c r="AA34" s="9">
        <v>67.319999999999993</v>
      </c>
      <c r="AB34" s="9">
        <v>67.459999999999994</v>
      </c>
      <c r="AC34" s="104">
        <v>1139500</v>
      </c>
      <c r="AD34" s="9">
        <v>67.459999999999994</v>
      </c>
      <c r="AE34" s="2">
        <f t="shared" si="0"/>
        <v>0.58000000000001251</v>
      </c>
      <c r="AF34" s="138">
        <f t="shared" si="1"/>
        <v>7.4172971369224072E-4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588" t="s">
        <v>78</v>
      </c>
      <c r="P35" s="588"/>
      <c r="X35" s="110">
        <v>42629</v>
      </c>
      <c r="Y35" s="9">
        <v>67.56</v>
      </c>
      <c r="Z35" s="9">
        <v>67.77</v>
      </c>
      <c r="AA35" s="9">
        <v>67.239999999999995</v>
      </c>
      <c r="AB35" s="9">
        <v>67.41</v>
      </c>
      <c r="AC35" s="104">
        <v>2314200</v>
      </c>
      <c r="AD35" s="9">
        <v>67.41</v>
      </c>
      <c r="AE35" s="2">
        <f t="shared" si="0"/>
        <v>0.53000000000000114</v>
      </c>
      <c r="AF35" s="138">
        <f t="shared" si="1"/>
        <v>-6.0454143320554099E-3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74.074000000000012</v>
      </c>
      <c r="Q36" s="2"/>
      <c r="X36" s="110">
        <v>42628</v>
      </c>
      <c r="Y36" s="9">
        <v>67.36</v>
      </c>
      <c r="Z36" s="9">
        <v>68.05</v>
      </c>
      <c r="AA36" s="9">
        <v>67.27</v>
      </c>
      <c r="AB36" s="9">
        <v>67.819999999999993</v>
      </c>
      <c r="AC36" s="104">
        <v>1753200</v>
      </c>
      <c r="AD36" s="9">
        <v>67.819999999999993</v>
      </c>
      <c r="AE36" s="2">
        <f t="shared" si="0"/>
        <v>0.78000000000000114</v>
      </c>
      <c r="AF36" s="138">
        <f t="shared" si="1"/>
        <v>6.3807686600385605E-3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73.400600000000011</v>
      </c>
      <c r="Q37" s="2"/>
      <c r="X37" s="110">
        <v>42627</v>
      </c>
      <c r="Y37" s="9">
        <v>67.900000000000006</v>
      </c>
      <c r="Z37" s="9">
        <v>68.05</v>
      </c>
      <c r="AA37" s="9">
        <v>67.290000000000006</v>
      </c>
      <c r="AB37" s="9">
        <v>67.39</v>
      </c>
      <c r="AC37" s="104">
        <v>1717800</v>
      </c>
      <c r="AD37" s="9">
        <v>67.39</v>
      </c>
      <c r="AE37" s="2">
        <f t="shared" si="0"/>
        <v>0.75999999999999091</v>
      </c>
      <c r="AF37" s="138">
        <f t="shared" si="1"/>
        <v>-7.8032979976443428E-3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72.727200000000011</v>
      </c>
      <c r="Q38" s="2"/>
      <c r="X38" s="110">
        <v>42626</v>
      </c>
      <c r="Y38" s="9">
        <v>67.930000000000007</v>
      </c>
      <c r="Z38" s="9">
        <v>68.28</v>
      </c>
      <c r="AA38" s="9">
        <v>67.72</v>
      </c>
      <c r="AB38" s="9">
        <v>67.92</v>
      </c>
      <c r="AC38" s="104">
        <v>1924600</v>
      </c>
      <c r="AD38" s="9">
        <v>67.92</v>
      </c>
      <c r="AE38" s="2">
        <f t="shared" si="0"/>
        <v>0.56000000000000227</v>
      </c>
      <c r="AF38" s="138">
        <f t="shared" si="1"/>
        <v>-8.1775700934579865E-3</v>
      </c>
    </row>
    <row r="39" spans="1:32" ht="20.25" thickBot="1" x14ac:dyDescent="0.35">
      <c r="O39" s="83">
        <v>1.07</v>
      </c>
      <c r="P39" s="83">
        <f t="shared" si="3"/>
        <v>72.05380000000001</v>
      </c>
      <c r="Q39" s="2"/>
      <c r="T39" s="112" t="s">
        <v>92</v>
      </c>
      <c r="U39" s="2"/>
      <c r="X39" s="110">
        <v>42625</v>
      </c>
      <c r="Y39" s="9">
        <v>67.959999999999994</v>
      </c>
      <c r="Z39" s="9">
        <v>68.7</v>
      </c>
      <c r="AA39" s="9">
        <v>67.680000000000007</v>
      </c>
      <c r="AB39" s="9">
        <v>68.48</v>
      </c>
      <c r="AC39" s="104">
        <v>1956600</v>
      </c>
      <c r="AD39" s="9">
        <v>68.48</v>
      </c>
      <c r="AE39" s="2">
        <f t="shared" si="0"/>
        <v>1.019999999999996</v>
      </c>
      <c r="AF39" s="138">
        <f t="shared" si="1"/>
        <v>7.6515597410242719E-3</v>
      </c>
    </row>
    <row r="40" spans="1:32" ht="15.75" thickTop="1" x14ac:dyDescent="0.25">
      <c r="L40" t="s">
        <v>218</v>
      </c>
      <c r="M40" s="2">
        <f>K56+M56-F56</f>
        <v>523.61999999999898</v>
      </c>
      <c r="O40" s="83">
        <v>1.06</v>
      </c>
      <c r="P40" s="83">
        <f t="shared" si="3"/>
        <v>71.380400000000009</v>
      </c>
      <c r="Q40" s="2"/>
      <c r="T40" s="113" t="s">
        <v>98</v>
      </c>
      <c r="U40" s="106">
        <v>67.209999999999994</v>
      </c>
      <c r="X40" s="110">
        <v>42622</v>
      </c>
      <c r="Y40" s="9">
        <v>68.81</v>
      </c>
      <c r="Z40" s="9">
        <v>68.900000000000006</v>
      </c>
      <c r="AA40" s="9">
        <v>67.959999999999994</v>
      </c>
      <c r="AB40" s="9">
        <v>67.959999999999994</v>
      </c>
      <c r="AC40" s="104">
        <v>1816200</v>
      </c>
      <c r="AD40" s="9">
        <v>67.959999999999994</v>
      </c>
      <c r="AE40" s="2">
        <f t="shared" si="0"/>
        <v>0.94000000000001194</v>
      </c>
      <c r="AF40" s="138">
        <f t="shared" si="1"/>
        <v>-1.8202831551574761E-2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70.707000000000008</v>
      </c>
      <c r="Q41" s="2"/>
      <c r="T41" s="113" t="s">
        <v>99</v>
      </c>
      <c r="U41" s="106">
        <v>66.92</v>
      </c>
      <c r="X41" s="110">
        <v>42621</v>
      </c>
      <c r="Y41" s="9">
        <v>69.290000000000006</v>
      </c>
      <c r="Z41" s="9">
        <v>69.38</v>
      </c>
      <c r="AA41" s="9">
        <v>69.06</v>
      </c>
      <c r="AB41" s="9">
        <v>69.22</v>
      </c>
      <c r="AC41" s="104">
        <v>1382500</v>
      </c>
      <c r="AD41" s="9">
        <v>69.22</v>
      </c>
      <c r="AE41" s="2">
        <f t="shared" si="0"/>
        <v>0.31999999999999318</v>
      </c>
      <c r="AF41" s="138">
        <f t="shared" si="1"/>
        <v>-3.1682027649769795E-3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70.033600000000007</v>
      </c>
      <c r="Q42" s="2"/>
      <c r="T42" s="113" t="s">
        <v>100</v>
      </c>
      <c r="U42" s="106" t="s">
        <v>520</v>
      </c>
      <c r="X42" s="110">
        <v>42620</v>
      </c>
      <c r="Y42" s="9">
        <v>69.05</v>
      </c>
      <c r="Z42" s="9">
        <v>69.48</v>
      </c>
      <c r="AA42" s="9">
        <v>68.94</v>
      </c>
      <c r="AB42" s="9">
        <v>69.44</v>
      </c>
      <c r="AC42" s="104">
        <v>1627500</v>
      </c>
      <c r="AD42" s="9">
        <v>69.44</v>
      </c>
      <c r="AE42" s="2">
        <f t="shared" si="0"/>
        <v>0.54000000000000625</v>
      </c>
      <c r="AF42" s="138">
        <f t="shared" si="1"/>
        <v>1.8756312220458149E-3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69.360200000000006</v>
      </c>
      <c r="Q43" s="2"/>
      <c r="T43" s="113" t="s">
        <v>101</v>
      </c>
      <c r="U43" s="106" t="s">
        <v>521</v>
      </c>
      <c r="X43" s="110">
        <v>42619</v>
      </c>
      <c r="Y43" s="9">
        <v>68.7</v>
      </c>
      <c r="Z43" s="9">
        <v>69.31</v>
      </c>
      <c r="AA43" s="9">
        <v>68.599999999999994</v>
      </c>
      <c r="AB43" s="9">
        <v>69.31</v>
      </c>
      <c r="AC43" s="104">
        <v>1809000</v>
      </c>
      <c r="AD43" s="9">
        <v>69.31</v>
      </c>
      <c r="AE43" s="2">
        <f t="shared" si="0"/>
        <v>0.71000000000000796</v>
      </c>
      <c r="AF43" s="138">
        <f t="shared" si="1"/>
        <v>5.2211747643220452E-3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68.686800000000005</v>
      </c>
      <c r="Q44" s="2"/>
      <c r="T44" s="113" t="s">
        <v>102</v>
      </c>
      <c r="U44" s="106">
        <v>74.81</v>
      </c>
      <c r="X44" s="110">
        <v>42615</v>
      </c>
      <c r="Y44" s="9">
        <v>68.849999999999994</v>
      </c>
      <c r="Z44" s="9">
        <v>69.25</v>
      </c>
      <c r="AA44" s="9">
        <v>68.52</v>
      </c>
      <c r="AB44" s="9">
        <v>68.95</v>
      </c>
      <c r="AC44" s="104">
        <v>1507300</v>
      </c>
      <c r="AD44" s="9">
        <v>68.95</v>
      </c>
      <c r="AE44" s="2">
        <f t="shared" si="0"/>
        <v>0.73000000000000398</v>
      </c>
      <c r="AF44" s="138">
        <f t="shared" si="1"/>
        <v>4.223711039906819E-3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68.013400000000004</v>
      </c>
      <c r="Q45" s="2"/>
      <c r="T45" s="113" t="s">
        <v>103</v>
      </c>
      <c r="U45" s="106">
        <v>0.97020300000000004</v>
      </c>
      <c r="X45" s="110">
        <v>42614</v>
      </c>
      <c r="Y45" s="9">
        <v>68.97</v>
      </c>
      <c r="Z45" s="9">
        <v>69.08</v>
      </c>
      <c r="AA45" s="9">
        <v>68.319999999999993</v>
      </c>
      <c r="AB45" s="9">
        <v>68.66</v>
      </c>
      <c r="AC45" s="104">
        <v>1699000</v>
      </c>
      <c r="AD45" s="9">
        <v>68.66</v>
      </c>
      <c r="AE45" s="2">
        <f t="shared" si="0"/>
        <v>0.76000000000000512</v>
      </c>
      <c r="AF45" s="138">
        <f t="shared" si="1"/>
        <v>-4.3503480278421769E-3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67.34</v>
      </c>
      <c r="Q46" s="2"/>
      <c r="T46" s="113" t="s">
        <v>104</v>
      </c>
      <c r="U46" s="106" t="s">
        <v>296</v>
      </c>
      <c r="X46" s="110">
        <v>42613</v>
      </c>
      <c r="Y46" s="9">
        <v>69.19</v>
      </c>
      <c r="Z46" s="9">
        <v>69.239999999999995</v>
      </c>
      <c r="AA46" s="9">
        <v>68.489999999999995</v>
      </c>
      <c r="AB46" s="9">
        <v>68.959999999999994</v>
      </c>
      <c r="AC46" s="104">
        <v>2133000</v>
      </c>
      <c r="AD46" s="9">
        <v>68.959999999999994</v>
      </c>
      <c r="AE46" s="2">
        <f t="shared" si="0"/>
        <v>0.75</v>
      </c>
      <c r="AF46" s="138">
        <f t="shared" si="1"/>
        <v>-3.0359982651440021E-3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66.666600000000003</v>
      </c>
      <c r="Q47" s="2"/>
      <c r="T47" s="113"/>
      <c r="U47" s="106"/>
      <c r="X47" s="110">
        <v>42612</v>
      </c>
      <c r="Y47" s="9">
        <v>68.739999999999995</v>
      </c>
      <c r="Z47" s="9">
        <v>69.23</v>
      </c>
      <c r="AA47" s="9">
        <v>68.739999999999995</v>
      </c>
      <c r="AB47" s="9">
        <v>69.17</v>
      </c>
      <c r="AC47" s="104">
        <v>1439200</v>
      </c>
      <c r="AD47" s="9">
        <v>69.17</v>
      </c>
      <c r="AE47" s="2">
        <f t="shared" si="0"/>
        <v>0.49000000000000909</v>
      </c>
      <c r="AF47" s="138">
        <f t="shared" si="1"/>
        <v>6.2554553389584377E-3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65.993200000000002</v>
      </c>
      <c r="Q48" s="2"/>
      <c r="T48" s="113" t="s">
        <v>105</v>
      </c>
      <c r="U48" s="106" t="s">
        <v>522</v>
      </c>
      <c r="X48" s="110">
        <v>42611</v>
      </c>
      <c r="Y48" s="9">
        <v>68.27</v>
      </c>
      <c r="Z48" s="9">
        <v>68.92</v>
      </c>
      <c r="AA48" s="9">
        <v>68.14</v>
      </c>
      <c r="AB48" s="9">
        <v>68.739999999999995</v>
      </c>
      <c r="AC48" s="104">
        <v>1647000</v>
      </c>
      <c r="AD48" s="9">
        <v>68.739999999999995</v>
      </c>
      <c r="AE48" s="2">
        <f t="shared" si="0"/>
        <v>0.78000000000000114</v>
      </c>
      <c r="AF48" s="138" t="e">
        <f t="shared" si="1"/>
        <v>#DIV/0!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65.319800000000001</v>
      </c>
      <c r="T49" s="113" t="s">
        <v>106</v>
      </c>
      <c r="U49" s="106" t="s">
        <v>305</v>
      </c>
      <c r="X49" s="110">
        <v>42611</v>
      </c>
      <c r="Y49" s="9" t="s">
        <v>231</v>
      </c>
      <c r="Z49" s="9"/>
      <c r="AA49" s="9"/>
      <c r="AB49" s="9"/>
      <c r="AC49" s="104"/>
      <c r="AD49" s="9"/>
      <c r="AE49" s="2">
        <f t="shared" si="0"/>
        <v>0</v>
      </c>
      <c r="AF49" s="138">
        <f t="shared" si="1"/>
        <v>-1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64.6464</v>
      </c>
      <c r="T50" s="113" t="s">
        <v>107</v>
      </c>
      <c r="U50" s="107">
        <v>2867888</v>
      </c>
      <c r="X50" s="110">
        <v>42608</v>
      </c>
      <c r="Y50" s="9">
        <v>68.73</v>
      </c>
      <c r="Z50" s="9">
        <v>68.88</v>
      </c>
      <c r="AA50" s="9">
        <v>68.069999999999993</v>
      </c>
      <c r="AB50" s="9">
        <v>68.319999999999993</v>
      </c>
      <c r="AC50" s="104">
        <v>1427700</v>
      </c>
      <c r="AD50" s="9">
        <v>67.989999999999995</v>
      </c>
      <c r="AE50" s="2">
        <f t="shared" si="0"/>
        <v>0.81000000000000227</v>
      </c>
      <c r="AF50" s="138">
        <f t="shared" si="1"/>
        <v>-3.2253335288080498E-3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63.972999999999999</v>
      </c>
      <c r="T51" s="113" t="s">
        <v>110</v>
      </c>
      <c r="U51" s="107">
        <v>1748330</v>
      </c>
      <c r="X51" s="110">
        <v>42607</v>
      </c>
      <c r="Y51" s="9">
        <v>68.22</v>
      </c>
      <c r="Z51" s="9">
        <v>68.680000000000007</v>
      </c>
      <c r="AA51" s="9">
        <v>68.12</v>
      </c>
      <c r="AB51" s="9">
        <v>68.540000000000006</v>
      </c>
      <c r="AC51" s="104">
        <v>1145100</v>
      </c>
      <c r="AD51" s="9">
        <v>68.209999999999994</v>
      </c>
      <c r="AE51" s="2">
        <f t="shared" si="0"/>
        <v>0.56000000000000227</v>
      </c>
      <c r="AF51" s="138">
        <f t="shared" si="1"/>
        <v>4.121890181068455E-3</v>
      </c>
    </row>
    <row r="52" spans="1:32" x14ac:dyDescent="0.25">
      <c r="O52" s="83">
        <v>0.94</v>
      </c>
      <c r="P52" s="83">
        <f t="shared" si="3"/>
        <v>63.299599999999998</v>
      </c>
      <c r="T52" s="113" t="s">
        <v>108</v>
      </c>
      <c r="U52" s="106" t="s">
        <v>523</v>
      </c>
      <c r="X52" s="110">
        <v>42606</v>
      </c>
      <c r="Y52" s="9">
        <v>68.31</v>
      </c>
      <c r="Z52" s="9">
        <v>68.45</v>
      </c>
      <c r="AA52" s="9">
        <v>68.16</v>
      </c>
      <c r="AB52" s="9">
        <v>68.260000000000005</v>
      </c>
      <c r="AC52" s="104">
        <v>1004500</v>
      </c>
      <c r="AD52" s="9">
        <v>67.930000000000007</v>
      </c>
      <c r="AE52" s="2">
        <f t="shared" si="0"/>
        <v>0.29000000000000625</v>
      </c>
      <c r="AF52" s="138">
        <f t="shared" si="1"/>
        <v>-1.4699397324708929E-3</v>
      </c>
    </row>
    <row r="53" spans="1:32" x14ac:dyDescent="0.25">
      <c r="O53" s="83">
        <v>0.93</v>
      </c>
      <c r="P53" s="83">
        <f t="shared" si="3"/>
        <v>62.626200000000004</v>
      </c>
      <c r="T53" s="113" t="s">
        <v>111</v>
      </c>
      <c r="U53" s="106">
        <v>16.96</v>
      </c>
      <c r="X53" s="110">
        <v>42605</v>
      </c>
      <c r="Y53" s="9">
        <v>68.91</v>
      </c>
      <c r="Z53" s="9">
        <v>69.14</v>
      </c>
      <c r="AA53" s="9">
        <v>68.36</v>
      </c>
      <c r="AB53" s="9">
        <v>68.36</v>
      </c>
      <c r="AC53" s="104">
        <v>1716200</v>
      </c>
      <c r="AD53" s="9">
        <v>68.03</v>
      </c>
      <c r="AE53" s="2">
        <f t="shared" si="0"/>
        <v>0.78000000000000114</v>
      </c>
      <c r="AF53" s="138">
        <f t="shared" si="1"/>
        <v>-7.4409104172746821E-3</v>
      </c>
    </row>
    <row r="54" spans="1:32" x14ac:dyDescent="0.25">
      <c r="O54" s="83">
        <v>0.92</v>
      </c>
      <c r="P54" s="83">
        <f t="shared" si="3"/>
        <v>61.952800000000003</v>
      </c>
      <c r="T54" s="113" t="s">
        <v>112</v>
      </c>
      <c r="U54" s="106">
        <v>3.97</v>
      </c>
      <c r="X54" s="110">
        <v>42604</v>
      </c>
      <c r="Y54" s="9">
        <v>69.040000000000006</v>
      </c>
      <c r="Z54" s="9">
        <v>69.05</v>
      </c>
      <c r="AA54" s="9">
        <v>68.78</v>
      </c>
      <c r="AB54" s="9">
        <v>68.87</v>
      </c>
      <c r="AC54" s="104">
        <v>1171400</v>
      </c>
      <c r="AD54" s="9">
        <v>68.540000000000006</v>
      </c>
      <c r="AE54" s="2">
        <f t="shared" si="0"/>
        <v>0.26999999999999602</v>
      </c>
      <c r="AF54" s="138">
        <f t="shared" si="1"/>
        <v>-4.3579314352120146E-3</v>
      </c>
    </row>
    <row r="55" spans="1:32" x14ac:dyDescent="0.25">
      <c r="O55" s="83">
        <v>0.91</v>
      </c>
      <c r="P55" s="83">
        <f t="shared" si="3"/>
        <v>61.279400000000003</v>
      </c>
      <c r="T55" s="113" t="s">
        <v>109</v>
      </c>
      <c r="U55" s="106" t="s">
        <v>432</v>
      </c>
      <c r="X55" s="110">
        <v>42601</v>
      </c>
      <c r="Y55" s="9">
        <v>69.13</v>
      </c>
      <c r="Z55" s="9">
        <v>69.42</v>
      </c>
      <c r="AA55" s="9">
        <v>69.03</v>
      </c>
      <c r="AB55" s="9">
        <v>69.17</v>
      </c>
      <c r="AC55" s="104">
        <v>1269400</v>
      </c>
      <c r="AD55" s="9">
        <v>68.84</v>
      </c>
      <c r="AE55" s="2">
        <f t="shared" si="0"/>
        <v>0.39000000000000057</v>
      </c>
      <c r="AF55" s="138">
        <f t="shared" si="1"/>
        <v>-3.7626628075252411E-3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60.606000000000002</v>
      </c>
      <c r="X56" s="110">
        <v>42600</v>
      </c>
      <c r="Y56" s="9">
        <v>69.16</v>
      </c>
      <c r="Z56" s="9">
        <v>69.55</v>
      </c>
      <c r="AA56" s="9">
        <v>69.069999999999993</v>
      </c>
      <c r="AB56" s="9">
        <v>69.44</v>
      </c>
      <c r="AC56" s="104">
        <v>1657000</v>
      </c>
      <c r="AD56" s="9">
        <v>69.099999999999994</v>
      </c>
      <c r="AE56" s="2">
        <f t="shared" si="0"/>
        <v>0.48000000000000398</v>
      </c>
      <c r="AF56" s="138">
        <f t="shared" si="1"/>
        <v>4.5064689635119226E-3</v>
      </c>
    </row>
    <row r="57" spans="1:32" x14ac:dyDescent="0.25">
      <c r="X57" s="110">
        <v>42599</v>
      </c>
      <c r="Y57" s="9">
        <v>68.95</v>
      </c>
      <c r="Z57" s="9">
        <v>69.16</v>
      </c>
      <c r="AA57" s="9">
        <v>68.66</v>
      </c>
      <c r="AB57" s="9">
        <v>69.12</v>
      </c>
      <c r="AC57" s="104">
        <v>2091700</v>
      </c>
      <c r="AD57" s="9">
        <v>68.790000000000006</v>
      </c>
      <c r="AE57" s="2">
        <f t="shared" si="0"/>
        <v>0.5</v>
      </c>
      <c r="AF57" s="138">
        <f t="shared" si="1"/>
        <v>2.4774118332848705E-3</v>
      </c>
    </row>
    <row r="58" spans="1:32" x14ac:dyDescent="0.25">
      <c r="X58" s="110">
        <v>42598</v>
      </c>
      <c r="Y58" s="9">
        <v>68.91</v>
      </c>
      <c r="Z58" s="9">
        <v>69.47</v>
      </c>
      <c r="AA58" s="9">
        <v>68.91</v>
      </c>
      <c r="AB58" s="9">
        <v>68.95</v>
      </c>
      <c r="AC58" s="104">
        <v>1436800</v>
      </c>
      <c r="AD58" s="9">
        <v>68.62</v>
      </c>
      <c r="AE58" s="2">
        <f t="shared" si="0"/>
        <v>0.56000000000000227</v>
      </c>
      <c r="AF58" s="138">
        <f t="shared" si="1"/>
        <v>-6.2273714699492277E-3</v>
      </c>
    </row>
    <row r="59" spans="1:32" x14ac:dyDescent="0.25">
      <c r="X59" s="110">
        <v>42597</v>
      </c>
      <c r="Y59" s="9">
        <v>69.13</v>
      </c>
      <c r="Z59" s="9">
        <v>69.45</v>
      </c>
      <c r="AA59" s="9">
        <v>69.010000000000005</v>
      </c>
      <c r="AB59" s="9">
        <v>69.39</v>
      </c>
      <c r="AC59" s="104">
        <v>1537700</v>
      </c>
      <c r="AD59" s="9">
        <v>69.05</v>
      </c>
      <c r="AE59" s="2">
        <f t="shared" si="0"/>
        <v>0.43999999999999773</v>
      </c>
      <c r="AF59" s="138">
        <f t="shared" si="1"/>
        <v>3.6337209302326201E-3</v>
      </c>
    </row>
    <row r="60" spans="1:32" x14ac:dyDescent="0.25">
      <c r="X60" s="110">
        <v>42594</v>
      </c>
      <c r="Y60" s="9">
        <v>69.06</v>
      </c>
      <c r="Z60" s="9">
        <v>69.25</v>
      </c>
      <c r="AA60" s="9">
        <v>68.84</v>
      </c>
      <c r="AB60" s="9">
        <v>69.13</v>
      </c>
      <c r="AC60" s="104">
        <v>903100</v>
      </c>
      <c r="AD60" s="9">
        <v>68.8</v>
      </c>
      <c r="AE60" s="2">
        <f t="shared" si="0"/>
        <v>0.40999999999999659</v>
      </c>
      <c r="AF60" s="138">
        <f t="shared" si="1"/>
        <v>2.9078220412914746E-4</v>
      </c>
    </row>
    <row r="61" spans="1:32" x14ac:dyDescent="0.25">
      <c r="X61" s="110">
        <v>42593</v>
      </c>
      <c r="Y61" s="9">
        <v>69.42</v>
      </c>
      <c r="Z61" s="9">
        <v>69.510000000000005</v>
      </c>
      <c r="AA61" s="9">
        <v>69.040000000000006</v>
      </c>
      <c r="AB61" s="9">
        <v>69.11</v>
      </c>
      <c r="AC61" s="104">
        <v>1796700</v>
      </c>
      <c r="AD61" s="9">
        <v>68.78</v>
      </c>
      <c r="AE61" s="2">
        <f t="shared" si="0"/>
        <v>0.46999999999999886</v>
      </c>
      <c r="AF61" s="138">
        <f t="shared" si="1"/>
        <v>-4.3427909669947473E-3</v>
      </c>
    </row>
    <row r="62" spans="1:32" x14ac:dyDescent="0.25">
      <c r="X62" s="110">
        <v>42592</v>
      </c>
      <c r="Y62" s="9">
        <v>69.37</v>
      </c>
      <c r="Z62" s="9">
        <v>69.47</v>
      </c>
      <c r="AA62" s="9">
        <v>69.16</v>
      </c>
      <c r="AB62" s="9">
        <v>69.42</v>
      </c>
      <c r="AC62" s="104">
        <v>941800</v>
      </c>
      <c r="AD62" s="9">
        <v>69.08</v>
      </c>
      <c r="AE62" s="2">
        <f t="shared" si="0"/>
        <v>0.31000000000000227</v>
      </c>
      <c r="AF62" s="138">
        <f t="shared" si="1"/>
        <v>7.2432275822098546E-4</v>
      </c>
    </row>
    <row r="63" spans="1:32" x14ac:dyDescent="0.25">
      <c r="X63" s="110">
        <v>42591</v>
      </c>
      <c r="Y63" s="9">
        <v>69.17</v>
      </c>
      <c r="Z63" s="9">
        <v>69.5</v>
      </c>
      <c r="AA63" s="9">
        <v>69</v>
      </c>
      <c r="AB63" s="9">
        <v>69.37</v>
      </c>
      <c r="AC63" s="104">
        <v>1053100</v>
      </c>
      <c r="AD63" s="9">
        <v>69.03</v>
      </c>
      <c r="AE63" s="2">
        <f t="shared" si="0"/>
        <v>0.5</v>
      </c>
      <c r="AF63" s="138">
        <f t="shared" si="1"/>
        <v>2.7600232423008464E-3</v>
      </c>
    </row>
    <row r="64" spans="1:32" x14ac:dyDescent="0.25">
      <c r="X64" s="110">
        <v>42590</v>
      </c>
      <c r="Y64" s="9">
        <v>68.84</v>
      </c>
      <c r="Z64" s="9">
        <v>69.180000000000007</v>
      </c>
      <c r="AA64" s="9">
        <v>68.709999999999994</v>
      </c>
      <c r="AB64" s="9">
        <v>69.17</v>
      </c>
      <c r="AC64" s="104">
        <v>2194500</v>
      </c>
      <c r="AD64" s="9">
        <v>68.84</v>
      </c>
      <c r="AE64" s="2">
        <f t="shared" si="0"/>
        <v>0.47000000000001307</v>
      </c>
      <c r="AF64" s="138">
        <f t="shared" si="1"/>
        <v>4.8168150634944062E-3</v>
      </c>
    </row>
    <row r="65" spans="24:32" x14ac:dyDescent="0.25">
      <c r="X65" s="110">
        <v>42587</v>
      </c>
      <c r="Y65" s="9">
        <v>68.72</v>
      </c>
      <c r="Z65" s="9">
        <v>68.97</v>
      </c>
      <c r="AA65" s="9">
        <v>68.5</v>
      </c>
      <c r="AB65" s="9">
        <v>68.84</v>
      </c>
      <c r="AC65" s="104">
        <v>1620200</v>
      </c>
      <c r="AD65" s="9">
        <v>68.510000000000005</v>
      </c>
      <c r="AE65" s="2">
        <f t="shared" si="0"/>
        <v>0.46999999999999886</v>
      </c>
      <c r="AF65" s="138">
        <f t="shared" si="1"/>
        <v>3.2215551325229796E-3</v>
      </c>
    </row>
    <row r="66" spans="24:32" x14ac:dyDescent="0.25">
      <c r="X66" s="110">
        <v>42586</v>
      </c>
      <c r="Y66" s="9">
        <v>67.989999999999995</v>
      </c>
      <c r="Z66" s="9">
        <v>69.239999999999995</v>
      </c>
      <c r="AA66" s="9">
        <v>67.989999999999995</v>
      </c>
      <c r="AB66" s="9">
        <v>68.62</v>
      </c>
      <c r="AC66" s="104">
        <v>2149800</v>
      </c>
      <c r="AD66" s="9">
        <v>68.290000000000006</v>
      </c>
      <c r="AE66" s="2">
        <f t="shared" si="0"/>
        <v>1.25</v>
      </c>
      <c r="AF66" s="138">
        <f t="shared" si="1"/>
        <v>-1.4641288433370203E-4</v>
      </c>
    </row>
    <row r="67" spans="24:32" x14ac:dyDescent="0.25">
      <c r="X67" s="110">
        <v>42585</v>
      </c>
      <c r="Y67" s="9">
        <v>68.28</v>
      </c>
      <c r="Z67" s="9">
        <v>68.709999999999994</v>
      </c>
      <c r="AA67" s="9">
        <v>68.180000000000007</v>
      </c>
      <c r="AB67" s="9">
        <v>68.63</v>
      </c>
      <c r="AC67" s="104">
        <v>2032700</v>
      </c>
      <c r="AD67" s="9">
        <v>68.3</v>
      </c>
      <c r="AE67" s="2">
        <f>Z67-AA67</f>
        <v>0.52999999999998693</v>
      </c>
      <c r="AF67" s="138" t="e">
        <f>AD67/#REF!-1</f>
        <v>#REF!</v>
      </c>
    </row>
    <row r="68" spans="24:32" x14ac:dyDescent="0.25">
      <c r="X68" s="110">
        <v>42584</v>
      </c>
      <c r="Y68" s="9">
        <v>68.33</v>
      </c>
      <c r="Z68" s="9">
        <v>68.55</v>
      </c>
      <c r="AA68" s="9">
        <v>68.03</v>
      </c>
      <c r="AB68" s="9">
        <v>68.11</v>
      </c>
      <c r="AC68" s="104">
        <v>1344400</v>
      </c>
      <c r="AD68" s="9">
        <v>67.78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121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21" priority="19">
      <formula>F27&gt;0</formula>
    </cfRule>
    <cfRule type="expression" dxfId="220" priority="20">
      <formula>F27&lt;0</formula>
    </cfRule>
  </conditionalFormatting>
  <conditionalFormatting sqref="F37:F38">
    <cfRule type="expression" dxfId="219" priority="17">
      <formula>F37&gt;0</formula>
    </cfRule>
    <cfRule type="expression" dxfId="218" priority="18">
      <formula>F37&lt;0</formula>
    </cfRule>
  </conditionalFormatting>
  <conditionalFormatting sqref="H27:H32">
    <cfRule type="expression" dxfId="217" priority="15">
      <formula>H27&gt;0</formula>
    </cfRule>
    <cfRule type="expression" dxfId="216" priority="16">
      <formula>H27&lt;0</formula>
    </cfRule>
  </conditionalFormatting>
  <conditionalFormatting sqref="Q7">
    <cfRule type="expression" dxfId="215" priority="3">
      <formula>Q7&gt;0</formula>
    </cfRule>
    <cfRule type="expression" dxfId="214" priority="4">
      <formula>Q7&lt;0</formula>
    </cfRule>
  </conditionalFormatting>
  <conditionalFormatting sqref="Q8">
    <cfRule type="expression" dxfId="213" priority="1">
      <formula>Q8&gt;0</formula>
    </cfRule>
    <cfRule type="expression" dxfId="21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42676</v>
      </c>
      <c r="X2" s="40">
        <v>91.42</v>
      </c>
      <c r="Y2" s="40">
        <v>92.53</v>
      </c>
      <c r="Z2" s="40">
        <v>91.32</v>
      </c>
      <c r="AA2" s="40">
        <v>91.99</v>
      </c>
      <c r="AB2" s="95">
        <v>1687900</v>
      </c>
      <c r="AC2" s="40">
        <v>91.99</v>
      </c>
      <c r="AD2" s="2">
        <f>Y2-Z2</f>
        <v>1.210000000000008</v>
      </c>
      <c r="AE2" s="138">
        <f>AC2/AC3-1</f>
        <v>4.257641921397326E-3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91.99</v>
      </c>
      <c r="W3" s="157">
        <v>42675</v>
      </c>
      <c r="X3" s="40">
        <v>93.28</v>
      </c>
      <c r="Y3" s="40">
        <v>93.29</v>
      </c>
      <c r="Z3" s="40">
        <v>90.98</v>
      </c>
      <c r="AA3" s="40">
        <v>91.6</v>
      </c>
      <c r="AB3" s="95">
        <v>1552300</v>
      </c>
      <c r="AC3" s="40">
        <v>91.6</v>
      </c>
      <c r="AD3" s="2">
        <f t="shared" ref="AD3:AD66" si="0">Y3-Z3</f>
        <v>2.3100000000000023</v>
      </c>
      <c r="AE3" s="138">
        <f t="shared" ref="AE3:AE66" si="1">AC3/AC4-1</f>
        <v>-1.5053763440860291E-2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91.99</v>
      </c>
      <c r="R4" s="527">
        <v>1.0800000000000001E-2</v>
      </c>
      <c r="W4" s="157">
        <v>42674</v>
      </c>
      <c r="X4" s="40">
        <v>92.73</v>
      </c>
      <c r="Y4" s="40">
        <v>93.54</v>
      </c>
      <c r="Z4" s="40">
        <v>92.42</v>
      </c>
      <c r="AA4" s="40">
        <v>93</v>
      </c>
      <c r="AB4" s="95">
        <v>1833800</v>
      </c>
      <c r="AC4" s="40">
        <v>93</v>
      </c>
      <c r="AD4" s="2">
        <f t="shared" si="0"/>
        <v>1.1200000000000045</v>
      </c>
      <c r="AE4" s="138">
        <f t="shared" si="1"/>
        <v>7.9115638885878248E-3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42671</v>
      </c>
      <c r="X5" s="40">
        <v>91.51</v>
      </c>
      <c r="Y5" s="40">
        <v>93.16</v>
      </c>
      <c r="Z5" s="40">
        <v>91.36</v>
      </c>
      <c r="AA5" s="40">
        <v>92.27</v>
      </c>
      <c r="AB5" s="95">
        <v>2454700</v>
      </c>
      <c r="AC5" s="40">
        <v>92.27</v>
      </c>
      <c r="AD5" s="2">
        <f t="shared" si="0"/>
        <v>1.7999999999999972</v>
      </c>
      <c r="AE5" s="138">
        <f t="shared" si="1"/>
        <v>1.0071154898741108E-2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42670</v>
      </c>
      <c r="X6" s="40">
        <v>90.65</v>
      </c>
      <c r="Y6" s="40">
        <v>91.58</v>
      </c>
      <c r="Z6" s="40">
        <v>90.53</v>
      </c>
      <c r="AA6" s="40">
        <v>91.35</v>
      </c>
      <c r="AB6" s="95">
        <v>2478600</v>
      </c>
      <c r="AC6" s="40">
        <v>91.35</v>
      </c>
      <c r="AD6" s="2">
        <f t="shared" si="0"/>
        <v>1.0499999999999972</v>
      </c>
      <c r="AE6" s="138">
        <f t="shared" si="1"/>
        <v>1.4661779406864195E-2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184</v>
      </c>
      <c r="Q7" s="2">
        <f>Q10+Q8</f>
        <v>-168.6200000000008</v>
      </c>
      <c r="R7">
        <v>0</v>
      </c>
      <c r="W7" s="157">
        <v>42669</v>
      </c>
      <c r="X7" s="40">
        <v>91.9</v>
      </c>
      <c r="Y7" s="40">
        <v>92.37</v>
      </c>
      <c r="Z7" s="40">
        <v>89.95</v>
      </c>
      <c r="AA7" s="40">
        <v>90.03</v>
      </c>
      <c r="AB7" s="95">
        <v>2340800</v>
      </c>
      <c r="AC7" s="40">
        <v>90.03</v>
      </c>
      <c r="AD7" s="2">
        <f t="shared" si="0"/>
        <v>2.4200000000000017</v>
      </c>
      <c r="AE7" s="138">
        <f t="shared" si="1"/>
        <v>-3.4737857832100261E-2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57">
        <v>42668</v>
      </c>
      <c r="X8" s="40">
        <v>92.79</v>
      </c>
      <c r="Y8" s="40">
        <v>93.56</v>
      </c>
      <c r="Z8" s="40">
        <v>92.56</v>
      </c>
      <c r="AA8" s="40">
        <v>93.27</v>
      </c>
      <c r="AB8" s="95">
        <v>2111300</v>
      </c>
      <c r="AC8" s="40">
        <v>93.27</v>
      </c>
      <c r="AD8" s="2">
        <f t="shared" si="0"/>
        <v>1</v>
      </c>
      <c r="AE8" s="138">
        <f t="shared" si="1"/>
        <v>3.4427111350188166E-3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219</v>
      </c>
      <c r="Q9" s="138">
        <f>IF(Q2=0, 0, Q8/Q6)</f>
        <v>0</v>
      </c>
      <c r="W9" s="157">
        <v>42667</v>
      </c>
      <c r="X9" s="40">
        <v>93.84</v>
      </c>
      <c r="Y9" s="40">
        <v>94.27</v>
      </c>
      <c r="Z9" s="40">
        <v>92.85</v>
      </c>
      <c r="AA9" s="40">
        <v>92.95</v>
      </c>
      <c r="AB9" s="95">
        <v>1350500</v>
      </c>
      <c r="AC9" s="40">
        <v>92.95</v>
      </c>
      <c r="AD9" s="2">
        <f t="shared" si="0"/>
        <v>1.4200000000000017</v>
      </c>
      <c r="AE9" s="138">
        <f t="shared" si="1"/>
        <v>3.2285837279388829E-4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218</v>
      </c>
      <c r="P10" s="34"/>
      <c r="Q10" s="2">
        <f>M33</f>
        <v>-168.6200000000008</v>
      </c>
      <c r="W10" s="157">
        <v>42664</v>
      </c>
      <c r="X10" s="40">
        <v>92.35</v>
      </c>
      <c r="Y10" s="40">
        <v>93.01</v>
      </c>
      <c r="Z10" s="40">
        <v>92.07</v>
      </c>
      <c r="AA10" s="40">
        <v>92.92</v>
      </c>
      <c r="AB10" s="95">
        <v>1884700</v>
      </c>
      <c r="AC10" s="40">
        <v>92.92</v>
      </c>
      <c r="AD10" s="2">
        <f t="shared" si="0"/>
        <v>0.94000000000001194</v>
      </c>
      <c r="AE10" s="138">
        <f t="shared" si="1"/>
        <v>-2.254912487920091E-3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181</v>
      </c>
      <c r="P11" s="34"/>
      <c r="Q11" s="138">
        <f>IF(U58="N/A (N/A)", 0, VALUE(TRIM(CLEAN(MID(U58, FIND("(", U58)+1, 5)))))</f>
        <v>2.5600000000000001E-2</v>
      </c>
      <c r="W11" s="157">
        <v>42663</v>
      </c>
      <c r="X11" s="40">
        <v>95.01</v>
      </c>
      <c r="Y11" s="40">
        <v>95.15</v>
      </c>
      <c r="Z11" s="40">
        <v>92.94</v>
      </c>
      <c r="AA11" s="40">
        <v>93.13</v>
      </c>
      <c r="AB11" s="95">
        <v>1569400</v>
      </c>
      <c r="AC11" s="40">
        <v>93.13</v>
      </c>
      <c r="AD11" s="2">
        <f t="shared" si="0"/>
        <v>2.210000000000008</v>
      </c>
      <c r="AE11" s="138">
        <f t="shared" si="1"/>
        <v>-2.6244249268088771E-2</v>
      </c>
    </row>
    <row r="12" spans="1:31" x14ac:dyDescent="0.25">
      <c r="W12" s="157">
        <v>42662</v>
      </c>
      <c r="X12" s="40">
        <v>95.25</v>
      </c>
      <c r="Y12" s="40">
        <v>96.38</v>
      </c>
      <c r="Z12" s="40">
        <v>94.9</v>
      </c>
      <c r="AA12" s="40">
        <v>95.64</v>
      </c>
      <c r="AB12" s="95">
        <v>1009200</v>
      </c>
      <c r="AC12" s="40">
        <v>95.64</v>
      </c>
      <c r="AD12" s="2">
        <f t="shared" si="0"/>
        <v>1.4799999999999898</v>
      </c>
      <c r="AE12" s="138">
        <f t="shared" si="1"/>
        <v>6.948831332912242E-3</v>
      </c>
    </row>
    <row r="13" spans="1:31" x14ac:dyDescent="0.25">
      <c r="W13" s="157">
        <v>42661</v>
      </c>
      <c r="X13" s="40">
        <v>95.25</v>
      </c>
      <c r="Y13" s="40">
        <v>95.69</v>
      </c>
      <c r="Z13" s="40">
        <v>94.48</v>
      </c>
      <c r="AA13" s="40">
        <v>94.98</v>
      </c>
      <c r="AB13" s="95">
        <v>999300</v>
      </c>
      <c r="AC13" s="40">
        <v>94.98</v>
      </c>
      <c r="AD13" s="2">
        <f t="shared" si="0"/>
        <v>1.2099999999999937</v>
      </c>
      <c r="AE13" s="138">
        <f t="shared" si="1"/>
        <v>1.476170392239462E-3</v>
      </c>
    </row>
    <row r="14" spans="1:31" x14ac:dyDescent="0.25">
      <c r="W14" s="157">
        <v>42660</v>
      </c>
      <c r="X14" s="40">
        <v>94.82</v>
      </c>
      <c r="Y14" s="40">
        <v>95.53</v>
      </c>
      <c r="Z14" s="40">
        <v>94.57</v>
      </c>
      <c r="AA14" s="40">
        <v>94.84</v>
      </c>
      <c r="AB14" s="95">
        <v>1021400</v>
      </c>
      <c r="AC14" s="40">
        <v>94.84</v>
      </c>
      <c r="AD14" s="2">
        <f t="shared" si="0"/>
        <v>0.96000000000000796</v>
      </c>
      <c r="AE14" s="138">
        <f t="shared" si="1"/>
        <v>-1.0532968190435366E-3</v>
      </c>
    </row>
    <row r="15" spans="1:31" x14ac:dyDescent="0.25">
      <c r="W15" s="157">
        <v>42657</v>
      </c>
      <c r="X15" s="40">
        <v>95.51</v>
      </c>
      <c r="Y15" s="40">
        <v>96.4</v>
      </c>
      <c r="Z15" s="40">
        <v>94.85</v>
      </c>
      <c r="AA15" s="40">
        <v>94.94</v>
      </c>
      <c r="AB15" s="95">
        <v>1473600</v>
      </c>
      <c r="AC15" s="40">
        <v>94.94</v>
      </c>
      <c r="AD15" s="2">
        <f t="shared" si="0"/>
        <v>1.5500000000000114</v>
      </c>
      <c r="AE15" s="138">
        <f t="shared" si="1"/>
        <v>1.2655557899177161E-3</v>
      </c>
    </row>
    <row r="16" spans="1:31" x14ac:dyDescent="0.25">
      <c r="W16" s="157">
        <v>42656</v>
      </c>
      <c r="X16" s="40">
        <v>92.81</v>
      </c>
      <c r="Y16" s="40">
        <v>95.03</v>
      </c>
      <c r="Z16" s="40">
        <v>92.47</v>
      </c>
      <c r="AA16" s="40">
        <v>94.82</v>
      </c>
      <c r="AB16" s="95">
        <v>1923000</v>
      </c>
      <c r="AC16" s="40">
        <v>94.82</v>
      </c>
      <c r="AD16" s="2">
        <f t="shared" si="0"/>
        <v>2.5600000000000023</v>
      </c>
      <c r="AE16" s="138">
        <f t="shared" si="1"/>
        <v>1.4986084350246065E-2</v>
      </c>
    </row>
    <row r="17" spans="1:31" x14ac:dyDescent="0.25">
      <c r="W17" s="157">
        <v>42655</v>
      </c>
      <c r="X17" s="40">
        <v>93.85</v>
      </c>
      <c r="Y17" s="40">
        <v>94.34</v>
      </c>
      <c r="Z17" s="40">
        <v>93.2</v>
      </c>
      <c r="AA17" s="40">
        <v>93.42</v>
      </c>
      <c r="AB17" s="95">
        <v>2167300</v>
      </c>
      <c r="AC17" s="40">
        <v>93.42</v>
      </c>
      <c r="AD17" s="2">
        <f t="shared" si="0"/>
        <v>1.1400000000000006</v>
      </c>
      <c r="AE17" s="138">
        <f t="shared" si="1"/>
        <v>-1.3203760430970712E-2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42654</v>
      </c>
      <c r="X18" s="40">
        <v>96.59</v>
      </c>
      <c r="Y18" s="40">
        <v>97</v>
      </c>
      <c r="Z18" s="40">
        <v>94.25</v>
      </c>
      <c r="AA18" s="40">
        <v>94.67</v>
      </c>
      <c r="AB18" s="95">
        <v>3044200</v>
      </c>
      <c r="AC18" s="40">
        <v>94.67</v>
      </c>
      <c r="AD18" s="2">
        <f t="shared" si="0"/>
        <v>2.75</v>
      </c>
      <c r="AE18" s="138">
        <f t="shared" si="1"/>
        <v>-1.2104768861525561E-2</v>
      </c>
    </row>
    <row r="19" spans="1:31" x14ac:dyDescent="0.25">
      <c r="W19" s="157">
        <v>42653</v>
      </c>
      <c r="X19" s="40">
        <v>97.22</v>
      </c>
      <c r="Y19" s="40">
        <v>97.59</v>
      </c>
      <c r="Z19" s="40">
        <v>95.69</v>
      </c>
      <c r="AA19" s="40">
        <v>95.83</v>
      </c>
      <c r="AB19" s="95">
        <v>1743000</v>
      </c>
      <c r="AC19" s="40">
        <v>95.83</v>
      </c>
      <c r="AD19" s="2">
        <f t="shared" si="0"/>
        <v>1.9000000000000057</v>
      </c>
      <c r="AE19" s="138">
        <f t="shared" si="1"/>
        <v>-9.8160777020045442E-3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4" t="s">
        <v>65</v>
      </c>
      <c r="G20" s="229" t="s">
        <v>154</v>
      </c>
      <c r="H20" s="229" t="s">
        <v>88</v>
      </c>
      <c r="I20" s="229" t="s">
        <v>158</v>
      </c>
      <c r="W20" s="157">
        <v>42650</v>
      </c>
      <c r="X20" s="40">
        <v>97.3</v>
      </c>
      <c r="Y20" s="40">
        <v>97.4</v>
      </c>
      <c r="Z20" s="40">
        <v>96.05</v>
      </c>
      <c r="AA20" s="40">
        <v>96.78</v>
      </c>
      <c r="AB20" s="95">
        <v>1441700</v>
      </c>
      <c r="AC20" s="40">
        <v>96.78</v>
      </c>
      <c r="AD20" s="2">
        <f t="shared" si="0"/>
        <v>1.3500000000000085</v>
      </c>
      <c r="AE20" s="138">
        <f t="shared" si="1"/>
        <v>-6.875320677270369E-3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42649</v>
      </c>
      <c r="X21" s="40">
        <v>97.04</v>
      </c>
      <c r="Y21" s="40">
        <v>97.82</v>
      </c>
      <c r="Z21" s="40">
        <v>96.65</v>
      </c>
      <c r="AA21" s="40">
        <v>97.45</v>
      </c>
      <c r="AB21" s="95">
        <v>1638500</v>
      </c>
      <c r="AC21" s="40">
        <v>97.45</v>
      </c>
      <c r="AD21" s="2">
        <f t="shared" si="0"/>
        <v>1.1699999999999875</v>
      </c>
      <c r="AE21" s="138">
        <f t="shared" si="1"/>
        <v>4.2250618301731269E-3</v>
      </c>
    </row>
    <row r="22" spans="1:31" x14ac:dyDescent="0.25">
      <c r="B22" s="193">
        <v>42305</v>
      </c>
      <c r="C22" s="10">
        <v>0</v>
      </c>
      <c r="D22" s="202" t="s">
        <v>129</v>
      </c>
      <c r="E22" s="40">
        <v>81.599999999999994</v>
      </c>
      <c r="F22" s="40">
        <v>-169.71000000000095</v>
      </c>
      <c r="G22" s="40"/>
      <c r="H22" s="231"/>
      <c r="I22" s="40"/>
      <c r="W22" s="157">
        <v>42648</v>
      </c>
      <c r="X22" s="40">
        <v>96.23</v>
      </c>
      <c r="Y22" s="40">
        <v>97.17</v>
      </c>
      <c r="Z22" s="40">
        <v>96.05</v>
      </c>
      <c r="AA22" s="40">
        <v>97.04</v>
      </c>
      <c r="AB22" s="95">
        <v>1200000</v>
      </c>
      <c r="AC22" s="40">
        <v>97.04</v>
      </c>
      <c r="AD22" s="2">
        <f t="shared" si="0"/>
        <v>1.1200000000000045</v>
      </c>
      <c r="AE22" s="138">
        <f t="shared" si="1"/>
        <v>1.3049378849566695E-2</v>
      </c>
    </row>
    <row r="23" spans="1:31" x14ac:dyDescent="0.25">
      <c r="B23" s="193">
        <v>42331</v>
      </c>
      <c r="C23" s="10">
        <v>0</v>
      </c>
      <c r="D23" s="202" t="s">
        <v>129</v>
      </c>
      <c r="E23" s="40">
        <v>95.56</v>
      </c>
      <c r="F23" s="40">
        <v>-168.62</v>
      </c>
      <c r="G23" s="40"/>
      <c r="H23" s="231"/>
      <c r="I23" s="40" t="s">
        <v>192</v>
      </c>
      <c r="W23" s="157">
        <v>42647</v>
      </c>
      <c r="X23" s="40">
        <v>97.11</v>
      </c>
      <c r="Y23" s="40">
        <v>97.73</v>
      </c>
      <c r="Z23" s="40">
        <v>95.37</v>
      </c>
      <c r="AA23" s="40">
        <v>95.79</v>
      </c>
      <c r="AB23" s="95">
        <v>1456800</v>
      </c>
      <c r="AC23" s="40">
        <v>95.79</v>
      </c>
      <c r="AD23" s="2">
        <f t="shared" si="0"/>
        <v>2.3599999999999994</v>
      </c>
      <c r="AE23" s="138">
        <f t="shared" si="1"/>
        <v>-1.1557114848828709E-2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42646</v>
      </c>
      <c r="X24" s="40">
        <v>96.59</v>
      </c>
      <c r="Y24" s="40">
        <v>97.12</v>
      </c>
      <c r="Z24" s="40">
        <v>96.33</v>
      </c>
      <c r="AA24" s="40">
        <v>96.91</v>
      </c>
      <c r="AB24" s="95">
        <v>1350200</v>
      </c>
      <c r="AC24" s="40">
        <v>96.91</v>
      </c>
      <c r="AD24" s="2">
        <f t="shared" si="0"/>
        <v>0.79000000000000625</v>
      </c>
      <c r="AE24" s="138">
        <f t="shared" si="1"/>
        <v>-1.5454358128993428E-3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42643</v>
      </c>
      <c r="X25" s="40">
        <v>95.52</v>
      </c>
      <c r="Y25" s="40">
        <v>97.28</v>
      </c>
      <c r="Z25" s="40">
        <v>95.29</v>
      </c>
      <c r="AA25" s="40">
        <v>97.06</v>
      </c>
      <c r="AB25" s="95">
        <v>1921300</v>
      </c>
      <c r="AC25" s="40">
        <v>97.06</v>
      </c>
      <c r="AD25" s="2">
        <f t="shared" si="0"/>
        <v>1.9899999999999949</v>
      </c>
      <c r="AE25" s="138">
        <f t="shared" si="1"/>
        <v>2.0073568050446688E-2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42642</v>
      </c>
      <c r="X26" s="40">
        <v>95.55</v>
      </c>
      <c r="Y26" s="40">
        <v>95.87</v>
      </c>
      <c r="Z26" s="40">
        <v>94.84</v>
      </c>
      <c r="AA26" s="40">
        <v>95.15</v>
      </c>
      <c r="AB26" s="95">
        <v>1796500</v>
      </c>
      <c r="AC26" s="40">
        <v>95.15</v>
      </c>
      <c r="AD26" s="2">
        <f t="shared" si="0"/>
        <v>1.0300000000000011</v>
      </c>
      <c r="AE26" s="138">
        <f t="shared" si="1"/>
        <v>-3.9778080184235121E-3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42641</v>
      </c>
      <c r="X27" s="40">
        <v>94.5</v>
      </c>
      <c r="Y27" s="40">
        <v>95.62</v>
      </c>
      <c r="Z27" s="40">
        <v>94.17</v>
      </c>
      <c r="AA27" s="40">
        <v>95.53</v>
      </c>
      <c r="AB27" s="95">
        <v>1100000</v>
      </c>
      <c r="AC27" s="40">
        <v>95.53</v>
      </c>
      <c r="AD27" s="2">
        <f t="shared" si="0"/>
        <v>1.4500000000000028</v>
      </c>
      <c r="AE27" s="138">
        <f t="shared" si="1"/>
        <v>1.1113463166807724E-2</v>
      </c>
    </row>
    <row r="28" spans="1:31" x14ac:dyDescent="0.25">
      <c r="W28" s="157">
        <v>42640</v>
      </c>
      <c r="X28" s="40">
        <v>93.25</v>
      </c>
      <c r="Y28" s="40">
        <v>94.72</v>
      </c>
      <c r="Z28" s="40">
        <v>93.15</v>
      </c>
      <c r="AA28" s="40">
        <v>94.48</v>
      </c>
      <c r="AB28" s="95">
        <v>1086500</v>
      </c>
      <c r="AC28" s="40">
        <v>94.48</v>
      </c>
      <c r="AD28" s="2">
        <f t="shared" si="0"/>
        <v>1.5699999999999932</v>
      </c>
      <c r="AE28" s="138">
        <f t="shared" si="1"/>
        <v>1.2864493996569415E-2</v>
      </c>
    </row>
    <row r="29" spans="1:31" x14ac:dyDescent="0.25">
      <c r="W29" s="157">
        <v>42639</v>
      </c>
      <c r="X29" s="40">
        <v>93.07</v>
      </c>
      <c r="Y29" s="40">
        <v>94.05</v>
      </c>
      <c r="Z29" s="40">
        <v>92.84</v>
      </c>
      <c r="AA29" s="40">
        <v>93.28</v>
      </c>
      <c r="AB29" s="95">
        <v>1114700</v>
      </c>
      <c r="AC29" s="40">
        <v>93.28</v>
      </c>
      <c r="AD29" s="2">
        <f t="shared" si="0"/>
        <v>1.2099999999999937</v>
      </c>
      <c r="AE29" s="138">
        <f t="shared" si="1"/>
        <v>-3.6317026276436737E-3</v>
      </c>
    </row>
    <row r="30" spans="1:31" x14ac:dyDescent="0.25">
      <c r="W30" s="157">
        <v>42636</v>
      </c>
      <c r="X30" s="40">
        <v>93.48</v>
      </c>
      <c r="Y30" s="40">
        <v>94.23</v>
      </c>
      <c r="Z30" s="40">
        <v>93.25</v>
      </c>
      <c r="AA30" s="40">
        <v>93.62</v>
      </c>
      <c r="AB30" s="95">
        <v>889500</v>
      </c>
      <c r="AC30" s="40">
        <v>93.62</v>
      </c>
      <c r="AD30" s="2">
        <f t="shared" si="0"/>
        <v>0.98000000000000398</v>
      </c>
      <c r="AE30" s="138">
        <f t="shared" si="1"/>
        <v>-3.0880630390799357E-3</v>
      </c>
    </row>
    <row r="31" spans="1:31" x14ac:dyDescent="0.25">
      <c r="W31" s="157">
        <v>42635</v>
      </c>
      <c r="X31" s="40">
        <v>93.78</v>
      </c>
      <c r="Y31" s="40">
        <v>94.39</v>
      </c>
      <c r="Z31" s="40">
        <v>93.64</v>
      </c>
      <c r="AA31" s="40">
        <v>93.91</v>
      </c>
      <c r="AB31" s="95">
        <v>1280100</v>
      </c>
      <c r="AC31" s="40">
        <v>93.91</v>
      </c>
      <c r="AD31" s="2">
        <f t="shared" si="0"/>
        <v>0.75</v>
      </c>
      <c r="AE31" s="138">
        <f t="shared" si="1"/>
        <v>8.5919879712168523E-3</v>
      </c>
    </row>
    <row r="32" spans="1:31" x14ac:dyDescent="0.25">
      <c r="W32" s="157">
        <v>42634</v>
      </c>
      <c r="X32" s="40">
        <v>92.03</v>
      </c>
      <c r="Y32" s="40">
        <v>93.31</v>
      </c>
      <c r="Z32" s="40">
        <v>91.89</v>
      </c>
      <c r="AA32" s="40">
        <v>93.11</v>
      </c>
      <c r="AB32" s="95">
        <v>1253700</v>
      </c>
      <c r="AC32" s="40">
        <v>93.11</v>
      </c>
      <c r="AD32" s="2">
        <f t="shared" si="0"/>
        <v>1.4200000000000017</v>
      </c>
      <c r="AE32" s="138">
        <f t="shared" si="1"/>
        <v>1.2946040034812922E-2</v>
      </c>
    </row>
    <row r="33" spans="1:31" x14ac:dyDescent="0.25">
      <c r="L33" t="s">
        <v>65</v>
      </c>
      <c r="M33" s="2">
        <f>K51+M51-F51</f>
        <v>-168.6200000000008</v>
      </c>
      <c r="W33" s="157">
        <v>42633</v>
      </c>
      <c r="X33" s="40">
        <v>92.38</v>
      </c>
      <c r="Y33" s="40">
        <v>92.53</v>
      </c>
      <c r="Z33" s="40">
        <v>91.61</v>
      </c>
      <c r="AA33" s="40">
        <v>91.92</v>
      </c>
      <c r="AB33" s="95">
        <v>1369500</v>
      </c>
      <c r="AC33" s="40">
        <v>91.92</v>
      </c>
      <c r="AD33" s="2">
        <f t="shared" si="0"/>
        <v>0.92000000000000171</v>
      </c>
      <c r="AE33" s="138">
        <f t="shared" si="1"/>
        <v>-1.1952624144300206E-3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57">
        <v>42632</v>
      </c>
      <c r="X34" s="40">
        <v>91.76</v>
      </c>
      <c r="Y34" s="40">
        <v>92.67</v>
      </c>
      <c r="Z34" s="40">
        <v>91.76</v>
      </c>
      <c r="AA34" s="40">
        <v>92.03</v>
      </c>
      <c r="AB34" s="95">
        <v>1111100</v>
      </c>
      <c r="AC34" s="40">
        <v>92.03</v>
      </c>
      <c r="AD34" s="2">
        <f t="shared" si="0"/>
        <v>0.90999999999999659</v>
      </c>
      <c r="AE34" s="138">
        <f t="shared" si="1"/>
        <v>7.443897099069563E-3</v>
      </c>
    </row>
    <row r="35" spans="1:31" x14ac:dyDescent="0.25">
      <c r="A35" s="393" t="s">
        <v>47</v>
      </c>
      <c r="B35" s="383">
        <v>42185</v>
      </c>
      <c r="C35" s="384">
        <v>10</v>
      </c>
      <c r="D35" s="385">
        <v>88.85</v>
      </c>
      <c r="E35" s="385">
        <v>0</v>
      </c>
      <c r="F35" s="385">
        <f t="shared" ref="F35:F40" si="2">C35*D35</f>
        <v>888.5</v>
      </c>
      <c r="G35" s="383">
        <v>42310</v>
      </c>
      <c r="H35" s="388">
        <v>75</v>
      </c>
      <c r="I35" s="385">
        <v>80.650000000000006</v>
      </c>
      <c r="J35" s="384">
        <v>7.06</v>
      </c>
      <c r="K35" s="384">
        <f>H35*I35-J35</f>
        <v>6041.69</v>
      </c>
      <c r="L35" s="383">
        <v>42257</v>
      </c>
      <c r="M35" s="385">
        <v>35.4</v>
      </c>
      <c r="W35" s="157">
        <v>42629</v>
      </c>
      <c r="X35" s="40">
        <v>91.06</v>
      </c>
      <c r="Y35" s="40">
        <v>91.78</v>
      </c>
      <c r="Z35" s="40">
        <v>90.44</v>
      </c>
      <c r="AA35" s="40">
        <v>91.35</v>
      </c>
      <c r="AB35" s="95">
        <v>2074000</v>
      </c>
      <c r="AC35" s="40">
        <v>91.35</v>
      </c>
      <c r="AD35" s="2">
        <f t="shared" si="0"/>
        <v>1.3400000000000034</v>
      </c>
      <c r="AE35" s="138">
        <f t="shared" si="1"/>
        <v>-1.7484427931374613E-3</v>
      </c>
    </row>
    <row r="36" spans="1:31" x14ac:dyDescent="0.25">
      <c r="A36" s="394" t="s">
        <v>71</v>
      </c>
      <c r="B36" s="383">
        <v>42214</v>
      </c>
      <c r="C36" s="384">
        <v>10</v>
      </c>
      <c r="D36" s="385">
        <v>83</v>
      </c>
      <c r="E36" s="385">
        <v>0</v>
      </c>
      <c r="F36" s="385">
        <f t="shared" si="2"/>
        <v>830</v>
      </c>
      <c r="G36" s="383">
        <v>42335</v>
      </c>
      <c r="H36" s="388">
        <v>60</v>
      </c>
      <c r="I36" s="385">
        <v>95.71</v>
      </c>
      <c r="J36" s="385">
        <v>0.11</v>
      </c>
      <c r="K36" s="384">
        <f>H36*I36-J36</f>
        <v>5742.49</v>
      </c>
      <c r="L36" s="384"/>
      <c r="M36" s="385"/>
      <c r="W36" s="157">
        <v>42628</v>
      </c>
      <c r="X36" s="40">
        <v>90.36</v>
      </c>
      <c r="Y36" s="40">
        <v>91.94</v>
      </c>
      <c r="Z36" s="40">
        <v>89.92</v>
      </c>
      <c r="AA36" s="40">
        <v>91.51</v>
      </c>
      <c r="AB36" s="95">
        <v>1476500</v>
      </c>
      <c r="AC36" s="40">
        <v>91.51</v>
      </c>
      <c r="AD36" s="2">
        <f t="shared" si="0"/>
        <v>2.019999999999996</v>
      </c>
      <c r="AE36" s="138">
        <f t="shared" si="1"/>
        <v>9.2643652806883026E-3</v>
      </c>
    </row>
    <row r="37" spans="1:31" x14ac:dyDescent="0.25">
      <c r="A37" s="384"/>
      <c r="B37" s="383">
        <v>42221</v>
      </c>
      <c r="C37" s="384">
        <v>30</v>
      </c>
      <c r="D37" s="385">
        <v>84.6</v>
      </c>
      <c r="E37" s="385">
        <v>0</v>
      </c>
      <c r="F37" s="385">
        <f t="shared" si="2"/>
        <v>2538</v>
      </c>
      <c r="G37" s="384"/>
      <c r="H37" s="388"/>
      <c r="I37" s="384"/>
      <c r="J37" s="384"/>
      <c r="K37" s="384"/>
      <c r="L37" s="384"/>
      <c r="M37" s="385"/>
      <c r="W37" s="157">
        <v>42627</v>
      </c>
      <c r="X37" s="40">
        <v>90.52</v>
      </c>
      <c r="Y37" s="40">
        <v>91.66</v>
      </c>
      <c r="Z37" s="40">
        <v>90.22</v>
      </c>
      <c r="AA37" s="40">
        <v>90.67</v>
      </c>
      <c r="AB37" s="95">
        <v>1714200</v>
      </c>
      <c r="AC37" s="40">
        <v>90.67</v>
      </c>
      <c r="AD37" s="2">
        <f t="shared" si="0"/>
        <v>1.4399999999999977</v>
      </c>
      <c r="AE37" s="138">
        <f t="shared" si="1"/>
        <v>-7.7143486885600243E-4</v>
      </c>
    </row>
    <row r="38" spans="1:31" x14ac:dyDescent="0.25">
      <c r="A38" s="384"/>
      <c r="B38" s="383">
        <v>42222</v>
      </c>
      <c r="C38" s="384">
        <v>10</v>
      </c>
      <c r="D38" s="385">
        <v>83.08</v>
      </c>
      <c r="E38" s="385">
        <v>0</v>
      </c>
      <c r="F38" s="385">
        <f t="shared" si="2"/>
        <v>830.8</v>
      </c>
      <c r="G38" s="384"/>
      <c r="H38" s="388"/>
      <c r="I38" s="384"/>
      <c r="J38" s="384"/>
      <c r="K38" s="384"/>
      <c r="L38" s="384"/>
      <c r="M38" s="385"/>
      <c r="W38" s="157">
        <v>42626</v>
      </c>
      <c r="X38" s="40">
        <v>91.44</v>
      </c>
      <c r="Y38" s="40">
        <v>92.12</v>
      </c>
      <c r="Z38" s="40">
        <v>90.3</v>
      </c>
      <c r="AA38" s="40">
        <v>90.74</v>
      </c>
      <c r="AB38" s="95">
        <v>1102300</v>
      </c>
      <c r="AC38" s="40">
        <v>90.74</v>
      </c>
      <c r="AD38" s="2">
        <f t="shared" si="0"/>
        <v>1.8200000000000074</v>
      </c>
      <c r="AE38" s="138">
        <f t="shared" si="1"/>
        <v>-1.7752760337735429E-2</v>
      </c>
    </row>
    <row r="39" spans="1:31" x14ac:dyDescent="0.25">
      <c r="A39" s="384"/>
      <c r="B39" s="383">
        <v>42272</v>
      </c>
      <c r="C39" s="384">
        <v>15</v>
      </c>
      <c r="D39" s="385">
        <v>77.3</v>
      </c>
      <c r="E39" s="385">
        <v>0</v>
      </c>
      <c r="F39" s="385">
        <f t="shared" si="2"/>
        <v>1159.5</v>
      </c>
      <c r="G39" s="384"/>
      <c r="H39" s="388"/>
      <c r="I39" s="384"/>
      <c r="J39" s="384"/>
      <c r="K39" s="384"/>
      <c r="L39" s="384"/>
      <c r="M39" s="384"/>
      <c r="W39" s="157">
        <v>42625</v>
      </c>
      <c r="X39" s="40">
        <v>90.69</v>
      </c>
      <c r="Y39" s="40">
        <v>93.03</v>
      </c>
      <c r="Z39" s="40">
        <v>90.21</v>
      </c>
      <c r="AA39" s="40">
        <v>92.38</v>
      </c>
      <c r="AB39" s="95">
        <v>1413500</v>
      </c>
      <c r="AC39" s="40">
        <v>92.38</v>
      </c>
      <c r="AD39" s="2">
        <f t="shared" si="0"/>
        <v>2.8200000000000074</v>
      </c>
      <c r="AE39" s="138">
        <f t="shared" si="1"/>
        <v>1.7625027539105442E-2</v>
      </c>
    </row>
    <row r="40" spans="1:31" x14ac:dyDescent="0.25">
      <c r="A40" s="384"/>
      <c r="B40" s="383">
        <v>42335</v>
      </c>
      <c r="C40" s="384">
        <v>60</v>
      </c>
      <c r="D40" s="385">
        <v>95.69</v>
      </c>
      <c r="E40" s="385">
        <v>0</v>
      </c>
      <c r="F40" s="385">
        <f t="shared" si="2"/>
        <v>5741.4</v>
      </c>
      <c r="G40" s="384"/>
      <c r="H40" s="388"/>
      <c r="I40" s="384"/>
      <c r="J40" s="384"/>
      <c r="K40" s="384"/>
      <c r="L40" s="384"/>
      <c r="M40" s="384"/>
      <c r="W40" s="157">
        <v>42622</v>
      </c>
      <c r="X40" s="40">
        <v>93.29</v>
      </c>
      <c r="Y40" s="40">
        <v>93.29</v>
      </c>
      <c r="Z40" s="40">
        <v>90.75</v>
      </c>
      <c r="AA40" s="40">
        <v>90.78</v>
      </c>
      <c r="AB40" s="95">
        <v>1646200</v>
      </c>
      <c r="AC40" s="40">
        <v>90.78</v>
      </c>
      <c r="AD40" s="2">
        <f t="shared" si="0"/>
        <v>2.5400000000000063</v>
      </c>
      <c r="AE40" s="138">
        <f t="shared" si="1"/>
        <v>-3.4152569422278956E-2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8"/>
      <c r="I41" s="384"/>
      <c r="J41" s="384"/>
      <c r="K41" s="384"/>
      <c r="L41" s="384"/>
      <c r="M41" s="384"/>
      <c r="W41" s="157">
        <v>42621</v>
      </c>
      <c r="X41" s="40">
        <v>94</v>
      </c>
      <c r="Y41" s="40">
        <v>94.92</v>
      </c>
      <c r="Z41" s="40">
        <v>93.24</v>
      </c>
      <c r="AA41" s="40">
        <v>93.99</v>
      </c>
      <c r="AB41" s="95">
        <v>1271600</v>
      </c>
      <c r="AC41" s="40">
        <v>93.99</v>
      </c>
      <c r="AD41" s="2">
        <f t="shared" si="0"/>
        <v>1.6800000000000068</v>
      </c>
      <c r="AE41" s="138">
        <f t="shared" si="1"/>
        <v>5.3225463061523648E-4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154" t="s">
        <v>78</v>
      </c>
      <c r="P42" s="154"/>
      <c r="R42" s="34"/>
      <c r="T42" s="155" t="s">
        <v>92</v>
      </c>
      <c r="W42" s="157">
        <v>42620</v>
      </c>
      <c r="X42" s="40">
        <v>94.93</v>
      </c>
      <c r="Y42" s="40">
        <v>95.97</v>
      </c>
      <c r="Z42" s="40">
        <v>93.76</v>
      </c>
      <c r="AA42" s="40">
        <v>93.94</v>
      </c>
      <c r="AB42" s="95">
        <v>2427700</v>
      </c>
      <c r="AC42" s="40">
        <v>93.94</v>
      </c>
      <c r="AD42" s="2">
        <f t="shared" si="0"/>
        <v>2.2099999999999937</v>
      </c>
      <c r="AE42" s="138">
        <f t="shared" si="1"/>
        <v>-1.2716763005780396E-2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 t="shared" ref="P43:P63" si="3">O43*$Q$4</f>
        <v>101.18900000000001</v>
      </c>
      <c r="Q43" s="2"/>
      <c r="R43" s="34"/>
      <c r="T43" s="10" t="s">
        <v>98</v>
      </c>
      <c r="U43" s="88">
        <v>91.01</v>
      </c>
      <c r="W43" s="157">
        <v>42619</v>
      </c>
      <c r="X43" s="40">
        <v>94.16</v>
      </c>
      <c r="Y43" s="40">
        <v>95.15</v>
      </c>
      <c r="Z43" s="40">
        <v>94.04</v>
      </c>
      <c r="AA43" s="40">
        <v>95.15</v>
      </c>
      <c r="AB43" s="95">
        <v>1553600</v>
      </c>
      <c r="AC43" s="40">
        <v>95.15</v>
      </c>
      <c r="AD43" s="2">
        <f t="shared" si="0"/>
        <v>1.1099999999999994</v>
      </c>
      <c r="AE43" s="138">
        <f t="shared" si="1"/>
        <v>1.0514018691588856E-2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si="3"/>
        <v>100.26910000000001</v>
      </c>
      <c r="Q44" s="2"/>
      <c r="R44" s="34"/>
      <c r="T44" s="10" t="s">
        <v>99</v>
      </c>
      <c r="U44" s="88">
        <v>91.42</v>
      </c>
      <c r="W44" s="157">
        <v>42615</v>
      </c>
      <c r="X44" s="40">
        <v>94.09</v>
      </c>
      <c r="Y44" s="40">
        <v>94.8</v>
      </c>
      <c r="Z44" s="40">
        <v>93.69</v>
      </c>
      <c r="AA44" s="40">
        <v>94.16</v>
      </c>
      <c r="AB44" s="95">
        <v>774200</v>
      </c>
      <c r="AC44" s="40">
        <v>94.16</v>
      </c>
      <c r="AD44" s="2">
        <f t="shared" si="0"/>
        <v>1.1099999999999994</v>
      </c>
      <c r="AE44" s="138">
        <f t="shared" si="1"/>
        <v>3.8379530916843319E-3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3"/>
        <v>99.349199999999996</v>
      </c>
      <c r="Q45" s="2"/>
      <c r="R45" s="34"/>
      <c r="T45" s="10" t="s">
        <v>100</v>
      </c>
      <c r="U45" s="88" t="s">
        <v>490</v>
      </c>
      <c r="W45" s="157">
        <v>42614</v>
      </c>
      <c r="X45" s="40">
        <v>94.11</v>
      </c>
      <c r="Y45" s="40">
        <v>94.25</v>
      </c>
      <c r="Z45" s="40">
        <v>92.88</v>
      </c>
      <c r="AA45" s="40">
        <v>93.8</v>
      </c>
      <c r="AB45" s="95">
        <v>1142600</v>
      </c>
      <c r="AC45" s="40">
        <v>93.8</v>
      </c>
      <c r="AD45" s="2">
        <f t="shared" si="0"/>
        <v>1.3700000000000045</v>
      </c>
      <c r="AE45" s="138">
        <f t="shared" si="1"/>
        <v>-1.0649627263046302E-3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3"/>
        <v>98.429299999999998</v>
      </c>
      <c r="Q46" s="2"/>
      <c r="R46" s="34"/>
      <c r="T46" s="10" t="s">
        <v>101</v>
      </c>
      <c r="U46" s="88" t="s">
        <v>491</v>
      </c>
      <c r="W46" s="157">
        <v>42613</v>
      </c>
      <c r="X46" s="40">
        <v>94.07</v>
      </c>
      <c r="Y46" s="40">
        <v>94.43</v>
      </c>
      <c r="Z46" s="40">
        <v>93.26</v>
      </c>
      <c r="AA46" s="40">
        <v>93.9</v>
      </c>
      <c r="AB46" s="95">
        <v>1544700</v>
      </c>
      <c r="AC46" s="40">
        <v>93.9</v>
      </c>
      <c r="AD46" s="2">
        <f t="shared" si="0"/>
        <v>1.1700000000000017</v>
      </c>
      <c r="AE46" s="138">
        <f t="shared" si="1"/>
        <v>-4.9803963123874473E-3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3"/>
        <v>97.509399999999999</v>
      </c>
      <c r="Q47" s="2"/>
      <c r="R47" s="34"/>
      <c r="T47" s="10" t="s">
        <v>102</v>
      </c>
      <c r="U47" s="88">
        <v>97.92</v>
      </c>
      <c r="W47" s="157">
        <v>42612</v>
      </c>
      <c r="X47" s="40">
        <v>94.01</v>
      </c>
      <c r="Y47" s="40">
        <v>94.37</v>
      </c>
      <c r="Z47" s="40">
        <v>93.54</v>
      </c>
      <c r="AA47" s="40">
        <v>94.37</v>
      </c>
      <c r="AB47" s="95">
        <v>1398900</v>
      </c>
      <c r="AC47" s="40">
        <v>94.37</v>
      </c>
      <c r="AD47" s="2">
        <f t="shared" si="0"/>
        <v>0.82999999999999829</v>
      </c>
      <c r="AE47" s="138">
        <f t="shared" si="1"/>
        <v>3.8293798532071932E-3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3"/>
        <v>96.589500000000001</v>
      </c>
      <c r="Q48" s="2"/>
      <c r="R48" s="34"/>
      <c r="T48" s="10" t="s">
        <v>103</v>
      </c>
      <c r="U48" s="88">
        <v>1.2984899999999999</v>
      </c>
      <c r="W48" s="157">
        <v>42611</v>
      </c>
      <c r="X48" s="40">
        <v>92.23</v>
      </c>
      <c r="Y48" s="40">
        <v>94.3</v>
      </c>
      <c r="Z48" s="40">
        <v>92.12</v>
      </c>
      <c r="AA48" s="40">
        <v>94.01</v>
      </c>
      <c r="AB48" s="95">
        <v>1721000</v>
      </c>
      <c r="AC48" s="40">
        <v>94.01</v>
      </c>
      <c r="AD48" s="2">
        <f t="shared" si="0"/>
        <v>2.1799999999999926</v>
      </c>
      <c r="AE48" s="138">
        <f t="shared" si="1"/>
        <v>1.8857700227593144E-2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3"/>
        <v>95.669600000000003</v>
      </c>
      <c r="Q49" s="2"/>
      <c r="R49" s="34"/>
      <c r="T49" s="10" t="s">
        <v>122</v>
      </c>
      <c r="U49" s="88" t="s">
        <v>399</v>
      </c>
      <c r="W49" s="157">
        <v>42608</v>
      </c>
      <c r="X49" s="40">
        <v>92.16</v>
      </c>
      <c r="Y49" s="40">
        <v>92.97</v>
      </c>
      <c r="Z49" s="40">
        <v>91.9</v>
      </c>
      <c r="AA49" s="40">
        <v>92.27</v>
      </c>
      <c r="AB49" s="95">
        <v>1322700</v>
      </c>
      <c r="AC49" s="40">
        <v>92.27</v>
      </c>
      <c r="AD49" s="2">
        <f t="shared" si="0"/>
        <v>1.0699999999999932</v>
      </c>
      <c r="AE49" s="138">
        <f t="shared" si="1"/>
        <v>2.0634231103389133E-3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3"/>
        <v>94.749700000000004</v>
      </c>
      <c r="Q50" s="2"/>
      <c r="R50" s="34"/>
      <c r="T50" s="10"/>
      <c r="U50" s="88"/>
      <c r="W50" s="157">
        <v>42607</v>
      </c>
      <c r="X50" s="40">
        <v>91.91</v>
      </c>
      <c r="Y50" s="40">
        <v>92.67</v>
      </c>
      <c r="Z50" s="40">
        <v>91.85</v>
      </c>
      <c r="AA50" s="40">
        <v>92.08</v>
      </c>
      <c r="AB50" s="95">
        <v>1075400</v>
      </c>
      <c r="AC50" s="40">
        <v>92.08</v>
      </c>
      <c r="AD50" s="2">
        <f t="shared" si="0"/>
        <v>0.82000000000000739</v>
      </c>
      <c r="AE50" s="138">
        <f t="shared" si="1"/>
        <v>-2.1715526601517876E-4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93.829799999999992</v>
      </c>
      <c r="Q51" s="2"/>
      <c r="R51" s="34"/>
      <c r="T51" s="10" t="s">
        <v>105</v>
      </c>
      <c r="U51" s="88" t="s">
        <v>492</v>
      </c>
      <c r="W51" s="157">
        <v>42606</v>
      </c>
      <c r="X51" s="40">
        <v>91.98</v>
      </c>
      <c r="Y51" s="40">
        <v>92.33</v>
      </c>
      <c r="Z51" s="40">
        <v>91.79</v>
      </c>
      <c r="AA51" s="40">
        <v>92.1</v>
      </c>
      <c r="AB51" s="95">
        <v>793700</v>
      </c>
      <c r="AC51" s="40">
        <v>92.1</v>
      </c>
      <c r="AD51" s="2">
        <f t="shared" si="0"/>
        <v>0.53999999999999204</v>
      </c>
      <c r="AE51" s="138">
        <f t="shared" si="1"/>
        <v>7.6062153645550801E-4</v>
      </c>
    </row>
    <row r="52" spans="1:31" x14ac:dyDescent="0.25">
      <c r="O52" s="83">
        <v>1.01</v>
      </c>
      <c r="P52" s="83">
        <f t="shared" si="3"/>
        <v>92.909899999999993</v>
      </c>
      <c r="Q52" s="2"/>
      <c r="R52" s="34"/>
      <c r="T52" s="10" t="s">
        <v>106</v>
      </c>
      <c r="U52" s="88" t="s">
        <v>221</v>
      </c>
      <c r="W52" s="157">
        <v>42605</v>
      </c>
      <c r="X52" s="40">
        <v>91.9</v>
      </c>
      <c r="Y52" s="40">
        <v>92.19</v>
      </c>
      <c r="Z52" s="40">
        <v>91.52</v>
      </c>
      <c r="AA52" s="40">
        <v>92.03</v>
      </c>
      <c r="AB52" s="95">
        <v>723000</v>
      </c>
      <c r="AC52" s="40">
        <v>92.03</v>
      </c>
      <c r="AD52" s="2">
        <f t="shared" si="0"/>
        <v>0.67000000000000171</v>
      </c>
      <c r="AE52" s="138">
        <f t="shared" si="1"/>
        <v>7.3336252189142304E-3</v>
      </c>
    </row>
    <row r="53" spans="1:31" x14ac:dyDescent="0.25">
      <c r="O53" s="83">
        <v>1</v>
      </c>
      <c r="P53" s="83">
        <f t="shared" si="3"/>
        <v>91.99</v>
      </c>
      <c r="Q53" s="2"/>
      <c r="R53" s="34"/>
      <c r="T53" s="10" t="s">
        <v>107</v>
      </c>
      <c r="U53" s="90">
        <v>1688346</v>
      </c>
      <c r="W53" s="157">
        <v>42604</v>
      </c>
      <c r="X53" s="40">
        <v>91.5</v>
      </c>
      <c r="Y53" s="40">
        <v>91.58</v>
      </c>
      <c r="Z53" s="40">
        <v>91.01</v>
      </c>
      <c r="AA53" s="40">
        <v>91.36</v>
      </c>
      <c r="AB53" s="95">
        <v>811500</v>
      </c>
      <c r="AC53" s="40">
        <v>91.36</v>
      </c>
      <c r="AD53" s="2">
        <f t="shared" si="0"/>
        <v>0.56999999999999318</v>
      </c>
      <c r="AE53" s="138">
        <f t="shared" si="1"/>
        <v>-2.402271238261644E-3</v>
      </c>
    </row>
    <row r="54" spans="1:31" x14ac:dyDescent="0.25">
      <c r="O54" s="83">
        <v>0.99</v>
      </c>
      <c r="P54" s="83">
        <f t="shared" si="3"/>
        <v>91.070099999999996</v>
      </c>
      <c r="Q54" s="2"/>
      <c r="R54" s="34"/>
      <c r="T54" s="10" t="s">
        <v>110</v>
      </c>
      <c r="U54" s="90">
        <v>1458160</v>
      </c>
      <c r="W54" s="157">
        <v>42601</v>
      </c>
      <c r="X54" s="40">
        <v>91.3</v>
      </c>
      <c r="Y54" s="40">
        <v>91.96</v>
      </c>
      <c r="Z54" s="40">
        <v>91.05</v>
      </c>
      <c r="AA54" s="40">
        <v>91.58</v>
      </c>
      <c r="AB54" s="95">
        <v>1078400</v>
      </c>
      <c r="AC54" s="40">
        <v>91.58</v>
      </c>
      <c r="AD54" s="2">
        <f t="shared" si="0"/>
        <v>0.90999999999999659</v>
      </c>
      <c r="AE54" s="138">
        <f t="shared" si="1"/>
        <v>-9.817824806370723E-4</v>
      </c>
    </row>
    <row r="55" spans="1:31" x14ac:dyDescent="0.25">
      <c r="O55" s="83">
        <v>0.98</v>
      </c>
      <c r="P55" s="83">
        <f t="shared" si="3"/>
        <v>90.150199999999998</v>
      </c>
      <c r="Q55" s="2"/>
      <c r="R55" s="34"/>
      <c r="T55" s="10" t="s">
        <v>108</v>
      </c>
      <c r="U55" s="88" t="s">
        <v>493</v>
      </c>
      <c r="W55" s="157">
        <v>42600</v>
      </c>
      <c r="X55" s="40">
        <v>89.83</v>
      </c>
      <c r="Y55" s="40">
        <v>91.67</v>
      </c>
      <c r="Z55" s="40">
        <v>89.65</v>
      </c>
      <c r="AA55" s="40">
        <v>91.67</v>
      </c>
      <c r="AB55" s="95">
        <v>1580900</v>
      </c>
      <c r="AC55" s="40">
        <v>91.67</v>
      </c>
      <c r="AD55" s="2">
        <f t="shared" si="0"/>
        <v>2.019999999999996</v>
      </c>
      <c r="AE55" s="138">
        <f t="shared" si="1"/>
        <v>2.0596749053662933E-2</v>
      </c>
    </row>
    <row r="56" spans="1:31" x14ac:dyDescent="0.25">
      <c r="O56" s="83">
        <v>0.97</v>
      </c>
      <c r="P56" s="83">
        <f t="shared" si="3"/>
        <v>89.230299999999986</v>
      </c>
      <c r="T56" s="10" t="s">
        <v>111</v>
      </c>
      <c r="U56" s="88">
        <v>17.04</v>
      </c>
      <c r="W56" s="157">
        <v>42599</v>
      </c>
      <c r="X56" s="40">
        <v>89.09</v>
      </c>
      <c r="Y56" s="40">
        <v>89.87</v>
      </c>
      <c r="Z56" s="40">
        <v>88.62</v>
      </c>
      <c r="AA56" s="40">
        <v>89.82</v>
      </c>
      <c r="AB56" s="95">
        <v>950600</v>
      </c>
      <c r="AC56" s="40">
        <v>89.82</v>
      </c>
      <c r="AD56" s="2">
        <f t="shared" si="0"/>
        <v>1.25</v>
      </c>
      <c r="AE56" s="138">
        <f t="shared" si="1"/>
        <v>7.8545780969478951E-3</v>
      </c>
    </row>
    <row r="57" spans="1:31" x14ac:dyDescent="0.25">
      <c r="O57" s="83">
        <v>0.96</v>
      </c>
      <c r="P57" s="83">
        <f t="shared" si="3"/>
        <v>88.310399999999987</v>
      </c>
      <c r="T57" s="10" t="s">
        <v>112</v>
      </c>
      <c r="U57" s="88">
        <v>5.4</v>
      </c>
      <c r="W57" s="157">
        <v>42598</v>
      </c>
      <c r="X57" s="40">
        <v>88.73</v>
      </c>
      <c r="Y57" s="40">
        <v>89.38</v>
      </c>
      <c r="Z57" s="40">
        <v>88.07</v>
      </c>
      <c r="AA57" s="40">
        <v>89.12</v>
      </c>
      <c r="AB57" s="95">
        <v>1286000</v>
      </c>
      <c r="AC57" s="40">
        <v>89.12</v>
      </c>
      <c r="AD57" s="2">
        <f t="shared" si="0"/>
        <v>1.3100000000000023</v>
      </c>
      <c r="AE57" s="138">
        <f t="shared" si="1"/>
        <v>2.2492127755286973E-3</v>
      </c>
    </row>
    <row r="58" spans="1:31" x14ac:dyDescent="0.25">
      <c r="O58" s="83">
        <v>0.95</v>
      </c>
      <c r="P58" s="83">
        <f t="shared" si="3"/>
        <v>87.390499999999989</v>
      </c>
      <c r="T58" s="10" t="s">
        <v>109</v>
      </c>
      <c r="U58" s="88" t="s">
        <v>427</v>
      </c>
      <c r="W58" s="157">
        <v>42597</v>
      </c>
      <c r="X58" s="40">
        <v>88.86</v>
      </c>
      <c r="Y58" s="40">
        <v>89.64</v>
      </c>
      <c r="Z58" s="40">
        <v>88.67</v>
      </c>
      <c r="AA58" s="40">
        <v>88.92</v>
      </c>
      <c r="AB58" s="95">
        <v>780400</v>
      </c>
      <c r="AC58" s="40">
        <v>88.92</v>
      </c>
      <c r="AD58" s="2">
        <f t="shared" si="0"/>
        <v>0.96999999999999886</v>
      </c>
      <c r="AE58" s="138">
        <f t="shared" si="1"/>
        <v>6.3377093707559506E-3</v>
      </c>
    </row>
    <row r="59" spans="1:31" x14ac:dyDescent="0.25">
      <c r="O59" s="83">
        <v>0.94</v>
      </c>
      <c r="P59" s="83">
        <f t="shared" si="3"/>
        <v>86.47059999999999</v>
      </c>
      <c r="W59" s="157">
        <v>42594</v>
      </c>
      <c r="X59" s="40">
        <v>89.48</v>
      </c>
      <c r="Y59" s="40">
        <v>89.48</v>
      </c>
      <c r="Z59" s="40">
        <v>87.97</v>
      </c>
      <c r="AA59" s="40">
        <v>88.36</v>
      </c>
      <c r="AB59" s="95">
        <v>1108600</v>
      </c>
      <c r="AC59" s="40">
        <v>88.36</v>
      </c>
      <c r="AD59" s="2">
        <f t="shared" si="0"/>
        <v>1.5100000000000051</v>
      </c>
      <c r="AE59" s="138">
        <f t="shared" si="1"/>
        <v>-1.2516763522574914E-2</v>
      </c>
    </row>
    <row r="60" spans="1:31" x14ac:dyDescent="0.25">
      <c r="O60" s="83">
        <v>0.93</v>
      </c>
      <c r="P60" s="83">
        <f t="shared" si="3"/>
        <v>85.550700000000006</v>
      </c>
      <c r="W60" s="157">
        <v>42593</v>
      </c>
      <c r="X60" s="40">
        <v>88.77</v>
      </c>
      <c r="Y60" s="40">
        <v>90.24</v>
      </c>
      <c r="Z60" s="40">
        <v>88.28</v>
      </c>
      <c r="AA60" s="40">
        <v>89.48</v>
      </c>
      <c r="AB60" s="95">
        <v>1653500</v>
      </c>
      <c r="AC60" s="40">
        <v>89.48</v>
      </c>
      <c r="AD60" s="2">
        <f t="shared" si="0"/>
        <v>1.9599999999999937</v>
      </c>
      <c r="AE60" s="138">
        <f t="shared" si="1"/>
        <v>1.0274359263859223E-2</v>
      </c>
    </row>
    <row r="61" spans="1:31" x14ac:dyDescent="0.25">
      <c r="O61" s="83">
        <v>0.92</v>
      </c>
      <c r="P61" s="83">
        <f t="shared" si="3"/>
        <v>84.630799999999994</v>
      </c>
      <c r="W61" s="157">
        <v>42592</v>
      </c>
      <c r="X61" s="40">
        <v>89.56</v>
      </c>
      <c r="Y61" s="40">
        <v>89.56</v>
      </c>
      <c r="Z61" s="40">
        <v>88.38</v>
      </c>
      <c r="AA61" s="40">
        <v>88.57</v>
      </c>
      <c r="AB61" s="95">
        <v>806700</v>
      </c>
      <c r="AC61" s="40">
        <v>88.57</v>
      </c>
      <c r="AD61" s="2">
        <f t="shared" si="0"/>
        <v>1.1800000000000068</v>
      </c>
      <c r="AE61" s="138">
        <f t="shared" si="1"/>
        <v>-7.6190476190477474E-3</v>
      </c>
    </row>
    <row r="62" spans="1:31" x14ac:dyDescent="0.25">
      <c r="O62" s="83">
        <v>0.91</v>
      </c>
      <c r="P62" s="83">
        <f t="shared" si="3"/>
        <v>83.710899999999995</v>
      </c>
      <c r="W62" s="157">
        <v>42591</v>
      </c>
      <c r="X62" s="40">
        <v>89.43</v>
      </c>
      <c r="Y62" s="40">
        <v>89.86</v>
      </c>
      <c r="Z62" s="40">
        <v>89.17</v>
      </c>
      <c r="AA62" s="40">
        <v>89.25</v>
      </c>
      <c r="AB62" s="95">
        <v>1044000</v>
      </c>
      <c r="AC62" s="40">
        <v>89.25</v>
      </c>
      <c r="AD62" s="2">
        <f t="shared" si="0"/>
        <v>0.68999999999999773</v>
      </c>
      <c r="AE62" s="138">
        <f t="shared" si="1"/>
        <v>-3.0160857908846372E-3</v>
      </c>
    </row>
    <row r="63" spans="1:31" x14ac:dyDescent="0.25">
      <c r="O63" s="83">
        <v>0.9</v>
      </c>
      <c r="P63" s="83">
        <f t="shared" si="3"/>
        <v>82.790999999999997</v>
      </c>
      <c r="W63" s="157">
        <v>42590</v>
      </c>
      <c r="X63" s="40">
        <v>89</v>
      </c>
      <c r="Y63" s="40">
        <v>90.47</v>
      </c>
      <c r="Z63" s="40">
        <v>89</v>
      </c>
      <c r="AA63" s="40">
        <v>89.52</v>
      </c>
      <c r="AB63" s="95">
        <v>1273300</v>
      </c>
      <c r="AC63" s="40">
        <v>89.52</v>
      </c>
      <c r="AD63" s="2">
        <f t="shared" si="0"/>
        <v>1.4699999999999989</v>
      </c>
      <c r="AE63" s="138">
        <f t="shared" si="1"/>
        <v>7.2007200720072273E-3</v>
      </c>
    </row>
    <row r="64" spans="1:31" x14ac:dyDescent="0.25">
      <c r="W64" s="157">
        <v>42587</v>
      </c>
      <c r="X64" s="40">
        <v>88.16</v>
      </c>
      <c r="Y64" s="40">
        <v>89.38</v>
      </c>
      <c r="Z64" s="40">
        <v>87.61</v>
      </c>
      <c r="AA64" s="40">
        <v>88.88</v>
      </c>
      <c r="AB64" s="95">
        <v>1466900</v>
      </c>
      <c r="AC64" s="40">
        <v>88.88</v>
      </c>
      <c r="AD64" s="2">
        <f t="shared" si="0"/>
        <v>1.769999999999996</v>
      </c>
      <c r="AE64" s="138">
        <f t="shared" si="1"/>
        <v>1.4496062093368289E-2</v>
      </c>
    </row>
    <row r="65" spans="23:31" x14ac:dyDescent="0.25">
      <c r="W65" s="157">
        <v>42586</v>
      </c>
      <c r="X65" s="40">
        <v>87.57</v>
      </c>
      <c r="Y65" s="40">
        <v>88.31</v>
      </c>
      <c r="Z65" s="40">
        <v>86.88</v>
      </c>
      <c r="AA65" s="40">
        <v>87.61</v>
      </c>
      <c r="AB65" s="95">
        <v>1684800</v>
      </c>
      <c r="AC65" s="40">
        <v>87.61</v>
      </c>
      <c r="AD65" s="2">
        <f t="shared" si="0"/>
        <v>1.4300000000000068</v>
      </c>
      <c r="AE65" s="138" t="e">
        <f t="shared" si="1"/>
        <v>#DIV/0!</v>
      </c>
    </row>
    <row r="66" spans="23:31" x14ac:dyDescent="0.25">
      <c r="W66" s="157">
        <v>42586</v>
      </c>
      <c r="X66" s="40" t="s">
        <v>140</v>
      </c>
      <c r="Y66" s="40"/>
      <c r="Z66" s="40"/>
      <c r="AA66" s="40"/>
      <c r="AB66" s="95"/>
      <c r="AC66" s="40"/>
      <c r="AD66" s="2">
        <f t="shared" si="0"/>
        <v>0</v>
      </c>
      <c r="AE66" s="138">
        <f t="shared" si="1"/>
        <v>-1</v>
      </c>
    </row>
    <row r="67" spans="23:31" x14ac:dyDescent="0.25">
      <c r="W67" s="157">
        <v>42585</v>
      </c>
      <c r="X67" s="40">
        <v>87.09</v>
      </c>
      <c r="Y67" s="40">
        <v>88.53</v>
      </c>
      <c r="Z67" s="40">
        <v>87</v>
      </c>
      <c r="AA67" s="40">
        <v>88.33</v>
      </c>
      <c r="AB67" s="95">
        <v>1424000</v>
      </c>
      <c r="AC67" s="40">
        <v>87.74</v>
      </c>
      <c r="AD67" s="2">
        <f>Y67-Z67</f>
        <v>1.5300000000000011</v>
      </c>
      <c r="AE67" s="138">
        <f>AC67/AC68-1</f>
        <v>1.328097932786676E-2</v>
      </c>
    </row>
    <row r="68" spans="23:31" x14ac:dyDescent="0.25">
      <c r="W68" s="157">
        <v>42584</v>
      </c>
      <c r="X68" s="40">
        <v>88.25</v>
      </c>
      <c r="Y68" s="40">
        <v>88.52</v>
      </c>
      <c r="Z68" s="40">
        <v>86.91</v>
      </c>
      <c r="AA68" s="40">
        <v>87.17</v>
      </c>
      <c r="AB68" s="95">
        <v>1002400</v>
      </c>
      <c r="AC68" s="40">
        <v>86.59</v>
      </c>
      <c r="AD68" s="2">
        <f>Y68-Z68</f>
        <v>1.6099999999999994</v>
      </c>
      <c r="AE68" s="138" t="e">
        <f>AC68/AC69-1</f>
        <v>#DIV/0!</v>
      </c>
    </row>
    <row r="69" spans="23:31" x14ac:dyDescent="0.25">
      <c r="W69" s="157" t="s">
        <v>121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11" priority="25">
      <formula>F24&gt;0</formula>
    </cfRule>
    <cfRule type="expression" dxfId="210" priority="26">
      <formula>F24&lt;0</formula>
    </cfRule>
  </conditionalFormatting>
  <conditionalFormatting sqref="H21:H27">
    <cfRule type="expression" dxfId="209" priority="19">
      <formula>H21&gt;0</formula>
    </cfRule>
    <cfRule type="expression" dxfId="208" priority="20">
      <formula>H21&lt;0</formula>
    </cfRule>
  </conditionalFormatting>
  <conditionalFormatting sqref="F21:F23">
    <cfRule type="expression" dxfId="207" priority="5">
      <formula>F21&gt;0</formula>
    </cfRule>
    <cfRule type="expression" dxfId="206" priority="6">
      <formula>F21&lt;0</formula>
    </cfRule>
  </conditionalFormatting>
  <conditionalFormatting sqref="Q8">
    <cfRule type="expression" dxfId="205" priority="1">
      <formula>Q8&gt;0</formula>
    </cfRule>
    <cfRule type="expression" dxfId="204" priority="2">
      <formula>Q8&lt;0</formula>
    </cfRule>
  </conditionalFormatting>
  <conditionalFormatting sqref="Q7">
    <cfRule type="expression" dxfId="203" priority="3">
      <formula>Q7&gt;0</formula>
    </cfRule>
    <cfRule type="expression" dxfId="20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42676</v>
      </c>
      <c r="X2" s="10">
        <v>172.91</v>
      </c>
      <c r="Y2" s="10">
        <v>174.15</v>
      </c>
      <c r="Z2" s="10">
        <v>169.81</v>
      </c>
      <c r="AA2" s="10">
        <v>172.56</v>
      </c>
      <c r="AB2" s="95">
        <v>4349100</v>
      </c>
      <c r="AC2" s="10">
        <v>172.56</v>
      </c>
      <c r="AD2" s="2">
        <f>Y2-Z2</f>
        <v>4.3400000000000034</v>
      </c>
      <c r="AE2" s="138">
        <f>AC2/AC3-1</f>
        <v>2.227488151658763E-2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172.56</v>
      </c>
      <c r="T3" s="63"/>
      <c r="W3" s="133">
        <v>42675</v>
      </c>
      <c r="X3" s="10">
        <v>170.72</v>
      </c>
      <c r="Y3" s="10">
        <v>171.55</v>
      </c>
      <c r="Z3" s="10">
        <v>165.83</v>
      </c>
      <c r="AA3" s="10">
        <v>168.8</v>
      </c>
      <c r="AB3" s="95">
        <v>2845200</v>
      </c>
      <c r="AC3" s="10">
        <v>168.8</v>
      </c>
      <c r="AD3" s="2">
        <f t="shared" ref="AD3:AD66" si="0">Y3-Z3</f>
        <v>5.7199999999999989</v>
      </c>
      <c r="AE3" s="138">
        <f t="shared" ref="AE3:AE66" si="1">AC3/AC4-1</f>
        <v>-8.6915668311016159E-3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172.56</v>
      </c>
      <c r="R4" s="527">
        <v>2.23E-2</v>
      </c>
      <c r="T4" s="63"/>
      <c r="W4" s="133">
        <v>42674</v>
      </c>
      <c r="X4" s="10">
        <v>170</v>
      </c>
      <c r="Y4" s="10">
        <v>171.66</v>
      </c>
      <c r="Z4" s="10">
        <v>168.69</v>
      </c>
      <c r="AA4" s="10">
        <v>170.28</v>
      </c>
      <c r="AB4" s="95">
        <v>2031700</v>
      </c>
      <c r="AC4" s="10">
        <v>170.28</v>
      </c>
      <c r="AD4" s="2">
        <f t="shared" si="0"/>
        <v>2.9699999999999989</v>
      </c>
      <c r="AE4" s="138">
        <f t="shared" si="1"/>
        <v>5.4915854738706305E-3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42671</v>
      </c>
      <c r="X5" s="10">
        <v>172.49</v>
      </c>
      <c r="Y5" s="10">
        <v>172.87</v>
      </c>
      <c r="Z5" s="10">
        <v>169.04</v>
      </c>
      <c r="AA5" s="10">
        <v>169.35</v>
      </c>
      <c r="AB5" s="95">
        <v>2065100</v>
      </c>
      <c r="AC5" s="10">
        <v>169.35</v>
      </c>
      <c r="AD5" s="2">
        <f t="shared" si="0"/>
        <v>3.8300000000000125</v>
      </c>
      <c r="AE5" s="138">
        <f t="shared" si="1"/>
        <v>-1.6778913144449681E-2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42670</v>
      </c>
      <c r="X6" s="10">
        <v>174.31</v>
      </c>
      <c r="Y6" s="10">
        <v>175.25</v>
      </c>
      <c r="Z6" s="10">
        <v>171.78</v>
      </c>
      <c r="AA6" s="10">
        <v>172.24</v>
      </c>
      <c r="AB6" s="95">
        <v>1984000</v>
      </c>
      <c r="AC6" s="10">
        <v>172.24</v>
      </c>
      <c r="AD6" s="2">
        <f t="shared" si="0"/>
        <v>3.4699999999999989</v>
      </c>
      <c r="AE6" s="138">
        <f t="shared" si="1"/>
        <v>-4.3930635838149712E-3</v>
      </c>
    </row>
    <row r="7" spans="1:31" x14ac:dyDescent="0.25">
      <c r="B7" s="381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184</v>
      </c>
      <c r="Q7" s="2">
        <f>Q10+Q8</f>
        <v>780.73999999999796</v>
      </c>
      <c r="R7">
        <v>0</v>
      </c>
      <c r="T7" s="63"/>
      <c r="W7" s="133">
        <v>42669</v>
      </c>
      <c r="X7" s="10">
        <v>172.15</v>
      </c>
      <c r="Y7" s="10">
        <v>174.78</v>
      </c>
      <c r="Z7" s="10">
        <v>171.1</v>
      </c>
      <c r="AA7" s="10">
        <v>173</v>
      </c>
      <c r="AB7" s="95">
        <v>2107500</v>
      </c>
      <c r="AC7" s="10">
        <v>173</v>
      </c>
      <c r="AD7" s="2">
        <f t="shared" si="0"/>
        <v>3.6800000000000068</v>
      </c>
      <c r="AE7" s="138">
        <f t="shared" si="1"/>
        <v>-3.7431615318168632E-3</v>
      </c>
    </row>
    <row r="8" spans="1:31" x14ac:dyDescent="0.25">
      <c r="B8" s="381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T8" s="63"/>
      <c r="W8" s="133">
        <v>42668</v>
      </c>
      <c r="X8" s="10">
        <v>176.03</v>
      </c>
      <c r="Y8" s="10">
        <v>176.5</v>
      </c>
      <c r="Z8" s="10">
        <v>173.51</v>
      </c>
      <c r="AA8" s="10">
        <v>173.65</v>
      </c>
      <c r="AB8" s="95">
        <v>2162200</v>
      </c>
      <c r="AC8" s="10">
        <v>173.65</v>
      </c>
      <c r="AD8" s="2">
        <f t="shared" si="0"/>
        <v>2.9900000000000091</v>
      </c>
      <c r="AE8" s="138">
        <f t="shared" si="1"/>
        <v>-1.6425941659586552E-2</v>
      </c>
    </row>
    <row r="9" spans="1:31" x14ac:dyDescent="0.25">
      <c r="B9" s="38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T9" s="67"/>
      <c r="W9" s="133">
        <v>42667</v>
      </c>
      <c r="X9" s="10">
        <v>174.16</v>
      </c>
      <c r="Y9" s="10">
        <v>177</v>
      </c>
      <c r="Z9" s="10">
        <v>173.56</v>
      </c>
      <c r="AA9" s="10">
        <v>176.55</v>
      </c>
      <c r="AB9" s="95">
        <v>1977200</v>
      </c>
      <c r="AC9" s="10">
        <v>176.55</v>
      </c>
      <c r="AD9" s="2">
        <f t="shared" si="0"/>
        <v>3.4399999999999977</v>
      </c>
      <c r="AE9" s="138">
        <f t="shared" si="1"/>
        <v>2.0992366412213803E-2</v>
      </c>
    </row>
    <row r="10" spans="1:31" x14ac:dyDescent="0.25">
      <c r="B10" s="38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218</v>
      </c>
      <c r="P10" s="34"/>
      <c r="Q10" s="2">
        <f>M32</f>
        <v>780.73999999999796</v>
      </c>
      <c r="W10" s="133">
        <v>42664</v>
      </c>
      <c r="X10" s="10">
        <v>172.29</v>
      </c>
      <c r="Y10" s="10">
        <v>173.4</v>
      </c>
      <c r="Z10" s="10">
        <v>170.7</v>
      </c>
      <c r="AA10" s="10">
        <v>172.92</v>
      </c>
      <c r="AB10" s="95">
        <v>1584200</v>
      </c>
      <c r="AC10" s="10">
        <v>172.92</v>
      </c>
      <c r="AD10" s="2">
        <f t="shared" si="0"/>
        <v>2.7000000000000171</v>
      </c>
      <c r="AE10" s="138">
        <f t="shared" si="1"/>
        <v>-2.8256732599043488E-3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181</v>
      </c>
      <c r="P11" s="34"/>
      <c r="Q11" s="138">
        <f>VALUE(TRIM(CLEAN(MID(U57, FIND("(", U57)+1, 5))))</f>
        <v>1.2E-2</v>
      </c>
      <c r="W11" s="133">
        <v>42663</v>
      </c>
      <c r="X11" s="10">
        <v>171.66</v>
      </c>
      <c r="Y11" s="10">
        <v>174.58</v>
      </c>
      <c r="Z11" s="10">
        <v>171.02</v>
      </c>
      <c r="AA11" s="10">
        <v>173.41</v>
      </c>
      <c r="AB11" s="95">
        <v>1896100</v>
      </c>
      <c r="AC11" s="10">
        <v>173.41</v>
      </c>
      <c r="AD11" s="2">
        <f t="shared" si="0"/>
        <v>3.5600000000000023</v>
      </c>
      <c r="AE11" s="138">
        <f t="shared" si="1"/>
        <v>8.9602606621284053E-3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42662</v>
      </c>
      <c r="X12" s="10">
        <v>171.17</v>
      </c>
      <c r="Y12" s="10">
        <v>172.28</v>
      </c>
      <c r="Z12" s="10">
        <v>170.11</v>
      </c>
      <c r="AA12" s="10">
        <v>171.87</v>
      </c>
      <c r="AB12" s="95">
        <v>2044000</v>
      </c>
      <c r="AC12" s="10">
        <v>171.87</v>
      </c>
      <c r="AD12" s="2">
        <f t="shared" si="0"/>
        <v>2.1699999999999875</v>
      </c>
      <c r="AE12" s="138">
        <f t="shared" si="1"/>
        <v>-1.7424638438751083E-3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42661</v>
      </c>
      <c r="X13" s="10">
        <v>170.65</v>
      </c>
      <c r="Y13" s="10">
        <v>172.87</v>
      </c>
      <c r="Z13" s="10">
        <v>170.54</v>
      </c>
      <c r="AA13" s="10">
        <v>172.17</v>
      </c>
      <c r="AB13" s="95">
        <v>1416700</v>
      </c>
      <c r="AC13" s="10">
        <v>172.17</v>
      </c>
      <c r="AD13" s="2">
        <f t="shared" si="0"/>
        <v>2.3300000000000125</v>
      </c>
      <c r="AE13" s="138">
        <f t="shared" si="1"/>
        <v>1.9481288488867765E-2</v>
      </c>
    </row>
    <row r="14" spans="1:31" x14ac:dyDescent="0.25">
      <c r="W14" s="133">
        <v>42660</v>
      </c>
      <c r="X14" s="10">
        <v>169.7</v>
      </c>
      <c r="Y14" s="10">
        <v>170.95</v>
      </c>
      <c r="Z14" s="10">
        <v>168.73</v>
      </c>
      <c r="AA14" s="10">
        <v>168.88</v>
      </c>
      <c r="AB14" s="95">
        <v>1274100</v>
      </c>
      <c r="AC14" s="10">
        <v>168.88</v>
      </c>
      <c r="AD14" s="2">
        <f t="shared" si="0"/>
        <v>2.2199999999999989</v>
      </c>
      <c r="AE14" s="138">
        <f t="shared" si="1"/>
        <v>-7.1138808865894854E-3</v>
      </c>
    </row>
    <row r="15" spans="1:31" x14ac:dyDescent="0.25">
      <c r="W15" s="133">
        <v>42657</v>
      </c>
      <c r="X15" s="10">
        <v>169.98</v>
      </c>
      <c r="Y15" s="10">
        <v>172.64</v>
      </c>
      <c r="Z15" s="10">
        <v>169.34</v>
      </c>
      <c r="AA15" s="10">
        <v>170.09</v>
      </c>
      <c r="AB15" s="95">
        <v>1957000</v>
      </c>
      <c r="AC15" s="10">
        <v>170.09</v>
      </c>
      <c r="AD15" s="2">
        <f t="shared" si="0"/>
        <v>3.2999999999999829</v>
      </c>
      <c r="AE15" s="138">
        <f t="shared" si="1"/>
        <v>6.8071504676217032E-3</v>
      </c>
    </row>
    <row r="16" spans="1:31" x14ac:dyDescent="0.25">
      <c r="W16" s="133">
        <v>42656</v>
      </c>
      <c r="X16" s="10">
        <v>168.77</v>
      </c>
      <c r="Y16" s="10">
        <v>169.9</v>
      </c>
      <c r="Z16" s="10">
        <v>166.8</v>
      </c>
      <c r="AA16" s="10">
        <v>168.94</v>
      </c>
      <c r="AB16" s="95">
        <v>2237300</v>
      </c>
      <c r="AC16" s="10">
        <v>168.94</v>
      </c>
      <c r="AD16" s="2">
        <f t="shared" si="0"/>
        <v>3.0999999999999943</v>
      </c>
      <c r="AE16" s="138">
        <f t="shared" si="1"/>
        <v>-8.9751862497799983E-3</v>
      </c>
    </row>
    <row r="17" spans="1:31" x14ac:dyDescent="0.25">
      <c r="W17" s="133">
        <v>42655</v>
      </c>
      <c r="X17" s="10">
        <v>170.75</v>
      </c>
      <c r="Y17" s="10">
        <v>171.06</v>
      </c>
      <c r="Z17" s="10">
        <v>168.4</v>
      </c>
      <c r="AA17" s="10">
        <v>170.47</v>
      </c>
      <c r="AB17" s="95">
        <v>2174000</v>
      </c>
      <c r="AC17" s="10">
        <v>170.47</v>
      </c>
      <c r="AD17" s="2">
        <f t="shared" si="0"/>
        <v>2.6599999999999966</v>
      </c>
      <c r="AE17" s="138">
        <f t="shared" si="1"/>
        <v>-4.0895016650113192E-3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42654</v>
      </c>
      <c r="X18" s="10">
        <v>175.29</v>
      </c>
      <c r="Y18" s="10">
        <v>175.5</v>
      </c>
      <c r="Z18" s="10">
        <v>169.53</v>
      </c>
      <c r="AA18" s="10">
        <v>171.17</v>
      </c>
      <c r="AB18" s="95">
        <v>2618100</v>
      </c>
      <c r="AC18" s="10">
        <v>171.17</v>
      </c>
      <c r="AD18" s="2">
        <f t="shared" si="0"/>
        <v>5.9699999999999989</v>
      </c>
      <c r="AE18" s="138">
        <f t="shared" si="1"/>
        <v>-2.0598500886879978E-2</v>
      </c>
    </row>
    <row r="19" spans="1:31" x14ac:dyDescent="0.25">
      <c r="W19" s="133">
        <v>42653</v>
      </c>
      <c r="X19" s="10">
        <v>174.73</v>
      </c>
      <c r="Y19" s="10">
        <v>175.9</v>
      </c>
      <c r="Z19" s="10">
        <v>173.76</v>
      </c>
      <c r="AA19" s="10">
        <v>174.77</v>
      </c>
      <c r="AB19" s="95">
        <v>1633600</v>
      </c>
      <c r="AC19" s="10">
        <v>174.77</v>
      </c>
      <c r="AD19" s="2">
        <f t="shared" si="0"/>
        <v>2.1400000000000148</v>
      </c>
      <c r="AE19" s="138">
        <f t="shared" si="1"/>
        <v>3.2145112220882677E-3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W20" s="133">
        <v>42650</v>
      </c>
      <c r="X20" s="10">
        <v>174.88</v>
      </c>
      <c r="Y20" s="10">
        <v>174.95</v>
      </c>
      <c r="Z20" s="10">
        <v>172.39</v>
      </c>
      <c r="AA20" s="10">
        <v>174.21</v>
      </c>
      <c r="AB20" s="95">
        <v>2184200</v>
      </c>
      <c r="AC20" s="10">
        <v>174.21</v>
      </c>
      <c r="AD20" s="2">
        <f t="shared" si="0"/>
        <v>2.5600000000000023</v>
      </c>
      <c r="AE20" s="138">
        <f t="shared" si="1"/>
        <v>1.1481715368288903E-4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42649</v>
      </c>
      <c r="X21" s="10">
        <v>173.3</v>
      </c>
      <c r="Y21" s="10">
        <v>174.65</v>
      </c>
      <c r="Z21" s="10">
        <v>171.26</v>
      </c>
      <c r="AA21" s="10">
        <v>174.19</v>
      </c>
      <c r="AB21" s="95">
        <v>2101400</v>
      </c>
      <c r="AC21" s="10">
        <v>174.19</v>
      </c>
      <c r="AD21" s="2">
        <f t="shared" si="0"/>
        <v>3.3900000000000148</v>
      </c>
      <c r="AE21" s="138">
        <f t="shared" si="1"/>
        <v>4.0926908000922246E-3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42648</v>
      </c>
      <c r="X22" s="10">
        <v>171.5</v>
      </c>
      <c r="Y22" s="10">
        <v>174.11</v>
      </c>
      <c r="Z22" s="10">
        <v>170.68</v>
      </c>
      <c r="AA22" s="10">
        <v>173.48</v>
      </c>
      <c r="AB22" s="95">
        <v>2614900</v>
      </c>
      <c r="AC22" s="10">
        <v>173.48</v>
      </c>
      <c r="AD22" s="2">
        <f t="shared" si="0"/>
        <v>3.4300000000000068</v>
      </c>
      <c r="AE22" s="138">
        <f t="shared" si="1"/>
        <v>2.62052647145814E-2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42647</v>
      </c>
      <c r="X23" s="10">
        <v>170.61</v>
      </c>
      <c r="Y23" s="10">
        <v>170.9</v>
      </c>
      <c r="Z23" s="10">
        <v>168.08</v>
      </c>
      <c r="AA23" s="10">
        <v>169.05</v>
      </c>
      <c r="AB23" s="95">
        <v>1959600</v>
      </c>
      <c r="AC23" s="10">
        <v>169.05</v>
      </c>
      <c r="AD23" s="2">
        <f t="shared" si="0"/>
        <v>2.8199999999999932</v>
      </c>
      <c r="AE23" s="138">
        <f t="shared" si="1"/>
        <v>-5.9975304286469244E-3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42646</v>
      </c>
      <c r="X24" s="10">
        <v>173.01</v>
      </c>
      <c r="Y24" s="10">
        <v>173.89</v>
      </c>
      <c r="Z24" s="10">
        <v>169.72</v>
      </c>
      <c r="AA24" s="10">
        <v>170.07</v>
      </c>
      <c r="AB24" s="95">
        <v>2280700</v>
      </c>
      <c r="AC24" s="10">
        <v>170.07</v>
      </c>
      <c r="AD24" s="2">
        <f t="shared" si="0"/>
        <v>4.1699999999999875</v>
      </c>
      <c r="AE24" s="138">
        <f t="shared" si="1"/>
        <v>-1.4201252028750333E-2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42643</v>
      </c>
      <c r="X25" s="10">
        <v>173</v>
      </c>
      <c r="Y25" s="10">
        <v>174.65</v>
      </c>
      <c r="Z25" s="10">
        <v>172.44</v>
      </c>
      <c r="AA25" s="10">
        <v>172.52</v>
      </c>
      <c r="AB25" s="95">
        <v>3422000</v>
      </c>
      <c r="AC25" s="10">
        <v>172.52</v>
      </c>
      <c r="AD25" s="2">
        <f t="shared" si="0"/>
        <v>2.210000000000008</v>
      </c>
      <c r="AE25" s="138">
        <f t="shared" si="1"/>
        <v>3.479067609881703E-4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42642</v>
      </c>
      <c r="X26" s="10">
        <v>170</v>
      </c>
      <c r="Y26" s="10">
        <v>173.99</v>
      </c>
      <c r="Z26" s="10">
        <v>169.49</v>
      </c>
      <c r="AA26" s="10">
        <v>172.46</v>
      </c>
      <c r="AB26" s="95">
        <v>3857000</v>
      </c>
      <c r="AC26" s="10">
        <v>172.46</v>
      </c>
      <c r="AD26" s="2">
        <f t="shared" si="0"/>
        <v>4.5</v>
      </c>
      <c r="AE26" s="138">
        <f t="shared" si="1"/>
        <v>1.0310486233157778E-2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42641</v>
      </c>
      <c r="X27" s="10">
        <v>171.78</v>
      </c>
      <c r="Y27" s="10">
        <v>172.71</v>
      </c>
      <c r="Z27" s="10">
        <v>169.78</v>
      </c>
      <c r="AA27" s="10">
        <v>170.7</v>
      </c>
      <c r="AB27" s="95">
        <v>2084300</v>
      </c>
      <c r="AC27" s="10">
        <v>170.7</v>
      </c>
      <c r="AD27" s="2">
        <f t="shared" si="0"/>
        <v>2.9300000000000068</v>
      </c>
      <c r="AE27" s="138">
        <f t="shared" si="1"/>
        <v>-9.3643918998020936E-4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42640</v>
      </c>
      <c r="X28" s="10">
        <v>166.89</v>
      </c>
      <c r="Y28" s="10">
        <v>170.88</v>
      </c>
      <c r="Z28" s="10">
        <v>166.02</v>
      </c>
      <c r="AA28" s="10">
        <v>170.86</v>
      </c>
      <c r="AB28" s="95">
        <v>2535300</v>
      </c>
      <c r="AC28" s="10">
        <v>170.86</v>
      </c>
      <c r="AD28" s="2">
        <f t="shared" si="0"/>
        <v>4.8599999999999852</v>
      </c>
      <c r="AE28" s="138">
        <f t="shared" si="1"/>
        <v>2.5016497690323547E-2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42639</v>
      </c>
      <c r="X29" s="10">
        <v>165.1</v>
      </c>
      <c r="Y29" s="10">
        <v>167.23</v>
      </c>
      <c r="Z29" s="10">
        <v>162.76</v>
      </c>
      <c r="AA29" s="10">
        <v>166.69</v>
      </c>
      <c r="AB29" s="95">
        <v>3203300</v>
      </c>
      <c r="AC29" s="10">
        <v>166.69</v>
      </c>
      <c r="AD29" s="2">
        <f t="shared" si="0"/>
        <v>4.4699999999999989</v>
      </c>
      <c r="AE29" s="138">
        <f t="shared" si="1"/>
        <v>2.4002400240008548E-4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42636</v>
      </c>
      <c r="X30" s="10">
        <v>168.7</v>
      </c>
      <c r="Y30" s="10">
        <v>169.03</v>
      </c>
      <c r="Z30" s="10">
        <v>165.51</v>
      </c>
      <c r="AA30" s="10">
        <v>166.65</v>
      </c>
      <c r="AB30" s="95">
        <v>2687500</v>
      </c>
      <c r="AC30" s="10">
        <v>166.65</v>
      </c>
      <c r="AD30" s="2">
        <f t="shared" si="0"/>
        <v>3.5200000000000102</v>
      </c>
      <c r="AE30" s="138">
        <f t="shared" si="1"/>
        <v>-1.2970859985785399E-2</v>
      </c>
    </row>
    <row r="31" spans="1:31" x14ac:dyDescent="0.25">
      <c r="W31" s="133">
        <v>42635</v>
      </c>
      <c r="X31" s="10">
        <v>170.97</v>
      </c>
      <c r="Y31" s="10">
        <v>171.25</v>
      </c>
      <c r="Z31" s="10">
        <v>168.07</v>
      </c>
      <c r="AA31" s="10">
        <v>168.84</v>
      </c>
      <c r="AB31" s="95">
        <v>2061900</v>
      </c>
      <c r="AC31" s="10">
        <v>168.84</v>
      </c>
      <c r="AD31" s="2">
        <f t="shared" si="0"/>
        <v>3.1800000000000068</v>
      </c>
      <c r="AE31" s="138">
        <f t="shared" si="1"/>
        <v>-5.8293587705352534E-3</v>
      </c>
    </row>
    <row r="32" spans="1:31" x14ac:dyDescent="0.25">
      <c r="L32" t="s">
        <v>218</v>
      </c>
      <c r="M32" s="2">
        <f>M50+K50-F50</f>
        <v>780.73999999999796</v>
      </c>
      <c r="W32" s="133">
        <v>42634</v>
      </c>
      <c r="X32" s="10">
        <v>168.39</v>
      </c>
      <c r="Y32" s="10">
        <v>170.02</v>
      </c>
      <c r="Z32" s="10">
        <v>167.61</v>
      </c>
      <c r="AA32" s="10">
        <v>169.83</v>
      </c>
      <c r="AB32" s="95">
        <v>1797700</v>
      </c>
      <c r="AC32" s="10">
        <v>169.83</v>
      </c>
      <c r="AD32" s="2">
        <f t="shared" si="0"/>
        <v>2.4099999999999966</v>
      </c>
      <c r="AE32" s="138">
        <f t="shared" si="1"/>
        <v>9.5107888010463881E-3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42633</v>
      </c>
      <c r="X33" s="10">
        <v>172.21</v>
      </c>
      <c r="Y33" s="10">
        <v>172.21</v>
      </c>
      <c r="Z33" s="10">
        <v>168.17</v>
      </c>
      <c r="AA33" s="10">
        <v>168.23</v>
      </c>
      <c r="AB33" s="95">
        <v>1872200</v>
      </c>
      <c r="AC33" s="10">
        <v>168.23</v>
      </c>
      <c r="AD33" s="2">
        <f t="shared" si="0"/>
        <v>4.0400000000000205</v>
      </c>
      <c r="AE33" s="138">
        <f t="shared" si="1"/>
        <v>-1.4643003572892832E-2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42632</v>
      </c>
      <c r="X34" s="10">
        <v>171.55</v>
      </c>
      <c r="Y34" s="10">
        <v>173.58</v>
      </c>
      <c r="Z34" s="10">
        <v>169.4</v>
      </c>
      <c r="AA34" s="10">
        <v>170.73</v>
      </c>
      <c r="AB34" s="95">
        <v>2830600</v>
      </c>
      <c r="AC34" s="10">
        <v>170.73</v>
      </c>
      <c r="AD34" s="2">
        <f t="shared" si="0"/>
        <v>4.1800000000000068</v>
      </c>
      <c r="AE34" s="138">
        <f t="shared" si="1"/>
        <v>-2.9782761037141503E-3</v>
      </c>
    </row>
    <row r="35" spans="1:31" x14ac:dyDescent="0.25">
      <c r="A35" s="23" t="s">
        <v>71</v>
      </c>
      <c r="B35" s="605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42629</v>
      </c>
      <c r="X35" s="10">
        <v>172.42</v>
      </c>
      <c r="Y35" s="10">
        <v>172.99</v>
      </c>
      <c r="Z35" s="10">
        <v>169.85</v>
      </c>
      <c r="AA35" s="10">
        <v>171.24</v>
      </c>
      <c r="AB35" s="95">
        <v>8306700</v>
      </c>
      <c r="AC35" s="10">
        <v>171.24</v>
      </c>
      <c r="AD35" s="2">
        <f t="shared" si="0"/>
        <v>3.1400000000000148</v>
      </c>
      <c r="AE35" s="138">
        <f t="shared" si="1"/>
        <v>-8.568781843446005E-3</v>
      </c>
    </row>
    <row r="36" spans="1:31" x14ac:dyDescent="0.25">
      <c r="B36" s="605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42628</v>
      </c>
      <c r="X36" s="10">
        <v>169.33</v>
      </c>
      <c r="Y36" s="10">
        <v>173</v>
      </c>
      <c r="Z36" s="10">
        <v>168.2</v>
      </c>
      <c r="AA36" s="10">
        <v>172.72</v>
      </c>
      <c r="AB36" s="95">
        <v>3632200</v>
      </c>
      <c r="AC36" s="10">
        <v>172.72</v>
      </c>
      <c r="AD36" s="2">
        <f t="shared" si="0"/>
        <v>4.8000000000000114</v>
      </c>
      <c r="AE36" s="138" t="e">
        <f t="shared" si="1"/>
        <v>#DIV/0!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42628</v>
      </c>
      <c r="X37" s="10" t="s">
        <v>343</v>
      </c>
      <c r="Y37" s="10"/>
      <c r="Z37" s="10"/>
      <c r="AA37" s="10"/>
      <c r="AB37" s="95"/>
      <c r="AC37" s="10"/>
      <c r="AD37" s="2">
        <f t="shared" si="0"/>
        <v>0</v>
      </c>
      <c r="AE37" s="138">
        <f t="shared" si="1"/>
        <v>-1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42627</v>
      </c>
      <c r="X38" s="10">
        <v>165.23</v>
      </c>
      <c r="Y38" s="10">
        <v>169.93</v>
      </c>
      <c r="Z38" s="10">
        <v>165.05</v>
      </c>
      <c r="AA38" s="10">
        <v>169.61</v>
      </c>
      <c r="AB38" s="95">
        <v>4032400</v>
      </c>
      <c r="AC38" s="10">
        <v>169.1</v>
      </c>
      <c r="AD38" s="2">
        <f t="shared" si="0"/>
        <v>4.8799999999999955</v>
      </c>
      <c r="AE38" s="138">
        <f t="shared" si="1"/>
        <v>2.6465946339686797E-2</v>
      </c>
    </row>
    <row r="39" spans="1:31" x14ac:dyDescent="0.25">
      <c r="B39" s="605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42626</v>
      </c>
      <c r="X39" s="10">
        <v>164.48</v>
      </c>
      <c r="Y39" s="10">
        <v>167.36</v>
      </c>
      <c r="Z39" s="10">
        <v>164.3</v>
      </c>
      <c r="AA39" s="10">
        <v>165.24</v>
      </c>
      <c r="AB39" s="95">
        <v>3600300</v>
      </c>
      <c r="AC39" s="10">
        <v>164.74</v>
      </c>
      <c r="AD39" s="2">
        <f t="shared" si="0"/>
        <v>3.0600000000000023</v>
      </c>
      <c r="AE39" s="138">
        <f t="shared" si="1"/>
        <v>4.5734496005853664E-3</v>
      </c>
    </row>
    <row r="40" spans="1:31" x14ac:dyDescent="0.25">
      <c r="B40" s="606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42625</v>
      </c>
      <c r="X40" s="10">
        <v>159.13</v>
      </c>
      <c r="Y40" s="10">
        <v>164.75</v>
      </c>
      <c r="Z40" s="10">
        <v>158.75</v>
      </c>
      <c r="AA40" s="10">
        <v>164.48</v>
      </c>
      <c r="AB40" s="95">
        <v>3567300</v>
      </c>
      <c r="AC40" s="10">
        <v>163.99</v>
      </c>
      <c r="AD40" s="2">
        <f t="shared" si="0"/>
        <v>6</v>
      </c>
      <c r="AE40" s="138">
        <f t="shared" si="1"/>
        <v>2.3019338739862727E-2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588" t="s">
        <v>78</v>
      </c>
      <c r="P41" s="588"/>
      <c r="T41" s="91" t="s">
        <v>113</v>
      </c>
      <c r="W41" s="133">
        <v>42622</v>
      </c>
      <c r="X41" s="10">
        <v>166.33</v>
      </c>
      <c r="Y41" s="10">
        <v>167.05</v>
      </c>
      <c r="Z41" s="10">
        <v>160.66999999999999</v>
      </c>
      <c r="AA41" s="10">
        <v>160.78</v>
      </c>
      <c r="AB41" s="95">
        <v>4502200</v>
      </c>
      <c r="AC41" s="10">
        <v>160.30000000000001</v>
      </c>
      <c r="AD41" s="2">
        <f t="shared" si="0"/>
        <v>6.3800000000000239</v>
      </c>
      <c r="AE41" s="138">
        <f t="shared" si="1"/>
        <v>-4.5094418299874817E-2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189.81600000000003</v>
      </c>
      <c r="Q42" s="2"/>
      <c r="T42" s="135" t="s">
        <v>98</v>
      </c>
      <c r="U42" s="98">
        <v>168.8</v>
      </c>
      <c r="W42" s="133">
        <v>42621</v>
      </c>
      <c r="X42" s="10">
        <v>168.39</v>
      </c>
      <c r="Y42" s="10">
        <v>168.83</v>
      </c>
      <c r="Z42" s="10">
        <v>166.56</v>
      </c>
      <c r="AA42" s="10">
        <v>168.38</v>
      </c>
      <c r="AB42" s="95">
        <v>1868000</v>
      </c>
      <c r="AC42" s="10">
        <v>167.87</v>
      </c>
      <c r="AD42" s="2">
        <f t="shared" si="0"/>
        <v>2.2700000000000102</v>
      </c>
      <c r="AE42" s="138">
        <f t="shared" si="1"/>
        <v>-3.0880693627886036E-3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188.09040000000002</v>
      </c>
      <c r="Q43" s="2"/>
      <c r="T43" s="136" t="s">
        <v>99</v>
      </c>
      <c r="U43" s="88">
        <v>172.91</v>
      </c>
      <c r="W43" s="133">
        <v>42620</v>
      </c>
      <c r="X43" s="10">
        <v>171.42</v>
      </c>
      <c r="Y43" s="10">
        <v>172</v>
      </c>
      <c r="Z43" s="10">
        <v>167.71</v>
      </c>
      <c r="AA43" s="10">
        <v>168.9</v>
      </c>
      <c r="AB43" s="95">
        <v>3143700</v>
      </c>
      <c r="AC43" s="10">
        <v>168.39</v>
      </c>
      <c r="AD43" s="2">
        <f t="shared" si="0"/>
        <v>4.289999999999992</v>
      </c>
      <c r="AE43" s="138">
        <f t="shared" si="1"/>
        <v>-1.2896418312914104E-2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186.3648</v>
      </c>
      <c r="Q44" s="2"/>
      <c r="T44" s="136" t="s">
        <v>100</v>
      </c>
      <c r="U44" s="88" t="s">
        <v>524</v>
      </c>
      <c r="W44" s="133">
        <v>42619</v>
      </c>
      <c r="X44" s="10">
        <v>173.62</v>
      </c>
      <c r="Y44" s="10">
        <v>174</v>
      </c>
      <c r="Z44" s="10">
        <v>169.64</v>
      </c>
      <c r="AA44" s="10">
        <v>171.1</v>
      </c>
      <c r="AB44" s="95">
        <v>3613200</v>
      </c>
      <c r="AC44" s="10">
        <v>170.59</v>
      </c>
      <c r="AD44" s="2">
        <f t="shared" si="0"/>
        <v>4.3600000000000136</v>
      </c>
      <c r="AE44" s="138">
        <f t="shared" si="1"/>
        <v>-1.1588156903644453E-2</v>
      </c>
    </row>
    <row r="45" spans="1:31" x14ac:dyDescent="0.25">
      <c r="O45" s="83">
        <v>1.07</v>
      </c>
      <c r="P45" s="83">
        <f t="shared" si="3"/>
        <v>184.63920000000002</v>
      </c>
      <c r="Q45" s="2"/>
      <c r="T45" s="136" t="s">
        <v>101</v>
      </c>
      <c r="U45" s="88" t="s">
        <v>525</v>
      </c>
      <c r="W45" s="133">
        <v>42615</v>
      </c>
      <c r="X45" s="10">
        <v>177</v>
      </c>
      <c r="Y45" s="10">
        <v>177.34</v>
      </c>
      <c r="Z45" s="10">
        <v>168.8</v>
      </c>
      <c r="AA45" s="10">
        <v>173.11</v>
      </c>
      <c r="AB45" s="95">
        <v>8066800</v>
      </c>
      <c r="AC45" s="10">
        <v>172.59</v>
      </c>
      <c r="AD45" s="2">
        <f t="shared" si="0"/>
        <v>8.539999999999992</v>
      </c>
      <c r="AE45" s="138">
        <f t="shared" si="1"/>
        <v>-2.2485274127775234E-2</v>
      </c>
    </row>
    <row r="46" spans="1:31" x14ac:dyDescent="0.25">
      <c r="O46" s="83">
        <v>1.06</v>
      </c>
      <c r="P46" s="83">
        <f t="shared" si="3"/>
        <v>182.9136</v>
      </c>
      <c r="Q46" s="2"/>
      <c r="T46" s="136" t="s">
        <v>102</v>
      </c>
      <c r="U46" s="88">
        <v>202.38</v>
      </c>
      <c r="W46" s="133">
        <v>42614</v>
      </c>
      <c r="X46" s="10">
        <v>176.88</v>
      </c>
      <c r="Y46" s="10">
        <v>177.67</v>
      </c>
      <c r="Z46" s="10">
        <v>174.82</v>
      </c>
      <c r="AA46" s="10">
        <v>177.09</v>
      </c>
      <c r="AB46" s="95">
        <v>3912800</v>
      </c>
      <c r="AC46" s="10">
        <v>176.56</v>
      </c>
      <c r="AD46" s="2">
        <f t="shared" si="0"/>
        <v>2.8499999999999943</v>
      </c>
      <c r="AE46" s="138">
        <f t="shared" si="1"/>
        <v>3.8091989311501706E-3</v>
      </c>
    </row>
    <row r="47" spans="1:31" x14ac:dyDescent="0.25">
      <c r="O47" s="83">
        <v>1.05</v>
      </c>
      <c r="P47" s="83">
        <f t="shared" si="3"/>
        <v>181.18800000000002</v>
      </c>
      <c r="Q47" s="2"/>
      <c r="T47" s="136" t="s">
        <v>103</v>
      </c>
      <c r="U47" s="88">
        <v>1.1347100000000001</v>
      </c>
      <c r="W47" s="133">
        <v>42613</v>
      </c>
      <c r="X47" s="10">
        <v>177.1</v>
      </c>
      <c r="Y47" s="10">
        <v>178.32</v>
      </c>
      <c r="Z47" s="10">
        <v>175.35</v>
      </c>
      <c r="AA47" s="10">
        <v>176.42</v>
      </c>
      <c r="AB47" s="95">
        <v>3275300</v>
      </c>
      <c r="AC47" s="10">
        <v>175.89</v>
      </c>
      <c r="AD47" s="2">
        <f t="shared" si="0"/>
        <v>2.9699999999999989</v>
      </c>
      <c r="AE47" s="138">
        <f t="shared" si="1"/>
        <v>-3.2866776222587601E-3</v>
      </c>
    </row>
    <row r="48" spans="1:31" x14ac:dyDescent="0.25">
      <c r="O48" s="83">
        <v>1.04</v>
      </c>
      <c r="P48" s="83">
        <f t="shared" si="3"/>
        <v>179.4624</v>
      </c>
      <c r="Q48" s="2"/>
      <c r="T48" s="136" t="s">
        <v>104</v>
      </c>
      <c r="U48" s="88" t="s">
        <v>129</v>
      </c>
      <c r="W48" s="133">
        <v>42612</v>
      </c>
      <c r="X48" s="10">
        <v>178.16</v>
      </c>
      <c r="Y48" s="10">
        <v>179.42</v>
      </c>
      <c r="Z48" s="10">
        <v>175.94</v>
      </c>
      <c r="AA48" s="10">
        <v>177</v>
      </c>
      <c r="AB48" s="95">
        <v>2783800</v>
      </c>
      <c r="AC48" s="10">
        <v>176.47</v>
      </c>
      <c r="AD48" s="2">
        <f t="shared" si="0"/>
        <v>3.4799999999999898</v>
      </c>
      <c r="AE48" s="138">
        <f t="shared" si="1"/>
        <v>-2.2615480296263035E-3</v>
      </c>
    </row>
    <row r="49" spans="1:31" x14ac:dyDescent="0.25">
      <c r="O49" s="83">
        <v>1.03</v>
      </c>
      <c r="P49" s="83">
        <f t="shared" si="3"/>
        <v>177.73680000000002</v>
      </c>
      <c r="Q49" s="2"/>
      <c r="T49" s="136"/>
      <c r="U49" s="88"/>
      <c r="W49" s="133">
        <v>42611</v>
      </c>
      <c r="X49" s="10">
        <v>177.3</v>
      </c>
      <c r="Y49" s="10">
        <v>178.68</v>
      </c>
      <c r="Z49" s="10">
        <v>176.9</v>
      </c>
      <c r="AA49" s="10">
        <v>177.4</v>
      </c>
      <c r="AB49" s="95">
        <v>1672600</v>
      </c>
      <c r="AC49" s="10">
        <v>176.87</v>
      </c>
      <c r="AD49" s="2">
        <f t="shared" si="0"/>
        <v>1.7800000000000011</v>
      </c>
      <c r="AE49" s="138">
        <f t="shared" si="1"/>
        <v>1.3587725754402591E-3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176.0112</v>
      </c>
      <c r="Q50" s="2"/>
      <c r="T50" s="136" t="s">
        <v>105</v>
      </c>
      <c r="U50" s="88" t="s">
        <v>526</v>
      </c>
      <c r="W50" s="133">
        <v>42608</v>
      </c>
      <c r="X50" s="10">
        <v>176.83</v>
      </c>
      <c r="Y50" s="10">
        <v>178.65</v>
      </c>
      <c r="Z50" s="10">
        <v>175.13</v>
      </c>
      <c r="AA50" s="10">
        <v>177.16</v>
      </c>
      <c r="AB50" s="95">
        <v>2258600</v>
      </c>
      <c r="AC50" s="10">
        <v>176.63</v>
      </c>
      <c r="AD50" s="2">
        <f t="shared" si="0"/>
        <v>3.5200000000000102</v>
      </c>
      <c r="AE50" s="138">
        <f t="shared" si="1"/>
        <v>6.3814027690729525E-3</v>
      </c>
    </row>
    <row r="51" spans="1:31" x14ac:dyDescent="0.25">
      <c r="O51" s="83">
        <v>1.01</v>
      </c>
      <c r="P51" s="83">
        <f t="shared" si="3"/>
        <v>174.28560000000002</v>
      </c>
      <c r="Q51" s="2"/>
      <c r="T51" s="136" t="s">
        <v>106</v>
      </c>
      <c r="U51" s="88" t="s">
        <v>386</v>
      </c>
      <c r="W51" s="133">
        <v>42607</v>
      </c>
      <c r="X51" s="10">
        <v>175.52</v>
      </c>
      <c r="Y51" s="10">
        <v>177.14</v>
      </c>
      <c r="Z51" s="10">
        <v>174.69</v>
      </c>
      <c r="AA51" s="10">
        <v>176.04</v>
      </c>
      <c r="AB51" s="95">
        <v>1873500</v>
      </c>
      <c r="AC51" s="10">
        <v>175.51</v>
      </c>
      <c r="AD51" s="2">
        <f t="shared" si="0"/>
        <v>2.4499999999999886</v>
      </c>
      <c r="AE51" s="138">
        <f t="shared" si="1"/>
        <v>4.2341362934141813E-3</v>
      </c>
    </row>
    <row r="52" spans="1:31" x14ac:dyDescent="0.25">
      <c r="O52" s="83">
        <v>1</v>
      </c>
      <c r="P52" s="83">
        <f t="shared" si="3"/>
        <v>172.56</v>
      </c>
      <c r="Q52" s="2"/>
      <c r="T52" s="136" t="s">
        <v>107</v>
      </c>
      <c r="U52" s="90">
        <v>4350126</v>
      </c>
      <c r="W52" s="133">
        <v>42606</v>
      </c>
      <c r="X52" s="10">
        <v>177.57</v>
      </c>
      <c r="Y52" s="10">
        <v>177.69</v>
      </c>
      <c r="Z52" s="10">
        <v>174.37</v>
      </c>
      <c r="AA52" s="10">
        <v>175.3</v>
      </c>
      <c r="AB52" s="95">
        <v>2180200</v>
      </c>
      <c r="AC52" s="10">
        <v>174.77</v>
      </c>
      <c r="AD52" s="2">
        <f t="shared" si="0"/>
        <v>3.3199999999999932</v>
      </c>
      <c r="AE52" s="138">
        <f t="shared" si="1"/>
        <v>-1.1537808947457706E-2</v>
      </c>
    </row>
    <row r="53" spans="1:31" x14ac:dyDescent="0.25">
      <c r="O53" s="83">
        <v>0.99</v>
      </c>
      <c r="P53" s="83">
        <f t="shared" si="3"/>
        <v>170.83439999999999</v>
      </c>
      <c r="Q53" s="2"/>
      <c r="T53" s="136" t="s">
        <v>110</v>
      </c>
      <c r="U53" s="90">
        <v>2550610</v>
      </c>
      <c r="W53" s="133">
        <v>42605</v>
      </c>
      <c r="X53" s="10">
        <v>176.72</v>
      </c>
      <c r="Y53" s="10">
        <v>177.47</v>
      </c>
      <c r="Z53" s="10">
        <v>176.12</v>
      </c>
      <c r="AA53" s="10">
        <v>177.34</v>
      </c>
      <c r="AB53" s="95">
        <v>1974100</v>
      </c>
      <c r="AC53" s="10">
        <v>176.81</v>
      </c>
      <c r="AD53" s="2">
        <f t="shared" si="0"/>
        <v>1.3499999999999943</v>
      </c>
      <c r="AE53" s="138">
        <f t="shared" si="1"/>
        <v>8.0387685290763677E-3</v>
      </c>
    </row>
    <row r="54" spans="1:31" x14ac:dyDescent="0.25">
      <c r="O54" s="83">
        <v>0.98</v>
      </c>
      <c r="P54" s="83">
        <f t="shared" si="3"/>
        <v>169.1088</v>
      </c>
      <c r="Q54" s="2"/>
      <c r="T54" s="136" t="s">
        <v>108</v>
      </c>
      <c r="U54" s="88" t="s">
        <v>527</v>
      </c>
      <c r="W54" s="133">
        <v>42604</v>
      </c>
      <c r="X54" s="10">
        <v>175</v>
      </c>
      <c r="Y54" s="10">
        <v>176.31</v>
      </c>
      <c r="Z54" s="10">
        <v>174.06</v>
      </c>
      <c r="AA54" s="10">
        <v>175.93</v>
      </c>
      <c r="AB54" s="95">
        <v>1539300</v>
      </c>
      <c r="AC54" s="10">
        <v>175.4</v>
      </c>
      <c r="AD54" s="2">
        <f t="shared" si="0"/>
        <v>2.25</v>
      </c>
      <c r="AE54" s="138">
        <f t="shared" si="1"/>
        <v>5.7339449541284893E-3</v>
      </c>
    </row>
    <row r="55" spans="1:31" x14ac:dyDescent="0.25">
      <c r="O55" s="83">
        <v>0.97</v>
      </c>
      <c r="P55" s="83">
        <f t="shared" si="3"/>
        <v>167.38319999999999</v>
      </c>
      <c r="T55" s="136" t="s">
        <v>111</v>
      </c>
      <c r="U55" s="88" t="s">
        <v>129</v>
      </c>
      <c r="W55" s="133">
        <v>42601</v>
      </c>
      <c r="X55" s="10">
        <v>174.18</v>
      </c>
      <c r="Y55" s="10">
        <v>175.06</v>
      </c>
      <c r="Z55" s="10">
        <v>173.43</v>
      </c>
      <c r="AA55" s="10">
        <v>174.93</v>
      </c>
      <c r="AB55" s="95">
        <v>1534900</v>
      </c>
      <c r="AC55" s="10">
        <v>174.4</v>
      </c>
      <c r="AD55" s="2">
        <f t="shared" si="0"/>
        <v>1.6299999999999955</v>
      </c>
      <c r="AE55" s="138">
        <f t="shared" si="1"/>
        <v>5.7090133210311311E-3</v>
      </c>
    </row>
    <row r="56" spans="1:31" x14ac:dyDescent="0.25">
      <c r="O56" s="83">
        <v>0.96</v>
      </c>
      <c r="P56" s="83">
        <f t="shared" si="3"/>
        <v>165.6576</v>
      </c>
      <c r="T56" s="136" t="s">
        <v>112</v>
      </c>
      <c r="U56" s="88">
        <v>-2.2799999999999998</v>
      </c>
      <c r="W56" s="133">
        <v>42600</v>
      </c>
      <c r="X56" s="10">
        <v>172.82</v>
      </c>
      <c r="Y56" s="10">
        <v>174.18</v>
      </c>
      <c r="Z56" s="10">
        <v>172.64</v>
      </c>
      <c r="AA56" s="10">
        <v>173.93</v>
      </c>
      <c r="AB56" s="95">
        <v>2112000</v>
      </c>
      <c r="AC56" s="10">
        <v>173.41</v>
      </c>
      <c r="AD56" s="2">
        <f t="shared" si="0"/>
        <v>1.5400000000000205</v>
      </c>
      <c r="AE56" s="138">
        <f t="shared" si="1"/>
        <v>5.2170888644136326E-3</v>
      </c>
    </row>
    <row r="57" spans="1:31" x14ac:dyDescent="0.25">
      <c r="O57" s="83">
        <v>0.95</v>
      </c>
      <c r="P57" s="83">
        <f t="shared" si="3"/>
        <v>163.93199999999999</v>
      </c>
      <c r="T57" s="136" t="s">
        <v>109</v>
      </c>
      <c r="U57" s="88" t="s">
        <v>433</v>
      </c>
      <c r="W57" s="133">
        <v>42599</v>
      </c>
      <c r="X57" s="10">
        <v>172.25</v>
      </c>
      <c r="Y57" s="10">
        <v>173.28</v>
      </c>
      <c r="Z57" s="10">
        <v>171.76</v>
      </c>
      <c r="AA57" s="10">
        <v>173.03</v>
      </c>
      <c r="AB57" s="95">
        <v>1661300</v>
      </c>
      <c r="AC57" s="10">
        <v>172.51</v>
      </c>
      <c r="AD57" s="2">
        <f t="shared" si="0"/>
        <v>1.5200000000000102</v>
      </c>
      <c r="AE57" s="138">
        <f t="shared" si="1"/>
        <v>3.6653479171515624E-3</v>
      </c>
    </row>
    <row r="58" spans="1:31" x14ac:dyDescent="0.25">
      <c r="O58" s="83">
        <v>0.94</v>
      </c>
      <c r="P58" s="83">
        <f t="shared" si="3"/>
        <v>162.2064</v>
      </c>
      <c r="W58" s="133">
        <v>42598</v>
      </c>
      <c r="X58" s="10">
        <v>174.81</v>
      </c>
      <c r="Y58" s="10">
        <v>174.99</v>
      </c>
      <c r="Z58" s="10">
        <v>172.1</v>
      </c>
      <c r="AA58" s="10">
        <v>172.4</v>
      </c>
      <c r="AB58" s="95">
        <v>1906900</v>
      </c>
      <c r="AC58" s="10">
        <v>171.88</v>
      </c>
      <c r="AD58" s="2">
        <f t="shared" si="0"/>
        <v>2.8900000000000148</v>
      </c>
      <c r="AE58" s="138">
        <f t="shared" si="1"/>
        <v>-1.7884692303296923E-2</v>
      </c>
    </row>
    <row r="59" spans="1:31" x14ac:dyDescent="0.25">
      <c r="O59" s="83">
        <v>0.93</v>
      </c>
      <c r="P59" s="83">
        <f t="shared" si="3"/>
        <v>160.48080000000002</v>
      </c>
      <c r="W59" s="133">
        <v>42597</v>
      </c>
      <c r="X59" s="10">
        <v>173.37</v>
      </c>
      <c r="Y59" s="10">
        <v>175.81</v>
      </c>
      <c r="Z59" s="10">
        <v>172.5</v>
      </c>
      <c r="AA59" s="10">
        <v>175.54</v>
      </c>
      <c r="AB59" s="95">
        <v>2580700</v>
      </c>
      <c r="AC59" s="10">
        <v>175.01</v>
      </c>
      <c r="AD59" s="2">
        <f t="shared" si="0"/>
        <v>3.3100000000000023</v>
      </c>
      <c r="AE59" s="138">
        <f t="shared" si="1"/>
        <v>1.7795870892701293E-2</v>
      </c>
    </row>
    <row r="60" spans="1:31" x14ac:dyDescent="0.25">
      <c r="O60" s="83">
        <v>0.92</v>
      </c>
      <c r="P60" s="83">
        <f t="shared" si="3"/>
        <v>158.7552</v>
      </c>
      <c r="W60" s="133">
        <v>42594</v>
      </c>
      <c r="X60" s="10">
        <v>172.13</v>
      </c>
      <c r="Y60" s="10">
        <v>172.62</v>
      </c>
      <c r="Z60" s="10">
        <v>171.38</v>
      </c>
      <c r="AA60" s="10">
        <v>172.47</v>
      </c>
      <c r="AB60" s="95">
        <v>1653000</v>
      </c>
      <c r="AC60" s="10">
        <v>171.95</v>
      </c>
      <c r="AD60" s="2">
        <f t="shared" si="0"/>
        <v>1.2400000000000091</v>
      </c>
      <c r="AE60" s="138">
        <f t="shared" si="1"/>
        <v>2.2148394241416902E-3</v>
      </c>
    </row>
    <row r="61" spans="1:31" x14ac:dyDescent="0.25">
      <c r="O61" s="83">
        <v>0.91</v>
      </c>
      <c r="P61" s="83">
        <f t="shared" si="3"/>
        <v>157.02960000000002</v>
      </c>
      <c r="W61" s="133">
        <v>42593</v>
      </c>
      <c r="X61" s="10">
        <v>172.07</v>
      </c>
      <c r="Y61" s="10">
        <v>173.16</v>
      </c>
      <c r="Z61" s="10">
        <v>170.9</v>
      </c>
      <c r="AA61" s="10">
        <v>172.09</v>
      </c>
      <c r="AB61" s="95">
        <v>1574500</v>
      </c>
      <c r="AC61" s="10">
        <v>171.57</v>
      </c>
      <c r="AD61" s="2">
        <f t="shared" si="0"/>
        <v>2.2599999999999909</v>
      </c>
      <c r="AE61" s="138">
        <f t="shared" si="1"/>
        <v>1.4008054631411415E-3</v>
      </c>
    </row>
    <row r="62" spans="1:31" x14ac:dyDescent="0.25">
      <c r="O62" s="83">
        <v>0.9</v>
      </c>
      <c r="P62" s="83">
        <f t="shared" si="3"/>
        <v>155.304</v>
      </c>
      <c r="W62" s="133">
        <v>42592</v>
      </c>
      <c r="X62" s="10">
        <v>171.22</v>
      </c>
      <c r="Y62" s="10">
        <v>172.18</v>
      </c>
      <c r="Z62" s="10">
        <v>169.84</v>
      </c>
      <c r="AA62" s="10">
        <v>171.85</v>
      </c>
      <c r="AB62" s="95">
        <v>1952300</v>
      </c>
      <c r="AC62" s="10">
        <v>171.33</v>
      </c>
      <c r="AD62" s="2">
        <f t="shared" si="0"/>
        <v>2.3400000000000034</v>
      </c>
      <c r="AE62" s="138">
        <f t="shared" si="1"/>
        <v>3.9259346068207801E-3</v>
      </c>
    </row>
    <row r="63" spans="1:31" x14ac:dyDescent="0.25">
      <c r="W63" s="133">
        <v>42591</v>
      </c>
      <c r="X63" s="10">
        <v>168.94</v>
      </c>
      <c r="Y63" s="10">
        <v>172.17</v>
      </c>
      <c r="Z63" s="10">
        <v>168.7</v>
      </c>
      <c r="AA63" s="10">
        <v>171.17</v>
      </c>
      <c r="AB63" s="95">
        <v>3274300</v>
      </c>
      <c r="AC63" s="10">
        <v>170.66</v>
      </c>
      <c r="AD63" s="2">
        <f t="shared" si="0"/>
        <v>3.4699999999999989</v>
      </c>
      <c r="AE63" s="138">
        <f t="shared" si="1"/>
        <v>1.6801715919923632E-2</v>
      </c>
    </row>
    <row r="64" spans="1:31" x14ac:dyDescent="0.25">
      <c r="W64" s="133">
        <v>42590</v>
      </c>
      <c r="X64" s="10">
        <v>170</v>
      </c>
      <c r="Y64" s="10">
        <v>171.23</v>
      </c>
      <c r="Z64" s="10">
        <v>167.86</v>
      </c>
      <c r="AA64" s="10">
        <v>168.35</v>
      </c>
      <c r="AB64" s="95">
        <v>1908400</v>
      </c>
      <c r="AC64" s="10">
        <v>167.84</v>
      </c>
      <c r="AD64" s="2">
        <f t="shared" si="0"/>
        <v>3.3699999999999761</v>
      </c>
      <c r="AE64" s="138">
        <f t="shared" si="1"/>
        <v>-1.0435705441896204E-2</v>
      </c>
    </row>
    <row r="65" spans="23:31" x14ac:dyDescent="0.25">
      <c r="W65" s="133">
        <v>42587</v>
      </c>
      <c r="X65" s="10">
        <v>167.95</v>
      </c>
      <c r="Y65" s="10">
        <v>170.2</v>
      </c>
      <c r="Z65" s="10">
        <v>167.23</v>
      </c>
      <c r="AA65" s="10">
        <v>170.12</v>
      </c>
      <c r="AB65" s="95">
        <v>2559400</v>
      </c>
      <c r="AC65" s="10">
        <v>169.61</v>
      </c>
      <c r="AD65" s="2">
        <f t="shared" si="0"/>
        <v>2.9699999999999989</v>
      </c>
      <c r="AE65" s="138">
        <f t="shared" si="1"/>
        <v>1.8739864256111405E-2</v>
      </c>
    </row>
    <row r="66" spans="23:31" x14ac:dyDescent="0.25">
      <c r="W66" s="133">
        <v>42586</v>
      </c>
      <c r="X66" s="10">
        <v>164.27</v>
      </c>
      <c r="Y66" s="10">
        <v>167</v>
      </c>
      <c r="Z66" s="10">
        <v>164.2</v>
      </c>
      <c r="AA66" s="10">
        <v>166.99</v>
      </c>
      <c r="AB66" s="95">
        <v>1997800</v>
      </c>
      <c r="AC66" s="10">
        <v>166.49</v>
      </c>
      <c r="AD66" s="2">
        <f t="shared" si="0"/>
        <v>2.8000000000000114</v>
      </c>
      <c r="AE66" s="138">
        <f t="shared" si="1"/>
        <v>1.7540642953184138E-2</v>
      </c>
    </row>
    <row r="67" spans="23:31" x14ac:dyDescent="0.25">
      <c r="W67" s="133">
        <v>42585</v>
      </c>
      <c r="X67" s="10">
        <v>161.88</v>
      </c>
      <c r="Y67" s="10">
        <v>164.15</v>
      </c>
      <c r="Z67" s="10">
        <v>161.28</v>
      </c>
      <c r="AA67" s="10">
        <v>164.11</v>
      </c>
      <c r="AB67" s="95">
        <v>1501900</v>
      </c>
      <c r="AC67" s="10">
        <v>163.62</v>
      </c>
      <c r="AD67" s="2">
        <f>Y67-Z67</f>
        <v>2.8700000000000045</v>
      </c>
      <c r="AE67" s="138">
        <f>AC67/AC68-1</f>
        <v>7.5123152709359875E-3</v>
      </c>
    </row>
    <row r="68" spans="23:31" x14ac:dyDescent="0.25">
      <c r="W68" s="133">
        <v>42584</v>
      </c>
      <c r="X68" s="10">
        <v>163.1</v>
      </c>
      <c r="Y68" s="10">
        <v>163.99</v>
      </c>
      <c r="Z68" s="10">
        <v>162.27000000000001</v>
      </c>
      <c r="AA68" s="10">
        <v>162.88999999999999</v>
      </c>
      <c r="AB68" s="95">
        <v>2268900</v>
      </c>
      <c r="AC68" s="10">
        <v>162.4</v>
      </c>
      <c r="AD68" s="2">
        <f>Y68-Z68</f>
        <v>1.7199999999999989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01" priority="11">
      <formula>F21&gt;0</formula>
    </cfRule>
    <cfRule type="expression" dxfId="200" priority="12">
      <formula>F21&lt;0</formula>
    </cfRule>
  </conditionalFormatting>
  <conditionalFormatting sqref="H21:H23">
    <cfRule type="expression" dxfId="199" priority="9">
      <formula>H21&gt;0</formula>
    </cfRule>
    <cfRule type="expression" dxfId="198" priority="10">
      <formula>H21&lt;0</formula>
    </cfRule>
  </conditionalFormatting>
  <conditionalFormatting sqref="Q8">
    <cfRule type="expression" dxfId="197" priority="1">
      <formula>Q8&gt;0</formula>
    </cfRule>
    <cfRule type="expression" dxfId="196" priority="2">
      <formula>Q8&lt;0</formula>
    </cfRule>
  </conditionalFormatting>
  <conditionalFormatting sqref="Q7">
    <cfRule type="expression" dxfId="195" priority="3">
      <formula>Q7&gt;0</formula>
    </cfRule>
    <cfRule type="expression" dxfId="19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4257812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278</v>
      </c>
      <c r="W2" s="133">
        <v>42676</v>
      </c>
      <c r="X2" s="10">
        <v>55.95</v>
      </c>
      <c r="Y2" s="10">
        <v>56.86</v>
      </c>
      <c r="Z2" s="10">
        <v>55.76</v>
      </c>
      <c r="AA2" s="10">
        <v>56.14</v>
      </c>
      <c r="AB2" s="95">
        <v>3949200</v>
      </c>
      <c r="AC2" s="10">
        <v>56.14</v>
      </c>
      <c r="AD2" s="2">
        <f>Y2-Z2</f>
        <v>1.1000000000000014</v>
      </c>
      <c r="AE2" s="138">
        <f>AC2/AC3-1</f>
        <v>2.4999999999999467E-3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56.14</v>
      </c>
      <c r="T3" s="1"/>
      <c r="W3" s="133">
        <v>42675</v>
      </c>
      <c r="X3" s="10">
        <v>56.25</v>
      </c>
      <c r="Y3" s="10">
        <v>56.97</v>
      </c>
      <c r="Z3" s="10">
        <v>55.53</v>
      </c>
      <c r="AA3" s="10">
        <v>56</v>
      </c>
      <c r="AB3" s="95">
        <v>4708100</v>
      </c>
      <c r="AC3" s="10">
        <v>56</v>
      </c>
      <c r="AD3" s="2">
        <f t="shared" ref="AD3:AD66" si="0">Y3-Z3</f>
        <v>1.4399999999999977</v>
      </c>
      <c r="AE3" s="138">
        <f t="shared" ref="AE3:AE66" si="1">AC3/AC4-1</f>
        <v>-4.090343233149496E-3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56.14</v>
      </c>
      <c r="R4" s="527">
        <v>2.5000000000000001E-3</v>
      </c>
      <c r="T4" s="163"/>
      <c r="W4" s="133">
        <v>42674</v>
      </c>
      <c r="X4" s="10">
        <v>55.62</v>
      </c>
      <c r="Y4" s="10">
        <v>56.25</v>
      </c>
      <c r="Z4" s="10">
        <v>54.97</v>
      </c>
      <c r="AA4" s="10">
        <v>56.23</v>
      </c>
      <c r="AB4" s="95">
        <v>5256000</v>
      </c>
      <c r="AC4" s="10">
        <v>56.23</v>
      </c>
      <c r="AD4" s="2">
        <f t="shared" si="0"/>
        <v>1.2800000000000011</v>
      </c>
      <c r="AE4" s="138">
        <f t="shared" si="1"/>
        <v>2.0322990382870554E-2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42671</v>
      </c>
      <c r="X5" s="10">
        <v>54.59</v>
      </c>
      <c r="Y5" s="10">
        <v>55.45</v>
      </c>
      <c r="Z5" s="10">
        <v>54.38</v>
      </c>
      <c r="AA5" s="10">
        <v>55.11</v>
      </c>
      <c r="AB5" s="95">
        <v>5065500</v>
      </c>
      <c r="AC5" s="10">
        <v>55.11</v>
      </c>
      <c r="AD5" s="2">
        <f t="shared" si="0"/>
        <v>1.0700000000000003</v>
      </c>
      <c r="AE5" s="138">
        <f t="shared" si="1"/>
        <v>1.2679162072767314E-2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42670</v>
      </c>
      <c r="X6" s="10">
        <v>54.3</v>
      </c>
      <c r="Y6" s="10">
        <v>55.2</v>
      </c>
      <c r="Z6" s="10">
        <v>53.59</v>
      </c>
      <c r="AA6" s="10">
        <v>54.42</v>
      </c>
      <c r="AB6" s="95">
        <v>4877000</v>
      </c>
      <c r="AC6" s="10">
        <v>54.42</v>
      </c>
      <c r="AD6" s="2">
        <f t="shared" si="0"/>
        <v>1.6099999999999994</v>
      </c>
      <c r="AE6" s="138">
        <f t="shared" si="1"/>
        <v>8.1511670989256046E-3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184</v>
      </c>
      <c r="Q7" s="2">
        <f>Q10+Q8</f>
        <v>1461.5600000000013</v>
      </c>
      <c r="R7">
        <v>0</v>
      </c>
      <c r="W7" s="133">
        <v>42669</v>
      </c>
      <c r="X7" s="10">
        <v>53.11</v>
      </c>
      <c r="Y7" s="10">
        <v>55.34</v>
      </c>
      <c r="Z7" s="10">
        <v>52.21</v>
      </c>
      <c r="AA7" s="10">
        <v>53.98</v>
      </c>
      <c r="AB7" s="95">
        <v>6082700</v>
      </c>
      <c r="AC7" s="10">
        <v>53.98</v>
      </c>
      <c r="AD7" s="2">
        <f t="shared" si="0"/>
        <v>3.1300000000000026</v>
      </c>
      <c r="AE7" s="138">
        <f t="shared" si="1"/>
        <v>-1.1898224418817605E-2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187</v>
      </c>
      <c r="P8" s="34"/>
      <c r="Q8" s="2">
        <f>K18+M18-F18+Q2*Q4</f>
        <v>0</v>
      </c>
      <c r="W8" s="133">
        <v>42668</v>
      </c>
      <c r="X8" s="10">
        <v>54.93</v>
      </c>
      <c r="Y8" s="10">
        <v>55.89</v>
      </c>
      <c r="Z8" s="10">
        <v>54.54</v>
      </c>
      <c r="AA8" s="10">
        <v>54.63</v>
      </c>
      <c r="AB8" s="95">
        <v>3151000</v>
      </c>
      <c r="AC8" s="10">
        <v>54.63</v>
      </c>
      <c r="AD8" s="2">
        <f t="shared" si="0"/>
        <v>1.3500000000000014</v>
      </c>
      <c r="AE8" s="138">
        <f t="shared" si="1"/>
        <v>-7.4491279069767158E-3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219</v>
      </c>
      <c r="Q9" s="138">
        <f>IF(Q2=0, 0, Q8/Q6)</f>
        <v>0</v>
      </c>
      <c r="W9" s="133">
        <v>42667</v>
      </c>
      <c r="X9" s="10">
        <v>55.91</v>
      </c>
      <c r="Y9" s="10">
        <v>56.25</v>
      </c>
      <c r="Z9" s="10">
        <v>54.95</v>
      </c>
      <c r="AA9" s="10">
        <v>55.04</v>
      </c>
      <c r="AB9" s="95">
        <v>2875400</v>
      </c>
      <c r="AC9" s="10">
        <v>55.04</v>
      </c>
      <c r="AD9" s="2">
        <f t="shared" si="0"/>
        <v>1.2999999999999972</v>
      </c>
      <c r="AE9" s="138">
        <f t="shared" si="1"/>
        <v>-1.0071942446043258E-2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218</v>
      </c>
      <c r="P10" s="34"/>
      <c r="Q10" s="2">
        <f>M75</f>
        <v>1461.5600000000013</v>
      </c>
      <c r="W10" s="133">
        <v>42664</v>
      </c>
      <c r="X10" s="10">
        <v>56.21</v>
      </c>
      <c r="Y10" s="10">
        <v>56.58</v>
      </c>
      <c r="Z10" s="10">
        <v>55.17</v>
      </c>
      <c r="AA10" s="10">
        <v>55.6</v>
      </c>
      <c r="AB10" s="95">
        <v>3939800</v>
      </c>
      <c r="AC10" s="10">
        <v>55.6</v>
      </c>
      <c r="AD10" s="2">
        <f t="shared" si="0"/>
        <v>1.4099999999999966</v>
      </c>
      <c r="AE10" s="138">
        <f t="shared" si="1"/>
        <v>-1.7146897648930515E-2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181</v>
      </c>
      <c r="P11" s="34"/>
      <c r="Q11" s="138">
        <f>IF(U58="N/A (N/A)", 0, VALUE(TRIM(CLEAN(MID(U58, FIND("(", U58)+1, 5)))))</f>
        <v>0</v>
      </c>
      <c r="W11" s="133">
        <v>42663</v>
      </c>
      <c r="X11" s="10">
        <v>55.29</v>
      </c>
      <c r="Y11" s="10">
        <v>56.81</v>
      </c>
      <c r="Z11" s="10">
        <v>55.11</v>
      </c>
      <c r="AA11" s="10">
        <v>56.57</v>
      </c>
      <c r="AB11" s="95">
        <v>9571500</v>
      </c>
      <c r="AC11" s="10">
        <v>56.57</v>
      </c>
      <c r="AD11" s="2">
        <f t="shared" si="0"/>
        <v>1.7000000000000028</v>
      </c>
      <c r="AE11" s="138">
        <f t="shared" si="1"/>
        <v>2.0382395382395391E-2</v>
      </c>
    </row>
    <row r="12" spans="1:31" x14ac:dyDescent="0.25">
      <c r="W12" s="133">
        <v>42662</v>
      </c>
      <c r="X12" s="10">
        <v>53.99</v>
      </c>
      <c r="Y12" s="10">
        <v>55.49</v>
      </c>
      <c r="Z12" s="10">
        <v>53.75</v>
      </c>
      <c r="AA12" s="10">
        <v>55.44</v>
      </c>
      <c r="AB12" s="95">
        <v>7538300</v>
      </c>
      <c r="AC12" s="10">
        <v>55.44</v>
      </c>
      <c r="AD12" s="2">
        <f t="shared" si="0"/>
        <v>1.740000000000002</v>
      </c>
      <c r="AE12" s="138">
        <f t="shared" si="1"/>
        <v>3.2786885245901676E-2</v>
      </c>
    </row>
    <row r="13" spans="1:31" x14ac:dyDescent="0.25">
      <c r="W13" s="133">
        <v>42661</v>
      </c>
      <c r="X13" s="10">
        <v>52.54</v>
      </c>
      <c r="Y13" s="10">
        <v>55.01</v>
      </c>
      <c r="Z13" s="10">
        <v>52.44</v>
      </c>
      <c r="AA13" s="10">
        <v>53.68</v>
      </c>
      <c r="AB13" s="95">
        <v>11297300</v>
      </c>
      <c r="AC13" s="10">
        <v>53.68</v>
      </c>
      <c r="AD13" s="2">
        <f t="shared" si="0"/>
        <v>2.5700000000000003</v>
      </c>
      <c r="AE13" s="138">
        <f t="shared" si="1"/>
        <v>1.2257212898359349E-2</v>
      </c>
    </row>
    <row r="14" spans="1:31" x14ac:dyDescent="0.25">
      <c r="W14" s="133">
        <v>42660</v>
      </c>
      <c r="X14" s="10">
        <v>53.45</v>
      </c>
      <c r="Y14" s="10">
        <v>54.53</v>
      </c>
      <c r="Z14" s="10">
        <v>52.93</v>
      </c>
      <c r="AA14" s="10">
        <v>53.03</v>
      </c>
      <c r="AB14" s="95">
        <v>6398200</v>
      </c>
      <c r="AC14" s="10">
        <v>53.03</v>
      </c>
      <c r="AD14" s="2">
        <f t="shared" si="0"/>
        <v>1.6000000000000014</v>
      </c>
      <c r="AE14" s="138">
        <f t="shared" si="1"/>
        <v>-3.1954887218045291E-3</v>
      </c>
    </row>
    <row r="15" spans="1:31" x14ac:dyDescent="0.25">
      <c r="W15" s="133">
        <v>42657</v>
      </c>
      <c r="X15" s="10">
        <v>54.16</v>
      </c>
      <c r="Y15" s="10">
        <v>54.57</v>
      </c>
      <c r="Z15" s="10">
        <v>52.98</v>
      </c>
      <c r="AA15" s="10">
        <v>53.2</v>
      </c>
      <c r="AB15" s="95">
        <v>7416300</v>
      </c>
      <c r="AC15" s="10">
        <v>53.2</v>
      </c>
      <c r="AD15" s="2">
        <f t="shared" si="0"/>
        <v>1.5900000000000034</v>
      </c>
      <c r="AE15" s="138">
        <f t="shared" si="1"/>
        <v>-9.126466753585305E-3</v>
      </c>
    </row>
    <row r="16" spans="1:31" x14ac:dyDescent="0.25">
      <c r="W16" s="133">
        <v>42656</v>
      </c>
      <c r="X16" s="10">
        <v>52.05</v>
      </c>
      <c r="Y16" s="10">
        <v>54.03</v>
      </c>
      <c r="Z16" s="10">
        <v>51.34</v>
      </c>
      <c r="AA16" s="10">
        <v>53.69</v>
      </c>
      <c r="AB16" s="95">
        <v>8065400</v>
      </c>
      <c r="AC16" s="10">
        <v>53.69</v>
      </c>
      <c r="AD16" s="2">
        <f t="shared" si="0"/>
        <v>2.6899999999999977</v>
      </c>
      <c r="AE16" s="138">
        <f t="shared" si="1"/>
        <v>1.5317700453857608E-2</v>
      </c>
    </row>
    <row r="17" spans="1:31" x14ac:dyDescent="0.25">
      <c r="W17" s="133">
        <v>42655</v>
      </c>
      <c r="X17" s="10">
        <v>53.76</v>
      </c>
      <c r="Y17" s="10">
        <v>54.07</v>
      </c>
      <c r="Z17" s="10">
        <v>52.33</v>
      </c>
      <c r="AA17" s="10">
        <v>52.88</v>
      </c>
      <c r="AB17" s="95">
        <v>5332800</v>
      </c>
      <c r="AC17" s="10">
        <v>52.88</v>
      </c>
      <c r="AD17" s="2">
        <f t="shared" si="0"/>
        <v>1.740000000000002</v>
      </c>
      <c r="AE17" s="138">
        <f t="shared" si="1"/>
        <v>-1.195814648729443E-2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42654</v>
      </c>
      <c r="X18" s="10">
        <v>54.81</v>
      </c>
      <c r="Y18" s="10">
        <v>54.94</v>
      </c>
      <c r="Z18" s="10">
        <v>53.18</v>
      </c>
      <c r="AA18" s="10">
        <v>53.52</v>
      </c>
      <c r="AB18" s="95">
        <v>5937700</v>
      </c>
      <c r="AC18" s="10">
        <v>53.52</v>
      </c>
      <c r="AD18" s="2">
        <f t="shared" si="0"/>
        <v>1.759999999999998</v>
      </c>
      <c r="AE18" s="138">
        <f t="shared" si="1"/>
        <v>-1.2546125461254554E-2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SumByColor($A$19,H3:H17)</f>
        <v>0</v>
      </c>
      <c r="I19" s="361"/>
      <c r="J19" s="361"/>
      <c r="K19" s="362">
        <f>SumByColor($A$19,K3:K17)</f>
        <v>0</v>
      </c>
      <c r="L19" s="361"/>
      <c r="M19" s="362">
        <f t="shared" ref="M19" si="2">SumByColor($A$19,M2:M17)</f>
        <v>0</v>
      </c>
      <c r="W19" s="133">
        <v>42653</v>
      </c>
      <c r="X19" s="10">
        <v>53.06</v>
      </c>
      <c r="Y19" s="10">
        <v>54.5</v>
      </c>
      <c r="Z19" s="10">
        <v>53.06</v>
      </c>
      <c r="AA19" s="10">
        <v>54.2</v>
      </c>
      <c r="AB19" s="95">
        <v>3989900</v>
      </c>
      <c r="AC19" s="10">
        <v>54.2</v>
      </c>
      <c r="AD19" s="2">
        <f t="shared" si="0"/>
        <v>1.4399999999999977</v>
      </c>
      <c r="AE19" s="138">
        <f t="shared" si="1"/>
        <v>2.6126467247254981E-2</v>
      </c>
    </row>
    <row r="20" spans="1:31" x14ac:dyDescent="0.25">
      <c r="W20" s="133">
        <v>42650</v>
      </c>
      <c r="X20" s="10">
        <v>53.79</v>
      </c>
      <c r="Y20" s="10">
        <v>54</v>
      </c>
      <c r="Z20" s="10">
        <v>52.67</v>
      </c>
      <c r="AA20" s="10">
        <v>52.82</v>
      </c>
      <c r="AB20" s="95">
        <v>2577500</v>
      </c>
      <c r="AC20" s="10">
        <v>52.82</v>
      </c>
      <c r="AD20" s="2">
        <f t="shared" si="0"/>
        <v>1.3299999999999983</v>
      </c>
      <c r="AE20" s="138">
        <f t="shared" si="1"/>
        <v>-2.1489440533530857E-2</v>
      </c>
    </row>
    <row r="21" spans="1:31" x14ac:dyDescent="0.25">
      <c r="W21" s="133">
        <v>42649</v>
      </c>
      <c r="X21" s="10">
        <v>53.6</v>
      </c>
      <c r="Y21" s="10">
        <v>54.06</v>
      </c>
      <c r="Z21" s="10">
        <v>52.87</v>
      </c>
      <c r="AA21" s="10">
        <v>53.98</v>
      </c>
      <c r="AB21" s="95">
        <v>2731300</v>
      </c>
      <c r="AC21" s="10">
        <v>53.98</v>
      </c>
      <c r="AD21" s="2">
        <f t="shared" si="0"/>
        <v>1.1900000000000048</v>
      </c>
      <c r="AE21" s="138">
        <f t="shared" si="1"/>
        <v>2.9728725380899768E-3</v>
      </c>
    </row>
    <row r="22" spans="1:31" x14ac:dyDescent="0.25">
      <c r="W22" s="133">
        <v>42648</v>
      </c>
      <c r="X22" s="10">
        <v>53.82</v>
      </c>
      <c r="Y22" s="10">
        <v>54.14</v>
      </c>
      <c r="Z22" s="10">
        <v>53.48</v>
      </c>
      <c r="AA22" s="10">
        <v>53.82</v>
      </c>
      <c r="AB22" s="95">
        <v>2565500</v>
      </c>
      <c r="AC22" s="10">
        <v>53.82</v>
      </c>
      <c r="AD22" s="2">
        <f t="shared" si="0"/>
        <v>0.66000000000000369</v>
      </c>
      <c r="AE22" s="138">
        <f t="shared" si="1"/>
        <v>1.6750418760469454E-3</v>
      </c>
    </row>
    <row r="23" spans="1:31" x14ac:dyDescent="0.25">
      <c r="W23" s="133">
        <v>42647</v>
      </c>
      <c r="X23" s="10">
        <v>54.21</v>
      </c>
      <c r="Y23" s="10">
        <v>55.25</v>
      </c>
      <c r="Z23" s="10">
        <v>53.55</v>
      </c>
      <c r="AA23" s="10">
        <v>53.73</v>
      </c>
      <c r="AB23" s="95">
        <v>5658200</v>
      </c>
      <c r="AC23" s="10">
        <v>53.73</v>
      </c>
      <c r="AD23" s="2">
        <f t="shared" si="0"/>
        <v>1.7000000000000028</v>
      </c>
      <c r="AE23" s="138">
        <f t="shared" si="1"/>
        <v>9.0140845070421083E-3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42646</v>
      </c>
      <c r="X24" s="10">
        <v>52.24</v>
      </c>
      <c r="Y24" s="10">
        <v>53.4</v>
      </c>
      <c r="Z24" s="10">
        <v>52</v>
      </c>
      <c r="AA24" s="10">
        <v>53.25</v>
      </c>
      <c r="AB24" s="95">
        <v>4448100</v>
      </c>
      <c r="AC24" s="10">
        <v>53.25</v>
      </c>
      <c r="AD24" s="2">
        <f t="shared" si="0"/>
        <v>1.3999999999999986</v>
      </c>
      <c r="AE24" s="138">
        <f t="shared" si="1"/>
        <v>1.4865637507146978E-2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42643</v>
      </c>
      <c r="X25" s="10">
        <v>51.39</v>
      </c>
      <c r="Y25" s="10">
        <v>52.93</v>
      </c>
      <c r="Z25" s="10">
        <v>51.38</v>
      </c>
      <c r="AA25" s="10">
        <v>52.47</v>
      </c>
      <c r="AB25" s="95">
        <v>5366300</v>
      </c>
      <c r="AC25" s="10">
        <v>52.47</v>
      </c>
      <c r="AD25" s="2">
        <f t="shared" si="0"/>
        <v>1.5499999999999972</v>
      </c>
      <c r="AE25" s="138">
        <f t="shared" si="1"/>
        <v>2.6007039499413409E-2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42642</v>
      </c>
      <c r="X26" s="10">
        <v>50.58</v>
      </c>
      <c r="Y26" s="10">
        <v>51.68</v>
      </c>
      <c r="Z26" s="10">
        <v>50.41</v>
      </c>
      <c r="AA26" s="10">
        <v>51.14</v>
      </c>
      <c r="AB26" s="95">
        <v>5857500</v>
      </c>
      <c r="AC26" s="10">
        <v>51.14</v>
      </c>
      <c r="AD26" s="2">
        <f t="shared" si="0"/>
        <v>1.2700000000000031</v>
      </c>
      <c r="AE26" s="138">
        <f t="shared" si="1"/>
        <v>9.474930911962165E-3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42641</v>
      </c>
      <c r="X27" s="10">
        <v>50.67</v>
      </c>
      <c r="Y27" s="10">
        <v>51.89</v>
      </c>
      <c r="Z27" s="10">
        <v>50.42</v>
      </c>
      <c r="AA27" s="10">
        <v>50.66</v>
      </c>
      <c r="AB27" s="95">
        <v>3760800</v>
      </c>
      <c r="AC27" s="10">
        <v>50.66</v>
      </c>
      <c r="AD27" s="2">
        <f t="shared" si="0"/>
        <v>1.4699999999999989</v>
      </c>
      <c r="AE27" s="138">
        <f t="shared" si="1"/>
        <v>4.9593334655821941E-3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42640</v>
      </c>
      <c r="X28" s="10">
        <v>49.5</v>
      </c>
      <c r="Y28" s="10">
        <v>50.79</v>
      </c>
      <c r="Z28" s="10">
        <v>49.4</v>
      </c>
      <c r="AA28" s="10">
        <v>50.41</v>
      </c>
      <c r="AB28" s="95">
        <v>3750600</v>
      </c>
      <c r="AC28" s="10">
        <v>50.41</v>
      </c>
      <c r="AD28" s="2">
        <f t="shared" si="0"/>
        <v>1.3900000000000006</v>
      </c>
      <c r="AE28" s="138">
        <f t="shared" si="1"/>
        <v>1.9413549039433597E-2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42639</v>
      </c>
      <c r="X29" s="10">
        <v>50.53</v>
      </c>
      <c r="Y29" s="10">
        <v>50.89</v>
      </c>
      <c r="Z29" s="10">
        <v>49.28</v>
      </c>
      <c r="AA29" s="10">
        <v>49.45</v>
      </c>
      <c r="AB29" s="95">
        <v>4693600</v>
      </c>
      <c r="AC29" s="10">
        <v>49.45</v>
      </c>
      <c r="AD29" s="2">
        <f t="shared" si="0"/>
        <v>1.6099999999999994</v>
      </c>
      <c r="AE29" s="138">
        <f t="shared" si="1"/>
        <v>-2.9440628066732089E-2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42636</v>
      </c>
      <c r="X30" s="10">
        <v>50.89</v>
      </c>
      <c r="Y30" s="10">
        <v>51.33</v>
      </c>
      <c r="Z30" s="10">
        <v>50.49</v>
      </c>
      <c r="AA30" s="10">
        <v>50.95</v>
      </c>
      <c r="AB30" s="95">
        <v>3411600</v>
      </c>
      <c r="AC30" s="10">
        <v>50.95</v>
      </c>
      <c r="AD30" s="2">
        <f t="shared" si="0"/>
        <v>0.83999999999999631</v>
      </c>
      <c r="AE30" s="138">
        <f t="shared" si="1"/>
        <v>-1.7633228840124859E-3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42635</v>
      </c>
      <c r="X31" s="10">
        <v>50.68</v>
      </c>
      <c r="Y31" s="10">
        <v>52.04</v>
      </c>
      <c r="Z31" s="10">
        <v>50.37</v>
      </c>
      <c r="AA31" s="10">
        <v>51.04</v>
      </c>
      <c r="AB31" s="95">
        <v>5482200</v>
      </c>
      <c r="AC31" s="10">
        <v>51.04</v>
      </c>
      <c r="AD31" s="2">
        <f t="shared" si="0"/>
        <v>1.6700000000000017</v>
      </c>
      <c r="AE31" s="138">
        <f t="shared" si="1"/>
        <v>1.6125821222377157E-2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42634</v>
      </c>
      <c r="X32" s="10">
        <v>50.47</v>
      </c>
      <c r="Y32" s="10">
        <v>50.75</v>
      </c>
      <c r="Z32" s="10">
        <v>49.3</v>
      </c>
      <c r="AA32" s="10">
        <v>50.23</v>
      </c>
      <c r="AB32" s="95">
        <v>4563100</v>
      </c>
      <c r="AC32" s="10">
        <v>50.23</v>
      </c>
      <c r="AD32" s="2">
        <f t="shared" si="0"/>
        <v>1.4500000000000028</v>
      </c>
      <c r="AE32" s="138">
        <f t="shared" si="1"/>
        <v>-1.5901411250249797E-3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42633</v>
      </c>
      <c r="X33" s="10">
        <v>51.09</v>
      </c>
      <c r="Y33" s="10">
        <v>51.66</v>
      </c>
      <c r="Z33" s="10">
        <v>50.25</v>
      </c>
      <c r="AA33" s="10">
        <v>50.31</v>
      </c>
      <c r="AB33" s="95">
        <v>3718400</v>
      </c>
      <c r="AC33" s="10">
        <v>50.31</v>
      </c>
      <c r="AD33" s="2">
        <f t="shared" si="0"/>
        <v>1.4099999999999966</v>
      </c>
      <c r="AE33" s="138">
        <f t="shared" si="1"/>
        <v>-1.2755102040816313E-2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42632</v>
      </c>
      <c r="X34" s="10">
        <v>51.14</v>
      </c>
      <c r="Y34" s="10">
        <v>51.93</v>
      </c>
      <c r="Z34" s="10">
        <v>50.91</v>
      </c>
      <c r="AA34" s="10">
        <v>50.96</v>
      </c>
      <c r="AB34" s="95">
        <v>3673200</v>
      </c>
      <c r="AC34" s="10">
        <v>50.96</v>
      </c>
      <c r="AD34" s="2">
        <f t="shared" si="0"/>
        <v>1.0200000000000031</v>
      </c>
      <c r="AE34" s="138">
        <f t="shared" si="1"/>
        <v>-7.8431372549014888E-4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42629</v>
      </c>
      <c r="X35" s="10">
        <v>51.31</v>
      </c>
      <c r="Y35" s="10">
        <v>51.7</v>
      </c>
      <c r="Z35" s="10">
        <v>50.9</v>
      </c>
      <c r="AA35" s="10">
        <v>51</v>
      </c>
      <c r="AB35" s="95">
        <v>10477700</v>
      </c>
      <c r="AC35" s="10">
        <v>51</v>
      </c>
      <c r="AD35" s="2">
        <f t="shared" si="0"/>
        <v>0.80000000000000426</v>
      </c>
      <c r="AE35" s="138">
        <f t="shared" si="1"/>
        <v>-1.3730419648037118E-2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42628</v>
      </c>
      <c r="X36" s="10">
        <v>50.99</v>
      </c>
      <c r="Y36" s="10">
        <v>51.96</v>
      </c>
      <c r="Z36" s="10">
        <v>50.37</v>
      </c>
      <c r="AA36" s="10">
        <v>51.71</v>
      </c>
      <c r="AB36" s="95">
        <v>4719000</v>
      </c>
      <c r="AC36" s="10">
        <v>51.71</v>
      </c>
      <c r="AD36" s="2">
        <f t="shared" si="0"/>
        <v>1.5900000000000034</v>
      </c>
      <c r="AE36" s="138">
        <f t="shared" si="1"/>
        <v>1.3921568627450975E-2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42627</v>
      </c>
      <c r="X37" s="10">
        <v>51.4</v>
      </c>
      <c r="Y37" s="10">
        <v>51.89</v>
      </c>
      <c r="Z37" s="10">
        <v>50.72</v>
      </c>
      <c r="AA37" s="10">
        <v>51</v>
      </c>
      <c r="AB37" s="95">
        <v>4554700</v>
      </c>
      <c r="AC37" s="10">
        <v>51</v>
      </c>
      <c r="AD37" s="2">
        <f t="shared" si="0"/>
        <v>1.1700000000000017</v>
      </c>
      <c r="AE37" s="138">
        <f t="shared" si="1"/>
        <v>-1.2393493415956636E-2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42626</v>
      </c>
      <c r="X38" s="10">
        <v>52.7</v>
      </c>
      <c r="Y38" s="10">
        <v>53.26</v>
      </c>
      <c r="Z38" s="10">
        <v>51.49</v>
      </c>
      <c r="AA38" s="10">
        <v>51.64</v>
      </c>
      <c r="AB38" s="95">
        <v>4742400</v>
      </c>
      <c r="AC38" s="10">
        <v>51.64</v>
      </c>
      <c r="AD38" s="2">
        <f t="shared" si="0"/>
        <v>1.769999999999996</v>
      </c>
      <c r="AE38" s="138">
        <f t="shared" si="1"/>
        <v>-3.0234741784037511E-2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42625</v>
      </c>
      <c r="X39" s="10">
        <v>51.69</v>
      </c>
      <c r="Y39" s="10">
        <v>53.44</v>
      </c>
      <c r="Z39" s="10">
        <v>50.67</v>
      </c>
      <c r="AA39" s="10">
        <v>53.25</v>
      </c>
      <c r="AB39" s="95">
        <v>5217100</v>
      </c>
      <c r="AC39" s="10">
        <v>53.25</v>
      </c>
      <c r="AD39" s="2">
        <f t="shared" si="0"/>
        <v>2.769999999999996</v>
      </c>
      <c r="AE39" s="138">
        <f t="shared" si="1"/>
        <v>1.5252621544327827E-2</v>
      </c>
    </row>
    <row r="40" spans="2:31" ht="20.25" thickBot="1" x14ac:dyDescent="0.35">
      <c r="B40" s="193">
        <v>42549</v>
      </c>
      <c r="C40" s="459">
        <v>450</v>
      </c>
      <c r="D40" s="460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588" t="s">
        <v>78</v>
      </c>
      <c r="P40" s="588"/>
      <c r="W40" s="133">
        <v>42622</v>
      </c>
      <c r="X40" s="10">
        <v>53.99</v>
      </c>
      <c r="Y40" s="10">
        <v>54.11</v>
      </c>
      <c r="Z40" s="10">
        <v>52.42</v>
      </c>
      <c r="AA40" s="10">
        <v>52.45</v>
      </c>
      <c r="AB40" s="95">
        <v>4994100</v>
      </c>
      <c r="AC40" s="10">
        <v>52.45</v>
      </c>
      <c r="AD40" s="2">
        <f t="shared" si="0"/>
        <v>1.6899999999999977</v>
      </c>
      <c r="AE40" s="138">
        <f t="shared" si="1"/>
        <v>-3.513612950699041E-2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61.754000000000005</v>
      </c>
      <c r="Q41" s="2"/>
      <c r="W41" s="133">
        <v>42621</v>
      </c>
      <c r="X41" s="10">
        <v>53.23</v>
      </c>
      <c r="Y41" s="10">
        <v>54.4</v>
      </c>
      <c r="Z41" s="10">
        <v>53.23</v>
      </c>
      <c r="AA41" s="10">
        <v>54.36</v>
      </c>
      <c r="AB41" s="95">
        <v>5593800</v>
      </c>
      <c r="AC41" s="10">
        <v>54.36</v>
      </c>
      <c r="AD41" s="2">
        <f t="shared" si="0"/>
        <v>1.1700000000000017</v>
      </c>
      <c r="AE41" s="138">
        <f t="shared" si="1"/>
        <v>1.2667660208643738E-2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61.192600000000006</v>
      </c>
      <c r="Q42" s="2"/>
      <c r="T42" s="91" t="s">
        <v>113</v>
      </c>
      <c r="W42" s="133">
        <v>42620</v>
      </c>
      <c r="X42" s="10">
        <v>51.62</v>
      </c>
      <c r="Y42" s="10">
        <v>54.53</v>
      </c>
      <c r="Z42" s="10">
        <v>51.62</v>
      </c>
      <c r="AA42" s="10">
        <v>53.68</v>
      </c>
      <c r="AB42" s="95">
        <v>7211600</v>
      </c>
      <c r="AC42" s="10">
        <v>53.68</v>
      </c>
      <c r="AD42" s="2">
        <f t="shared" si="0"/>
        <v>2.9100000000000037</v>
      </c>
      <c r="AE42" s="138">
        <f t="shared" si="1"/>
        <v>4.9667579194368372E-2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60.631200000000007</v>
      </c>
      <c r="Q43" s="2"/>
      <c r="T43" s="128" t="s">
        <v>98</v>
      </c>
      <c r="U43" s="98">
        <v>56</v>
      </c>
      <c r="W43" s="133">
        <v>42619</v>
      </c>
      <c r="X43" s="10">
        <v>50.97</v>
      </c>
      <c r="Y43" s="10">
        <v>51.24</v>
      </c>
      <c r="Z43" s="10">
        <v>50.77</v>
      </c>
      <c r="AA43" s="10">
        <v>51.14</v>
      </c>
      <c r="AB43" s="95">
        <v>3838400</v>
      </c>
      <c r="AC43" s="10">
        <v>51.14</v>
      </c>
      <c r="AD43" s="2">
        <f t="shared" si="0"/>
        <v>0.46999999999999886</v>
      </c>
      <c r="AE43" s="138">
        <f t="shared" si="1"/>
        <v>9.7866510080235614E-4</v>
      </c>
    </row>
    <row r="44" spans="2:31" x14ac:dyDescent="0.25">
      <c r="B44" s="193">
        <v>42557</v>
      </c>
      <c r="C44" s="459">
        <v>450</v>
      </c>
      <c r="D44" s="460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60.069800000000001</v>
      </c>
      <c r="Q44" s="2"/>
      <c r="T44" s="93" t="s">
        <v>99</v>
      </c>
      <c r="U44" s="88">
        <v>55.95</v>
      </c>
      <c r="W44" s="133">
        <v>42615</v>
      </c>
      <c r="X44" s="10">
        <v>50.68</v>
      </c>
      <c r="Y44" s="10">
        <v>51.53</v>
      </c>
      <c r="Z44" s="10">
        <v>50.45</v>
      </c>
      <c r="AA44" s="10">
        <v>51.09</v>
      </c>
      <c r="AB44" s="95">
        <v>3732400</v>
      </c>
      <c r="AC44" s="10">
        <v>51.09</v>
      </c>
      <c r="AD44" s="2">
        <f t="shared" si="0"/>
        <v>1.0799999999999983</v>
      </c>
      <c r="AE44" s="138">
        <f t="shared" si="1"/>
        <v>3.9300451955197602E-3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59.508400000000002</v>
      </c>
      <c r="Q45" s="2"/>
      <c r="T45" s="93" t="s">
        <v>100</v>
      </c>
      <c r="U45" s="88" t="s">
        <v>661</v>
      </c>
      <c r="W45" s="133">
        <v>42614</v>
      </c>
      <c r="X45" s="10">
        <v>50.54</v>
      </c>
      <c r="Y45" s="10">
        <v>51.48</v>
      </c>
      <c r="Z45" s="10">
        <v>50.12</v>
      </c>
      <c r="AA45" s="10">
        <v>50.89</v>
      </c>
      <c r="AB45" s="95">
        <v>4012800</v>
      </c>
      <c r="AC45" s="10">
        <v>50.89</v>
      </c>
      <c r="AD45" s="2">
        <f t="shared" si="0"/>
        <v>1.3599999999999994</v>
      </c>
      <c r="AE45" s="138">
        <f t="shared" si="1"/>
        <v>9.5219202539178482E-3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58.947000000000003</v>
      </c>
      <c r="Q46" s="2"/>
      <c r="T46" s="93" t="s">
        <v>101</v>
      </c>
      <c r="U46" s="88" t="s">
        <v>662</v>
      </c>
      <c r="W46" s="133">
        <v>42613</v>
      </c>
      <c r="X46" s="10">
        <v>50.79</v>
      </c>
      <c r="Y46" s="10">
        <v>51</v>
      </c>
      <c r="Z46" s="10">
        <v>49.35</v>
      </c>
      <c r="AA46" s="10">
        <v>50.41</v>
      </c>
      <c r="AB46" s="95">
        <v>5211700</v>
      </c>
      <c r="AC46" s="10">
        <v>50.41</v>
      </c>
      <c r="AD46" s="2">
        <f t="shared" si="0"/>
        <v>1.6499999999999986</v>
      </c>
      <c r="AE46" s="138">
        <f t="shared" si="1"/>
        <v>-1.1374779368503729E-2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58.385600000000004</v>
      </c>
      <c r="Q47" s="2"/>
      <c r="T47" s="93" t="s">
        <v>102</v>
      </c>
      <c r="U47" s="88">
        <v>61.36</v>
      </c>
      <c r="W47" s="133">
        <v>42612</v>
      </c>
      <c r="X47" s="10">
        <v>46.95</v>
      </c>
      <c r="Y47" s="10">
        <v>51.53</v>
      </c>
      <c r="Z47" s="10">
        <v>46.95</v>
      </c>
      <c r="AA47" s="10">
        <v>50.99</v>
      </c>
      <c r="AB47" s="95">
        <v>12918800</v>
      </c>
      <c r="AC47" s="10">
        <v>50.99</v>
      </c>
      <c r="AD47" s="2">
        <f t="shared" si="0"/>
        <v>4.5799999999999983</v>
      </c>
      <c r="AE47" s="138">
        <f t="shared" si="1"/>
        <v>8.6048988285410077E-2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57.824200000000005</v>
      </c>
      <c r="Q48" s="2"/>
      <c r="T48" s="93" t="s">
        <v>103</v>
      </c>
      <c r="U48" s="88">
        <v>0.62539199999999995</v>
      </c>
      <c r="W48" s="133">
        <v>42611</v>
      </c>
      <c r="X48" s="10">
        <v>47.06</v>
      </c>
      <c r="Y48" s="10">
        <v>47.32</v>
      </c>
      <c r="Z48" s="10">
        <v>46.81</v>
      </c>
      <c r="AA48" s="10">
        <v>46.95</v>
      </c>
      <c r="AB48" s="95">
        <v>2404500</v>
      </c>
      <c r="AC48" s="10">
        <v>46.95</v>
      </c>
      <c r="AD48" s="2">
        <f t="shared" si="0"/>
        <v>0.50999999999999801</v>
      </c>
      <c r="AE48" s="138">
        <f t="shared" si="1"/>
        <v>1.7068487305313962E-3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57.262799999999999</v>
      </c>
      <c r="Q49" s="2"/>
      <c r="T49" s="93" t="s">
        <v>122</v>
      </c>
      <c r="U49" s="88" t="s">
        <v>406</v>
      </c>
      <c r="W49" s="133">
        <v>42608</v>
      </c>
      <c r="X49" s="10">
        <v>47.62</v>
      </c>
      <c r="Y49" s="10">
        <v>47.87</v>
      </c>
      <c r="Z49" s="10">
        <v>46.68</v>
      </c>
      <c r="AA49" s="10">
        <v>46.87</v>
      </c>
      <c r="AB49" s="95">
        <v>3349100</v>
      </c>
      <c r="AC49" s="10">
        <v>46.87</v>
      </c>
      <c r="AD49" s="2">
        <f t="shared" si="0"/>
        <v>1.1899999999999977</v>
      </c>
      <c r="AE49" s="138">
        <f t="shared" si="1"/>
        <v>-1.3885966757837265E-2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56.7014</v>
      </c>
      <c r="Q50" s="2"/>
      <c r="T50" s="93"/>
      <c r="U50" s="88"/>
      <c r="W50" s="133">
        <v>42607</v>
      </c>
      <c r="X50" s="10">
        <v>47.46</v>
      </c>
      <c r="Y50" s="10">
        <v>47.76</v>
      </c>
      <c r="Z50" s="10">
        <v>47.3</v>
      </c>
      <c r="AA50" s="10">
        <v>47.53</v>
      </c>
      <c r="AB50" s="95">
        <v>2075800</v>
      </c>
      <c r="AC50" s="10">
        <v>47.53</v>
      </c>
      <c r="AD50" s="2">
        <f t="shared" si="0"/>
        <v>0.46000000000000085</v>
      </c>
      <c r="AE50" s="138">
        <f t="shared" si="1"/>
        <v>-1.4705882352941124E-3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56.14</v>
      </c>
      <c r="Q51" s="2"/>
      <c r="T51" s="93" t="s">
        <v>105</v>
      </c>
      <c r="U51" s="88" t="s">
        <v>663</v>
      </c>
      <c r="W51" s="133">
        <v>42606</v>
      </c>
      <c r="X51" s="10">
        <v>47.29</v>
      </c>
      <c r="Y51" s="10">
        <v>47.94</v>
      </c>
      <c r="Z51" s="10">
        <v>47.27</v>
      </c>
      <c r="AA51" s="10">
        <v>47.6</v>
      </c>
      <c r="AB51" s="95">
        <v>2203200</v>
      </c>
      <c r="AC51" s="10">
        <v>47.6</v>
      </c>
      <c r="AD51" s="2">
        <f t="shared" si="0"/>
        <v>0.6699999999999946</v>
      </c>
      <c r="AE51" s="138">
        <f t="shared" si="1"/>
        <v>2.3162771109708213E-3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55.578600000000002</v>
      </c>
      <c r="Q52" s="2"/>
      <c r="T52" s="93" t="s">
        <v>106</v>
      </c>
      <c r="U52" s="88" t="s">
        <v>422</v>
      </c>
      <c r="W52" s="133">
        <v>42605</v>
      </c>
      <c r="X52" s="10">
        <v>47.27</v>
      </c>
      <c r="Y52" s="10">
        <v>47.96</v>
      </c>
      <c r="Z52" s="10">
        <v>47.27</v>
      </c>
      <c r="AA52" s="10">
        <v>47.49</v>
      </c>
      <c r="AB52" s="95">
        <v>2270400</v>
      </c>
      <c r="AC52" s="10">
        <v>47.49</v>
      </c>
      <c r="AD52" s="2">
        <f t="shared" si="0"/>
        <v>0.68999999999999773</v>
      </c>
      <c r="AE52" s="138">
        <f t="shared" si="1"/>
        <v>1.1501597444089517E-2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55.017200000000003</v>
      </c>
      <c r="Q53" s="2"/>
      <c r="T53" s="93" t="s">
        <v>107</v>
      </c>
      <c r="U53" s="90">
        <v>3957979</v>
      </c>
      <c r="W53" s="133">
        <v>42604</v>
      </c>
      <c r="X53" s="10">
        <v>46.95</v>
      </c>
      <c r="Y53" s="10">
        <v>47.09</v>
      </c>
      <c r="Z53" s="10">
        <v>46.56</v>
      </c>
      <c r="AA53" s="10">
        <v>46.95</v>
      </c>
      <c r="AB53" s="95">
        <v>2606900</v>
      </c>
      <c r="AC53" s="10">
        <v>46.95</v>
      </c>
      <c r="AD53" s="2">
        <f t="shared" si="0"/>
        <v>0.53000000000000114</v>
      </c>
      <c r="AE53" s="138">
        <f t="shared" si="1"/>
        <v>-2.9730303673816127E-3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54.455799999999996</v>
      </c>
      <c r="T54" s="93" t="s">
        <v>110</v>
      </c>
      <c r="U54" s="90">
        <v>4780660</v>
      </c>
      <c r="W54" s="133">
        <v>42601</v>
      </c>
      <c r="X54" s="10">
        <v>47.25</v>
      </c>
      <c r="Y54" s="10">
        <v>47.59</v>
      </c>
      <c r="Z54" s="10">
        <v>46.94</v>
      </c>
      <c r="AA54" s="10">
        <v>47.09</v>
      </c>
      <c r="AB54" s="95">
        <v>3267100</v>
      </c>
      <c r="AC54" s="10">
        <v>47.09</v>
      </c>
      <c r="AD54" s="2">
        <f t="shared" si="0"/>
        <v>0.65000000000000568</v>
      </c>
      <c r="AE54" s="138">
        <f t="shared" si="1"/>
        <v>-1.0714285714285676E-2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53.894399999999997</v>
      </c>
      <c r="T55" s="93" t="s">
        <v>108</v>
      </c>
      <c r="U55" s="88" t="s">
        <v>664</v>
      </c>
      <c r="W55" s="133">
        <v>42600</v>
      </c>
      <c r="X55" s="10">
        <v>48.16</v>
      </c>
      <c r="Y55" s="10">
        <v>48.22</v>
      </c>
      <c r="Z55" s="10">
        <v>47.18</v>
      </c>
      <c r="AA55" s="10">
        <v>47.6</v>
      </c>
      <c r="AB55" s="95">
        <v>4915900</v>
      </c>
      <c r="AC55" s="10">
        <v>47.6</v>
      </c>
      <c r="AD55" s="2">
        <f t="shared" si="0"/>
        <v>1.0399999999999991</v>
      </c>
      <c r="AE55" s="138">
        <f t="shared" si="1"/>
        <v>-1.2038190120381875E-2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53.332999999999998</v>
      </c>
      <c r="T56" s="93" t="s">
        <v>111</v>
      </c>
      <c r="U56" s="88">
        <v>7.17</v>
      </c>
      <c r="W56" s="133">
        <v>42599</v>
      </c>
      <c r="X56" s="10">
        <v>47.91</v>
      </c>
      <c r="Y56" s="10">
        <v>48.21</v>
      </c>
      <c r="Z56" s="10">
        <v>47.68</v>
      </c>
      <c r="AA56" s="10">
        <v>48.18</v>
      </c>
      <c r="AB56" s="95">
        <v>3299400</v>
      </c>
      <c r="AC56" s="10">
        <v>48.18</v>
      </c>
      <c r="AD56" s="2">
        <f t="shared" si="0"/>
        <v>0.53000000000000114</v>
      </c>
      <c r="AE56" s="138">
        <f t="shared" si="1"/>
        <v>3.9591581579494495E-3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52.771599999999999</v>
      </c>
      <c r="T57" s="93" t="s">
        <v>112</v>
      </c>
      <c r="U57" s="88">
        <v>7.83</v>
      </c>
      <c r="W57" s="133">
        <v>42598</v>
      </c>
      <c r="X57" s="10">
        <v>47.82</v>
      </c>
      <c r="Y57" s="10">
        <v>48.38</v>
      </c>
      <c r="Z57" s="10">
        <v>47.6</v>
      </c>
      <c r="AA57" s="10">
        <v>47.99</v>
      </c>
      <c r="AB57" s="95">
        <v>3456200</v>
      </c>
      <c r="AC57" s="10">
        <v>47.99</v>
      </c>
      <c r="AD57" s="2">
        <f t="shared" si="0"/>
        <v>0.78000000000000114</v>
      </c>
      <c r="AE57" s="138">
        <f t="shared" si="1"/>
        <v>-4.1657987919174744E-4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52.2102</v>
      </c>
      <c r="T58" s="93" t="s">
        <v>109</v>
      </c>
      <c r="U58" s="88" t="s">
        <v>123</v>
      </c>
      <c r="W58" s="133">
        <v>42597</v>
      </c>
      <c r="X58" s="10">
        <v>47.16</v>
      </c>
      <c r="Y58" s="10">
        <v>48.48</v>
      </c>
      <c r="Z58" s="10">
        <v>47</v>
      </c>
      <c r="AA58" s="10">
        <v>48.01</v>
      </c>
      <c r="AB58" s="95">
        <v>3025400</v>
      </c>
      <c r="AC58" s="10">
        <v>48.01</v>
      </c>
      <c r="AD58" s="2">
        <f t="shared" si="0"/>
        <v>1.4799999999999969</v>
      </c>
      <c r="AE58" s="138">
        <f t="shared" si="1"/>
        <v>1.9320594479830033E-2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51.648800000000001</v>
      </c>
      <c r="W59" s="133">
        <v>42594</v>
      </c>
      <c r="X59" s="10">
        <v>47.2</v>
      </c>
      <c r="Y59" s="10">
        <v>47.34</v>
      </c>
      <c r="Z59" s="10">
        <v>46.53</v>
      </c>
      <c r="AA59" s="10">
        <v>47.1</v>
      </c>
      <c r="AB59" s="95">
        <v>2165900</v>
      </c>
      <c r="AC59" s="10">
        <v>47.1</v>
      </c>
      <c r="AD59" s="2">
        <f t="shared" si="0"/>
        <v>0.81000000000000227</v>
      </c>
      <c r="AE59" s="138">
        <f t="shared" si="1"/>
        <v>-3.5963613285382445E-3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51.087400000000002</v>
      </c>
      <c r="W60" s="133">
        <v>42593</v>
      </c>
      <c r="X60" s="10">
        <v>47</v>
      </c>
      <c r="Y60" s="10">
        <v>47.57</v>
      </c>
      <c r="Z60" s="10">
        <v>46.8</v>
      </c>
      <c r="AA60" s="10">
        <v>47.27</v>
      </c>
      <c r="AB60" s="95">
        <v>4019000</v>
      </c>
      <c r="AC60" s="10">
        <v>47.27</v>
      </c>
      <c r="AD60" s="2">
        <f t="shared" si="0"/>
        <v>0.77000000000000313</v>
      </c>
      <c r="AE60" s="138">
        <f t="shared" si="1"/>
        <v>3.1833616298813094E-3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50.526000000000003</v>
      </c>
      <c r="W61" s="133">
        <v>42592</v>
      </c>
      <c r="X61" s="10">
        <v>47.72</v>
      </c>
      <c r="Y61" s="10">
        <v>47.8</v>
      </c>
      <c r="Z61" s="10">
        <v>46.67</v>
      </c>
      <c r="AA61" s="10">
        <v>47.12</v>
      </c>
      <c r="AB61" s="95">
        <v>3077000</v>
      </c>
      <c r="AC61" s="10">
        <v>47.12</v>
      </c>
      <c r="AD61" s="2">
        <f t="shared" si="0"/>
        <v>1.1299999999999955</v>
      </c>
      <c r="AE61" s="138">
        <f t="shared" si="1"/>
        <v>-1.4432127170048159E-2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42591</v>
      </c>
      <c r="X62" s="10">
        <v>49</v>
      </c>
      <c r="Y62" s="10">
        <v>49.47</v>
      </c>
      <c r="Z62" s="10">
        <v>47.78</v>
      </c>
      <c r="AA62" s="10">
        <v>47.81</v>
      </c>
      <c r="AB62" s="95">
        <v>3886000</v>
      </c>
      <c r="AC62" s="10">
        <v>47.81</v>
      </c>
      <c r="AD62" s="2">
        <f t="shared" si="0"/>
        <v>1.6899999999999977</v>
      </c>
      <c r="AE62" s="138">
        <f t="shared" si="1"/>
        <v>-1.4023510002062256E-2</v>
      </c>
    </row>
    <row r="63" spans="2:31" x14ac:dyDescent="0.25">
      <c r="W63" s="133">
        <v>42590</v>
      </c>
      <c r="X63" s="10">
        <v>48.39</v>
      </c>
      <c r="Y63" s="10">
        <v>49.32</v>
      </c>
      <c r="Z63" s="10">
        <v>47.9</v>
      </c>
      <c r="AA63" s="10">
        <v>48.49</v>
      </c>
      <c r="AB63" s="95">
        <v>4311300</v>
      </c>
      <c r="AC63" s="10">
        <v>48.49</v>
      </c>
      <c r="AD63" s="2">
        <f t="shared" si="0"/>
        <v>1.4200000000000017</v>
      </c>
      <c r="AE63" s="138">
        <f t="shared" si="1"/>
        <v>1.6525511258005388E-3</v>
      </c>
    </row>
    <row r="64" spans="2:31" x14ac:dyDescent="0.25">
      <c r="W64" s="133">
        <v>42587</v>
      </c>
      <c r="X64" s="10">
        <v>46.25</v>
      </c>
      <c r="Y64" s="10">
        <v>48.48</v>
      </c>
      <c r="Z64" s="10">
        <v>46.24</v>
      </c>
      <c r="AA64" s="10">
        <v>48.41</v>
      </c>
      <c r="AB64" s="95">
        <v>5995000</v>
      </c>
      <c r="AC64" s="10">
        <v>48.41</v>
      </c>
      <c r="AD64" s="2">
        <f t="shared" si="0"/>
        <v>2.2399999999999949</v>
      </c>
      <c r="AE64" s="138">
        <f t="shared" si="1"/>
        <v>5.4684095860566329E-2</v>
      </c>
    </row>
    <row r="65" spans="1:31" x14ac:dyDescent="0.25">
      <c r="W65" s="133">
        <v>42586</v>
      </c>
      <c r="X65" s="10">
        <v>44.94</v>
      </c>
      <c r="Y65" s="10">
        <v>45.96</v>
      </c>
      <c r="Z65" s="10">
        <v>44.81</v>
      </c>
      <c r="AA65" s="10">
        <v>45.9</v>
      </c>
      <c r="AB65" s="95">
        <v>3878900</v>
      </c>
      <c r="AC65" s="10">
        <v>45.9</v>
      </c>
      <c r="AD65" s="2">
        <f t="shared" si="0"/>
        <v>1.1499999999999986</v>
      </c>
      <c r="AE65" s="138">
        <f t="shared" si="1"/>
        <v>2.2271714922049046E-2</v>
      </c>
    </row>
    <row r="66" spans="1:31" x14ac:dyDescent="0.25">
      <c r="W66" s="133">
        <v>42585</v>
      </c>
      <c r="X66" s="10">
        <v>44.28</v>
      </c>
      <c r="Y66" s="10">
        <v>45.2</v>
      </c>
      <c r="Z66" s="10">
        <v>44.15</v>
      </c>
      <c r="AA66" s="10">
        <v>44.9</v>
      </c>
      <c r="AB66" s="95">
        <v>4616000</v>
      </c>
      <c r="AC66" s="10">
        <v>44.9</v>
      </c>
      <c r="AD66" s="2">
        <f t="shared" si="0"/>
        <v>1.0500000000000043</v>
      </c>
      <c r="AE66" s="138">
        <f t="shared" si="1"/>
        <v>1.1261261261261257E-2</v>
      </c>
    </row>
    <row r="67" spans="1:31" x14ac:dyDescent="0.25">
      <c r="W67" s="133">
        <v>42584</v>
      </c>
      <c r="X67" s="10">
        <v>46.9</v>
      </c>
      <c r="Y67" s="10">
        <v>46.9</v>
      </c>
      <c r="Z67" s="10">
        <v>44.24</v>
      </c>
      <c r="AA67" s="10">
        <v>44.4</v>
      </c>
      <c r="AB67" s="95">
        <v>7290700</v>
      </c>
      <c r="AC67" s="10">
        <v>44.4</v>
      </c>
      <c r="AD67" s="2">
        <f>Y67-Z67</f>
        <v>2.6599999999999966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90" t="s">
        <v>1</v>
      </c>
      <c r="B76" s="390" t="s">
        <v>2</v>
      </c>
      <c r="C76" s="390" t="s">
        <v>4</v>
      </c>
      <c r="D76" s="392" t="s">
        <v>5</v>
      </c>
      <c r="E76" s="392" t="s">
        <v>94</v>
      </c>
      <c r="F76" s="392" t="s">
        <v>60</v>
      </c>
      <c r="G76" s="390" t="s">
        <v>3</v>
      </c>
      <c r="H76" s="390" t="s">
        <v>6</v>
      </c>
      <c r="I76" s="392" t="s">
        <v>7</v>
      </c>
      <c r="J76" s="392" t="s">
        <v>95</v>
      </c>
      <c r="K76" s="392" t="s">
        <v>61</v>
      </c>
      <c r="L76" s="390" t="s">
        <v>37</v>
      </c>
      <c r="M76" s="390" t="s">
        <v>38</v>
      </c>
    </row>
    <row r="77" spans="1:31" x14ac:dyDescent="0.25">
      <c r="A77" s="393" t="s">
        <v>13</v>
      </c>
      <c r="B77" s="383">
        <v>42485</v>
      </c>
      <c r="C77" s="384">
        <v>80</v>
      </c>
      <c r="D77" s="385">
        <v>49.5</v>
      </c>
      <c r="E77" s="385">
        <v>0</v>
      </c>
      <c r="F77" s="385">
        <f t="shared" ref="F77:F85" si="49">D77*C77+E77</f>
        <v>3960</v>
      </c>
      <c r="G77" s="384"/>
      <c r="H77" s="384"/>
      <c r="I77" s="385"/>
      <c r="J77" s="385"/>
      <c r="K77" s="385"/>
      <c r="L77" s="383"/>
      <c r="M77" s="384"/>
    </row>
    <row r="78" spans="1:31" x14ac:dyDescent="0.25">
      <c r="A78" s="394" t="s">
        <v>71</v>
      </c>
      <c r="B78" s="383">
        <v>42489</v>
      </c>
      <c r="C78" s="384">
        <v>20</v>
      </c>
      <c r="D78" s="385">
        <v>46.95</v>
      </c>
      <c r="E78" s="385">
        <v>0</v>
      </c>
      <c r="F78" s="385">
        <f t="shared" si="49"/>
        <v>939</v>
      </c>
      <c r="G78" s="384"/>
      <c r="H78" s="385"/>
      <c r="I78" s="385"/>
      <c r="J78" s="385"/>
      <c r="K78" s="385"/>
      <c r="L78" s="384"/>
      <c r="M78" s="384"/>
    </row>
    <row r="79" spans="1:31" x14ac:dyDescent="0.25">
      <c r="A79" s="384"/>
      <c r="B79" s="383">
        <v>42489</v>
      </c>
      <c r="C79" s="384">
        <v>50</v>
      </c>
      <c r="D79" s="385">
        <v>45.91</v>
      </c>
      <c r="E79" s="385">
        <v>0</v>
      </c>
      <c r="F79" s="385">
        <f t="shared" si="49"/>
        <v>2295.5</v>
      </c>
      <c r="G79" s="384"/>
      <c r="H79" s="384"/>
      <c r="I79" s="385"/>
      <c r="J79" s="385"/>
      <c r="K79" s="385"/>
      <c r="L79" s="384"/>
      <c r="M79" s="384"/>
    </row>
    <row r="80" spans="1:31" x14ac:dyDescent="0.25">
      <c r="A80" s="384"/>
      <c r="B80" s="383">
        <v>42495</v>
      </c>
      <c r="C80" s="384">
        <v>25</v>
      </c>
      <c r="D80" s="385">
        <v>45</v>
      </c>
      <c r="E80" s="385">
        <v>0</v>
      </c>
      <c r="F80" s="385">
        <f t="shared" si="49"/>
        <v>1125</v>
      </c>
      <c r="G80" s="383">
        <v>42557</v>
      </c>
      <c r="H80" s="384">
        <v>150</v>
      </c>
      <c r="I80" s="385">
        <v>39.28</v>
      </c>
      <c r="J80" s="385">
        <v>0.13</v>
      </c>
      <c r="K80" s="385">
        <f t="shared" ref="K80:K85" si="50">I80*H80-J80</f>
        <v>5891.87</v>
      </c>
      <c r="L80" s="384"/>
      <c r="M80" s="384"/>
    </row>
    <row r="81" spans="1:13" x14ac:dyDescent="0.25">
      <c r="A81" s="384"/>
      <c r="B81" s="383">
        <v>42502</v>
      </c>
      <c r="C81" s="384">
        <v>25</v>
      </c>
      <c r="D81" s="385">
        <v>44.09</v>
      </c>
      <c r="E81" s="385">
        <v>0</v>
      </c>
      <c r="F81" s="385">
        <f t="shared" si="49"/>
        <v>1102.25</v>
      </c>
      <c r="G81" s="383">
        <v>42562</v>
      </c>
      <c r="H81" s="384">
        <v>50</v>
      </c>
      <c r="I81" s="385">
        <v>42.68</v>
      </c>
      <c r="J81" s="385">
        <v>0.05</v>
      </c>
      <c r="K81" s="385">
        <f t="shared" si="50"/>
        <v>2133.9499999999998</v>
      </c>
      <c r="L81" s="384"/>
      <c r="M81" s="384"/>
    </row>
    <row r="82" spans="1:13" x14ac:dyDescent="0.25">
      <c r="A82" s="384"/>
      <c r="B82" s="383">
        <v>42535</v>
      </c>
      <c r="C82" s="384">
        <v>40</v>
      </c>
      <c r="D82" s="385">
        <v>43.19</v>
      </c>
      <c r="E82" s="385">
        <v>0</v>
      </c>
      <c r="F82" s="385">
        <f t="shared" si="49"/>
        <v>1727.6</v>
      </c>
      <c r="G82" s="383">
        <v>42566</v>
      </c>
      <c r="H82" s="384">
        <v>40</v>
      </c>
      <c r="I82" s="385">
        <v>47.51</v>
      </c>
      <c r="J82" s="385">
        <v>0.04</v>
      </c>
      <c r="K82" s="385">
        <f t="shared" si="50"/>
        <v>1900.36</v>
      </c>
      <c r="L82" s="384"/>
      <c r="M82" s="384"/>
    </row>
    <row r="83" spans="1:13" x14ac:dyDescent="0.25">
      <c r="A83" s="384"/>
      <c r="B83" s="383">
        <v>42545</v>
      </c>
      <c r="C83" s="384">
        <v>100</v>
      </c>
      <c r="D83" s="385">
        <v>42.28</v>
      </c>
      <c r="E83" s="385">
        <v>0</v>
      </c>
      <c r="F83" s="385">
        <f t="shared" si="49"/>
        <v>4228</v>
      </c>
      <c r="G83" s="383">
        <v>42587</v>
      </c>
      <c r="H83" s="384">
        <v>210</v>
      </c>
      <c r="I83" s="385">
        <v>47.58</v>
      </c>
      <c r="J83" s="385">
        <v>0.22</v>
      </c>
      <c r="K83" s="385">
        <f t="shared" si="50"/>
        <v>9991.58</v>
      </c>
      <c r="L83" s="384"/>
      <c r="M83" s="384"/>
    </row>
    <row r="84" spans="1:13" x14ac:dyDescent="0.25">
      <c r="A84" s="384"/>
      <c r="B84" s="383">
        <v>42545</v>
      </c>
      <c r="C84" s="384">
        <v>110</v>
      </c>
      <c r="D84" s="385">
        <v>41.12</v>
      </c>
      <c r="E84" s="385">
        <v>0</v>
      </c>
      <c r="F84" s="385">
        <f t="shared" si="49"/>
        <v>4523.2</v>
      </c>
      <c r="G84" s="383">
        <v>42593</v>
      </c>
      <c r="H84" s="384">
        <v>50</v>
      </c>
      <c r="I84" s="385">
        <v>47.35</v>
      </c>
      <c r="J84" s="385">
        <v>0.05</v>
      </c>
      <c r="K84" s="385">
        <f t="shared" si="50"/>
        <v>2367.4499999999998</v>
      </c>
      <c r="L84" s="384"/>
      <c r="M84" s="384"/>
    </row>
    <row r="85" spans="1:13" x14ac:dyDescent="0.25">
      <c r="A85" s="384"/>
      <c r="B85" s="383">
        <v>42557</v>
      </c>
      <c r="C85" s="384">
        <v>150</v>
      </c>
      <c r="D85" s="385">
        <v>38.08</v>
      </c>
      <c r="E85" s="385">
        <v>0</v>
      </c>
      <c r="F85" s="385">
        <f t="shared" si="49"/>
        <v>5712</v>
      </c>
      <c r="G85" s="383">
        <v>42597</v>
      </c>
      <c r="H85" s="384">
        <v>100</v>
      </c>
      <c r="I85" s="385">
        <v>47.89</v>
      </c>
      <c r="J85" s="385">
        <v>0.1</v>
      </c>
      <c r="K85" s="385">
        <f t="shared" si="50"/>
        <v>4788.8999999999996</v>
      </c>
      <c r="L85" s="384"/>
      <c r="M85" s="384"/>
    </row>
    <row r="86" spans="1:13" x14ac:dyDescent="0.25">
      <c r="A86" s="384"/>
      <c r="B86" s="383"/>
      <c r="C86" s="384"/>
      <c r="D86" s="385"/>
      <c r="E86" s="385"/>
      <c r="F86" s="385"/>
      <c r="G86" s="384"/>
      <c r="H86" s="384"/>
      <c r="I86" s="385"/>
      <c r="J86" s="385"/>
      <c r="K86" s="385"/>
      <c r="L86" s="384"/>
      <c r="M86" s="384"/>
    </row>
    <row r="87" spans="1:13" x14ac:dyDescent="0.25">
      <c r="A87" s="384"/>
      <c r="B87" s="384"/>
      <c r="C87" s="384"/>
      <c r="D87" s="385"/>
      <c r="E87" s="385"/>
      <c r="F87" s="385"/>
      <c r="G87" s="384"/>
      <c r="H87" s="384"/>
      <c r="I87" s="385"/>
      <c r="J87" s="385"/>
      <c r="K87" s="385"/>
      <c r="L87" s="384"/>
      <c r="M87" s="384"/>
    </row>
    <row r="88" spans="1:13" x14ac:dyDescent="0.25">
      <c r="A88" s="384"/>
      <c r="B88" s="384"/>
      <c r="C88" s="384"/>
      <c r="D88" s="385"/>
      <c r="E88" s="385"/>
      <c r="F88" s="385"/>
      <c r="G88" s="384"/>
      <c r="H88" s="384"/>
      <c r="I88" s="385"/>
      <c r="J88" s="385"/>
      <c r="K88" s="385"/>
      <c r="L88" s="384"/>
      <c r="M88" s="384"/>
    </row>
    <row r="89" spans="1:13" x14ac:dyDescent="0.25">
      <c r="A89" s="384"/>
      <c r="B89" s="384"/>
      <c r="C89" s="384"/>
      <c r="D89" s="385"/>
      <c r="E89" s="385"/>
      <c r="F89" s="385"/>
      <c r="G89" s="384"/>
      <c r="H89" s="384"/>
      <c r="I89" s="385"/>
      <c r="J89" s="385"/>
      <c r="K89" s="385"/>
      <c r="L89" s="384"/>
      <c r="M89" s="384"/>
    </row>
    <row r="90" spans="1:13" x14ac:dyDescent="0.25">
      <c r="A90" s="384"/>
      <c r="B90" s="384"/>
      <c r="C90" s="384"/>
      <c r="D90" s="385"/>
      <c r="E90" s="385"/>
      <c r="F90" s="385"/>
      <c r="G90" s="384"/>
      <c r="H90" s="384"/>
      <c r="I90" s="385"/>
      <c r="J90" s="385"/>
      <c r="K90" s="385"/>
      <c r="L90" s="384"/>
      <c r="M90" s="384"/>
    </row>
    <row r="91" spans="1:13" x14ac:dyDescent="0.25">
      <c r="A91" s="384"/>
      <c r="B91" s="384"/>
      <c r="C91" s="384"/>
      <c r="D91" s="385"/>
      <c r="E91" s="385"/>
      <c r="F91" s="385"/>
      <c r="G91" s="384"/>
      <c r="H91" s="384"/>
      <c r="I91" s="385"/>
      <c r="J91" s="385"/>
      <c r="K91" s="385"/>
      <c r="L91" s="384"/>
      <c r="M91" s="384"/>
    </row>
    <row r="92" spans="1:13" x14ac:dyDescent="0.25">
      <c r="A92" s="384"/>
      <c r="B92" s="384"/>
      <c r="C92" s="384"/>
      <c r="D92" s="385"/>
      <c r="E92" s="385"/>
      <c r="F92" s="385"/>
      <c r="G92" s="384"/>
      <c r="H92" s="384"/>
      <c r="I92" s="385"/>
      <c r="J92" s="385"/>
      <c r="K92" s="385"/>
      <c r="L92" s="384"/>
      <c r="M92" s="384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91" t="s">
        <v>201</v>
      </c>
      <c r="B94" s="492"/>
      <c r="C94" s="493">
        <f>SumByColor($A$19,C77:C92)</f>
        <v>0</v>
      </c>
      <c r="D94" s="493"/>
      <c r="E94" s="493"/>
      <c r="F94" s="494">
        <f>SumByColor($A$19,F77:F92)</f>
        <v>0</v>
      </c>
      <c r="G94" s="493"/>
      <c r="H94" s="493">
        <f>SumByColor($A$19,H78:H92)</f>
        <v>0</v>
      </c>
      <c r="I94" s="493"/>
      <c r="J94" s="493"/>
      <c r="K94" s="494">
        <f>SumByColor($A$19,K78:K92)</f>
        <v>0</v>
      </c>
      <c r="L94" s="493"/>
      <c r="M94" s="494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93" priority="15">
      <formula>F29&gt;0</formula>
    </cfRule>
    <cfRule type="expression" dxfId="192" priority="16">
      <formula>F29&lt;0</formula>
    </cfRule>
  </conditionalFormatting>
  <conditionalFormatting sqref="F34:F62">
    <cfRule type="expression" dxfId="191" priority="11">
      <formula>F34&gt;0</formula>
    </cfRule>
    <cfRule type="expression" dxfId="190" priority="12">
      <formula>F34&lt;0</formula>
    </cfRule>
  </conditionalFormatting>
  <conditionalFormatting sqref="F34:F62">
    <cfRule type="expression" dxfId="189" priority="13">
      <formula>F34&gt;0</formula>
    </cfRule>
    <cfRule type="expression" dxfId="188" priority="14">
      <formula>F34&lt;0</formula>
    </cfRule>
  </conditionalFormatting>
  <conditionalFormatting sqref="H29:H62">
    <cfRule type="expression" dxfId="187" priority="9">
      <formula>H29&gt;0</formula>
    </cfRule>
    <cfRule type="expression" dxfId="186" priority="10">
      <formula>H29&lt;0</formula>
    </cfRule>
  </conditionalFormatting>
  <conditionalFormatting sqref="F25:F28">
    <cfRule type="expression" dxfId="185" priority="7">
      <formula>F25&gt;0</formula>
    </cfRule>
    <cfRule type="expression" dxfId="184" priority="8">
      <formula>F25&lt;0</formula>
    </cfRule>
  </conditionalFormatting>
  <conditionalFormatting sqref="H25:H28">
    <cfRule type="expression" dxfId="183" priority="5">
      <formula>H25&gt;0</formula>
    </cfRule>
    <cfRule type="expression" dxfId="182" priority="6">
      <formula>H25&lt;0</formula>
    </cfRule>
  </conditionalFormatting>
  <conditionalFormatting sqref="Q7">
    <cfRule type="expression" dxfId="181" priority="3">
      <formula>Q7&gt;0</formula>
    </cfRule>
    <cfRule type="expression" dxfId="180" priority="4">
      <formula>Q7&lt;0</formula>
    </cfRule>
  </conditionalFormatting>
  <conditionalFormatting sqref="Q8">
    <cfRule type="expression" dxfId="179" priority="1">
      <formula>Q8&gt;0</formula>
    </cfRule>
    <cfRule type="expression" dxfId="17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2" max="12" width="13.5703125" bestFit="1" customWidth="1"/>
    <col min="18" max="18" width="9.7109375" bestFit="1" customWidth="1"/>
    <col min="20" max="20" width="13.7109375" customWidth="1"/>
    <col min="21" max="21" width="17.8554687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473">
        <v>42608</v>
      </c>
      <c r="C2" s="4">
        <v>25</v>
      </c>
      <c r="D2" s="3">
        <v>79.02</v>
      </c>
      <c r="E2" s="3">
        <v>0</v>
      </c>
      <c r="F2" s="3">
        <f>C2*D2+E2</f>
        <v>1975.5</v>
      </c>
      <c r="G2" s="473">
        <v>42674</v>
      </c>
      <c r="H2" s="82">
        <v>25</v>
      </c>
      <c r="I2" s="44">
        <v>70.900000000000006</v>
      </c>
      <c r="J2" s="44">
        <v>0.04</v>
      </c>
      <c r="K2" s="44">
        <f>H2*I2-J2</f>
        <v>1772.4600000000003</v>
      </c>
      <c r="L2" s="74">
        <v>42660</v>
      </c>
      <c r="M2" s="3">
        <v>22.45</v>
      </c>
      <c r="O2" s="11" t="s">
        <v>57</v>
      </c>
      <c r="Q2">
        <f>C18-H18</f>
        <v>100</v>
      </c>
      <c r="T2" s="1" t="s">
        <v>207</v>
      </c>
      <c r="W2" s="133">
        <v>42676</v>
      </c>
      <c r="X2" s="10">
        <v>67.09</v>
      </c>
      <c r="Y2" s="10">
        <v>68.95</v>
      </c>
      <c r="Z2" s="10">
        <v>66.92</v>
      </c>
      <c r="AA2" s="10">
        <v>68.66</v>
      </c>
      <c r="AB2" s="95">
        <v>4861800</v>
      </c>
      <c r="AC2" s="10">
        <v>68.66</v>
      </c>
      <c r="AD2" s="2">
        <f>Y2-Z2</f>
        <v>2.0300000000000011</v>
      </c>
      <c r="AE2" s="138">
        <f>AC2/AC3-1</f>
        <v>2.646135446255049E-2</v>
      </c>
    </row>
    <row r="3" spans="1:31" x14ac:dyDescent="0.25">
      <c r="A3" s="23" t="s">
        <v>71</v>
      </c>
      <c r="B3" s="74">
        <v>42627</v>
      </c>
      <c r="C3" s="4">
        <v>25</v>
      </c>
      <c r="D3" s="3">
        <v>76.3</v>
      </c>
      <c r="E3" s="3">
        <v>0</v>
      </c>
      <c r="F3" s="3">
        <f>C3*D3+E3</f>
        <v>1907.5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73.070899999999995</v>
      </c>
      <c r="T3" s="1" t="s">
        <v>209</v>
      </c>
      <c r="W3" s="133">
        <v>42675</v>
      </c>
      <c r="X3" s="10">
        <v>68.53</v>
      </c>
      <c r="Y3" s="10">
        <v>68.900000000000006</v>
      </c>
      <c r="Z3" s="10">
        <v>66.33</v>
      </c>
      <c r="AA3" s="10">
        <v>66.89</v>
      </c>
      <c r="AB3" s="95">
        <v>6047400</v>
      </c>
      <c r="AC3" s="10">
        <v>66.89</v>
      </c>
      <c r="AD3" s="2">
        <f t="shared" ref="AD3:AD66" si="0">Y3-Z3</f>
        <v>2.5700000000000074</v>
      </c>
      <c r="AE3" s="138">
        <f t="shared" ref="AE3:AE66" si="1">AC3/AC4-1</f>
        <v>-2.6204687727471199E-2</v>
      </c>
    </row>
    <row r="4" spans="1:31" x14ac:dyDescent="0.25">
      <c r="B4" s="525">
        <v>42668</v>
      </c>
      <c r="C4" s="4">
        <v>25</v>
      </c>
      <c r="D4" s="3">
        <v>74.38</v>
      </c>
      <c r="E4" s="3">
        <v>0</v>
      </c>
      <c r="F4" s="3">
        <f>C4*D4+E4</f>
        <v>1859.5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68.66</v>
      </c>
      <c r="R4" s="559">
        <v>2.6499999999999999E-2</v>
      </c>
      <c r="T4" s="163">
        <v>42627</v>
      </c>
      <c r="U4" s="1" t="s">
        <v>318</v>
      </c>
      <c r="W4" s="133">
        <v>42674</v>
      </c>
      <c r="X4" s="10">
        <v>68.53</v>
      </c>
      <c r="Y4" s="10">
        <v>71.13</v>
      </c>
      <c r="Z4" s="10">
        <v>67.84</v>
      </c>
      <c r="AA4" s="10">
        <v>68.69</v>
      </c>
      <c r="AB4" s="95">
        <v>7407200</v>
      </c>
      <c r="AC4" s="10">
        <v>68.69</v>
      </c>
      <c r="AD4" s="2">
        <f t="shared" si="0"/>
        <v>3.289999999999992</v>
      </c>
      <c r="AE4" s="138">
        <f t="shared" si="1"/>
        <v>1.7629629629629662E-2</v>
      </c>
    </row>
    <row r="5" spans="1:31" x14ac:dyDescent="0.25">
      <c r="B5" s="525">
        <v>42671</v>
      </c>
      <c r="C5" s="4">
        <v>25</v>
      </c>
      <c r="D5" s="3">
        <v>64.7</v>
      </c>
      <c r="E5" s="3">
        <v>0</v>
      </c>
      <c r="F5" s="3">
        <f>C5*D5+E5</f>
        <v>1617.5</v>
      </c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6866</v>
      </c>
      <c r="T5" t="s">
        <v>344</v>
      </c>
      <c r="W5" s="133">
        <v>42671</v>
      </c>
      <c r="X5" s="10">
        <v>65.069999999999993</v>
      </c>
      <c r="Y5" s="10">
        <v>68.900000000000006</v>
      </c>
      <c r="Z5" s="10">
        <v>63.26</v>
      </c>
      <c r="AA5" s="10">
        <v>67.5</v>
      </c>
      <c r="AB5" s="95">
        <v>13666700</v>
      </c>
      <c r="AC5" s="10">
        <v>67.5</v>
      </c>
      <c r="AD5" s="2">
        <f t="shared" si="0"/>
        <v>5.6400000000000077</v>
      </c>
      <c r="AE5" s="138">
        <f t="shared" si="1"/>
        <v>-9.7593582887700481E-2</v>
      </c>
    </row>
    <row r="6" spans="1:31" x14ac:dyDescent="0.25">
      <c r="B6" s="525">
        <v>42674</v>
      </c>
      <c r="C6" s="7">
        <v>25</v>
      </c>
      <c r="D6" s="44">
        <v>69.680000000000007</v>
      </c>
      <c r="E6" s="44">
        <v>0</v>
      </c>
      <c r="F6" s="44">
        <f>C6*D6+E6</f>
        <v>1742.0000000000002</v>
      </c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7307.0899999999992</v>
      </c>
      <c r="W6" s="133">
        <v>42670</v>
      </c>
      <c r="X6" s="10">
        <v>74.69</v>
      </c>
      <c r="Y6" s="10">
        <v>75.180000000000007</v>
      </c>
      <c r="Z6" s="10">
        <v>74.3</v>
      </c>
      <c r="AA6" s="10">
        <v>74.8</v>
      </c>
      <c r="AB6" s="95">
        <v>1757000</v>
      </c>
      <c r="AC6" s="10">
        <v>74.8</v>
      </c>
      <c r="AD6" s="2">
        <f t="shared" si="0"/>
        <v>0.88000000000000966</v>
      </c>
      <c r="AE6" s="138">
        <f t="shared" si="1"/>
        <v>5.3763440860215006E-3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49.859999999998763</v>
      </c>
      <c r="R7">
        <v>25</v>
      </c>
      <c r="W7" s="133">
        <v>42669</v>
      </c>
      <c r="X7" s="10">
        <v>74.56</v>
      </c>
      <c r="Y7" s="10">
        <v>74.87</v>
      </c>
      <c r="Z7" s="10">
        <v>73.5</v>
      </c>
      <c r="AA7" s="10">
        <v>74.400000000000006</v>
      </c>
      <c r="AB7" s="95">
        <v>2151600</v>
      </c>
      <c r="AC7" s="10">
        <v>74.400000000000006</v>
      </c>
      <c r="AD7" s="2">
        <f t="shared" si="0"/>
        <v>1.3700000000000045</v>
      </c>
      <c r="AE7" s="138">
        <f t="shared" si="1"/>
        <v>-6.8081698037644189E-3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-441.09000000000015</v>
      </c>
      <c r="W8" s="133">
        <v>42668</v>
      </c>
      <c r="X8" s="10">
        <v>75.33</v>
      </c>
      <c r="Y8" s="10">
        <v>75.33</v>
      </c>
      <c r="Z8" s="10">
        <v>74.34</v>
      </c>
      <c r="AA8" s="10">
        <v>74.91</v>
      </c>
      <c r="AB8" s="95">
        <v>2252200</v>
      </c>
      <c r="AC8" s="10">
        <v>74.91</v>
      </c>
      <c r="AD8" s="2">
        <f t="shared" si="0"/>
        <v>0.98999999999999488</v>
      </c>
      <c r="AE8" s="138">
        <f t="shared" si="1"/>
        <v>-9.2580346515012124E-3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-6.0364659529306496E-2</v>
      </c>
      <c r="W9" s="133">
        <v>42667</v>
      </c>
      <c r="X9" s="10">
        <v>75.58</v>
      </c>
      <c r="Y9" s="10">
        <v>76.349999999999994</v>
      </c>
      <c r="Z9" s="10">
        <v>75.55</v>
      </c>
      <c r="AA9" s="10">
        <v>75.61</v>
      </c>
      <c r="AB9" s="95">
        <v>1427700</v>
      </c>
      <c r="AC9" s="10">
        <v>75.61</v>
      </c>
      <c r="AD9" s="2">
        <f t="shared" si="0"/>
        <v>0.79999999999999716</v>
      </c>
      <c r="AE9" s="138">
        <f t="shared" si="1"/>
        <v>6.1210911510312105E-3</v>
      </c>
    </row>
    <row r="10" spans="1:31" x14ac:dyDescent="0.25">
      <c r="H10" s="72"/>
      <c r="O10" s="11" t="s">
        <v>218</v>
      </c>
      <c r="P10" s="34"/>
      <c r="Q10" s="2">
        <f>M84</f>
        <v>490.94999999999891</v>
      </c>
      <c r="W10" s="133">
        <v>42664</v>
      </c>
      <c r="X10" s="10">
        <v>75.150000000000006</v>
      </c>
      <c r="Y10" s="10">
        <v>75.209999999999994</v>
      </c>
      <c r="Z10" s="10">
        <v>74.540000000000006</v>
      </c>
      <c r="AA10" s="10">
        <v>75.150000000000006</v>
      </c>
      <c r="AB10" s="95">
        <v>1689600</v>
      </c>
      <c r="AC10" s="10">
        <v>75.150000000000006</v>
      </c>
      <c r="AD10" s="2">
        <f t="shared" si="0"/>
        <v>0.66999999999998749</v>
      </c>
      <c r="AE10" s="138">
        <f t="shared" si="1"/>
        <v>-5.689335803122475E-3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2.6599999999999999E-2</v>
      </c>
      <c r="W11" s="133">
        <v>42663</v>
      </c>
      <c r="X11" s="10">
        <v>75.239999999999995</v>
      </c>
      <c r="Y11" s="10">
        <v>75.73</v>
      </c>
      <c r="Z11" s="10">
        <v>75.05</v>
      </c>
      <c r="AA11" s="10">
        <v>75.58</v>
      </c>
      <c r="AB11" s="95">
        <v>1209100</v>
      </c>
      <c r="AC11" s="10">
        <v>75.58</v>
      </c>
      <c r="AD11" s="2">
        <f t="shared" si="0"/>
        <v>0.68000000000000682</v>
      </c>
      <c r="AE11" s="138">
        <f t="shared" si="1"/>
        <v>4.919558569339344E-3</v>
      </c>
    </row>
    <row r="12" spans="1:31" x14ac:dyDescent="0.25">
      <c r="H12" s="72"/>
      <c r="W12" s="133">
        <v>42662</v>
      </c>
      <c r="X12" s="10">
        <v>75.739999999999995</v>
      </c>
      <c r="Y12" s="10">
        <v>75.88</v>
      </c>
      <c r="Z12" s="10">
        <v>75.14</v>
      </c>
      <c r="AA12" s="10">
        <v>75.209999999999994</v>
      </c>
      <c r="AB12" s="95">
        <v>1697200</v>
      </c>
      <c r="AC12" s="10">
        <v>75.209999999999994</v>
      </c>
      <c r="AD12" s="2">
        <f t="shared" si="0"/>
        <v>0.73999999999999488</v>
      </c>
      <c r="AE12" s="138">
        <f t="shared" si="1"/>
        <v>-6.8664994057838769E-3</v>
      </c>
    </row>
    <row r="13" spans="1:31" x14ac:dyDescent="0.25">
      <c r="H13" s="72"/>
      <c r="W13" s="133">
        <v>42661</v>
      </c>
      <c r="X13" s="10">
        <v>75.53</v>
      </c>
      <c r="Y13" s="10">
        <v>75.849999999999994</v>
      </c>
      <c r="Z13" s="10">
        <v>75.14</v>
      </c>
      <c r="AA13" s="10">
        <v>75.73</v>
      </c>
      <c r="AB13" s="95">
        <v>1296000</v>
      </c>
      <c r="AC13" s="10">
        <v>75.73</v>
      </c>
      <c r="AD13" s="2">
        <f t="shared" si="0"/>
        <v>0.70999999999999375</v>
      </c>
      <c r="AE13" s="138">
        <f t="shared" si="1"/>
        <v>1.0272145144077038E-2</v>
      </c>
    </row>
    <row r="14" spans="1:31" x14ac:dyDescent="0.25">
      <c r="H14" s="72"/>
      <c r="W14" s="133">
        <v>42660</v>
      </c>
      <c r="X14" s="10">
        <v>75.27</v>
      </c>
      <c r="Y14" s="10">
        <v>75.510000000000005</v>
      </c>
      <c r="Z14" s="10">
        <v>74.91</v>
      </c>
      <c r="AA14" s="10">
        <v>74.959999999999994</v>
      </c>
      <c r="AB14" s="95">
        <v>1050100</v>
      </c>
      <c r="AC14" s="10">
        <v>74.959999999999994</v>
      </c>
      <c r="AD14" s="2">
        <f t="shared" si="0"/>
        <v>0.60000000000000853</v>
      </c>
      <c r="AE14" s="138">
        <f t="shared" si="1"/>
        <v>-4.1185067091803473E-3</v>
      </c>
    </row>
    <row r="15" spans="1:31" x14ac:dyDescent="0.25">
      <c r="H15" s="72"/>
      <c r="W15" s="133">
        <v>42657</v>
      </c>
      <c r="X15" s="10">
        <v>75.66</v>
      </c>
      <c r="Y15" s="10">
        <v>75.849999999999994</v>
      </c>
      <c r="Z15" s="10">
        <v>75.069999999999993</v>
      </c>
      <c r="AA15" s="10">
        <v>75.27</v>
      </c>
      <c r="AB15" s="95">
        <v>1469100</v>
      </c>
      <c r="AC15" s="10">
        <v>75.27</v>
      </c>
      <c r="AD15" s="2">
        <f t="shared" si="0"/>
        <v>0.78000000000000114</v>
      </c>
      <c r="AE15" s="138">
        <f t="shared" si="1"/>
        <v>-9.2912131669775633E-4</v>
      </c>
    </row>
    <row r="16" spans="1:31" x14ac:dyDescent="0.25">
      <c r="H16" s="72"/>
      <c r="W16" s="133">
        <v>42656</v>
      </c>
      <c r="X16" s="10">
        <v>75.36</v>
      </c>
      <c r="Y16" s="10">
        <v>75.599999999999994</v>
      </c>
      <c r="Z16" s="10">
        <v>74.69</v>
      </c>
      <c r="AA16" s="10">
        <v>75.34</v>
      </c>
      <c r="AB16" s="95">
        <v>1344000</v>
      </c>
      <c r="AC16" s="10">
        <v>75.34</v>
      </c>
      <c r="AD16" s="2">
        <f t="shared" si="0"/>
        <v>0.90999999999999659</v>
      </c>
      <c r="AE16" s="138">
        <f t="shared" si="1"/>
        <v>-5.9374587676475077E-3</v>
      </c>
    </row>
    <row r="17" spans="1:31" x14ac:dyDescent="0.25">
      <c r="H17" s="72"/>
      <c r="W17" s="133">
        <v>42655</v>
      </c>
      <c r="X17" s="10">
        <v>75.52</v>
      </c>
      <c r="Y17" s="10">
        <v>76.209999999999994</v>
      </c>
      <c r="Z17" s="10">
        <v>75.150000000000006</v>
      </c>
      <c r="AA17" s="10">
        <v>75.790000000000006</v>
      </c>
      <c r="AB17" s="95">
        <v>1237400</v>
      </c>
      <c r="AC17" s="10">
        <v>75.790000000000006</v>
      </c>
      <c r="AD17" s="2">
        <f t="shared" si="0"/>
        <v>1.0599999999999881</v>
      </c>
      <c r="AE17" s="138">
        <f t="shared" si="1"/>
        <v>6.2400424853958913E-3</v>
      </c>
    </row>
    <row r="18" spans="1:31" x14ac:dyDescent="0.25">
      <c r="A18" s="32" t="s">
        <v>81</v>
      </c>
      <c r="B18" s="14"/>
      <c r="C18" s="14">
        <f>SUM(C2:C6)</f>
        <v>125</v>
      </c>
      <c r="D18" s="18"/>
      <c r="E18" s="18"/>
      <c r="F18" s="18">
        <f>SUM(F2:F6)</f>
        <v>9102</v>
      </c>
      <c r="G18" s="14"/>
      <c r="H18" s="73">
        <f>SUM(H2:H17)</f>
        <v>25</v>
      </c>
      <c r="I18" s="18"/>
      <c r="J18" s="18"/>
      <c r="K18" s="18">
        <f>SUM(K2:K17)</f>
        <v>1772.4600000000003</v>
      </c>
      <c r="L18" s="14"/>
      <c r="M18" s="18">
        <f>SUM(M2:M10)</f>
        <v>22.45</v>
      </c>
      <c r="W18" s="133">
        <v>42654</v>
      </c>
      <c r="X18" s="10">
        <v>76.239999999999995</v>
      </c>
      <c r="Y18" s="10">
        <v>76.3</v>
      </c>
      <c r="Z18" s="10">
        <v>75.12</v>
      </c>
      <c r="AA18" s="10">
        <v>75.319999999999993</v>
      </c>
      <c r="AB18" s="95">
        <v>1620900</v>
      </c>
      <c r="AC18" s="10">
        <v>75.319999999999993</v>
      </c>
      <c r="AD18" s="2">
        <f t="shared" si="0"/>
        <v>1.1799999999999926</v>
      </c>
      <c r="AE18" s="138">
        <f t="shared" si="1"/>
        <v>-1.5038577219824822E-2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42653</v>
      </c>
      <c r="X19" s="10">
        <v>76.37</v>
      </c>
      <c r="Y19" s="10">
        <v>76.790000000000006</v>
      </c>
      <c r="Z19" s="10">
        <v>75.91</v>
      </c>
      <c r="AA19" s="10">
        <v>76.47</v>
      </c>
      <c r="AB19" s="95">
        <v>1238800</v>
      </c>
      <c r="AC19" s="10">
        <v>76.47</v>
      </c>
      <c r="AD19" s="2">
        <f t="shared" si="0"/>
        <v>0.88000000000000966</v>
      </c>
      <c r="AE19" s="138">
        <f t="shared" si="1"/>
        <v>9.1623036649202128E-4</v>
      </c>
    </row>
    <row r="20" spans="1:31" x14ac:dyDescent="0.25">
      <c r="W20" s="133">
        <v>42650</v>
      </c>
      <c r="X20" s="10">
        <v>76.87</v>
      </c>
      <c r="Y20" s="10">
        <v>77.12</v>
      </c>
      <c r="Z20" s="10">
        <v>75.86</v>
      </c>
      <c r="AA20" s="10">
        <v>76.400000000000006</v>
      </c>
      <c r="AB20" s="95">
        <v>2442400</v>
      </c>
      <c r="AC20" s="10">
        <v>76.400000000000006</v>
      </c>
      <c r="AD20" s="2">
        <f t="shared" si="0"/>
        <v>1.2600000000000051</v>
      </c>
      <c r="AE20" s="138">
        <f t="shared" si="1"/>
        <v>-4.0411941076781144E-3</v>
      </c>
    </row>
    <row r="21" spans="1:31" x14ac:dyDescent="0.25">
      <c r="W21" s="133">
        <v>42649</v>
      </c>
      <c r="X21" s="10">
        <v>75.430000000000007</v>
      </c>
      <c r="Y21" s="10">
        <v>76.72</v>
      </c>
      <c r="Z21" s="10">
        <v>75.099999999999994</v>
      </c>
      <c r="AA21" s="10">
        <v>76.709999999999994</v>
      </c>
      <c r="AB21" s="95">
        <v>2068700</v>
      </c>
      <c r="AC21" s="10">
        <v>76.709999999999994</v>
      </c>
      <c r="AD21" s="2">
        <f t="shared" si="0"/>
        <v>1.6200000000000045</v>
      </c>
      <c r="AE21" s="138">
        <f t="shared" si="1"/>
        <v>1.0938323668950867E-2</v>
      </c>
    </row>
    <row r="22" spans="1:31" x14ac:dyDescent="0.25">
      <c r="W22" s="133">
        <v>42648</v>
      </c>
      <c r="X22" s="10">
        <v>75.97</v>
      </c>
      <c r="Y22" s="10">
        <v>76.55</v>
      </c>
      <c r="Z22" s="10">
        <v>75.680000000000007</v>
      </c>
      <c r="AA22" s="10">
        <v>75.88</v>
      </c>
      <c r="AB22" s="95">
        <v>1864700</v>
      </c>
      <c r="AC22" s="10">
        <v>75.88</v>
      </c>
      <c r="AD22" s="2">
        <f t="shared" si="0"/>
        <v>0.86999999999999034</v>
      </c>
      <c r="AE22" s="138">
        <f t="shared" si="1"/>
        <v>2.5102391333069463E-3</v>
      </c>
    </row>
    <row r="23" spans="1:31" x14ac:dyDescent="0.25">
      <c r="W23" s="133">
        <v>42647</v>
      </c>
      <c r="X23" s="10">
        <v>76.05</v>
      </c>
      <c r="Y23" s="10">
        <v>76.34</v>
      </c>
      <c r="Z23" s="10">
        <v>75.27</v>
      </c>
      <c r="AA23" s="10">
        <v>75.69</v>
      </c>
      <c r="AB23" s="95">
        <v>1933900</v>
      </c>
      <c r="AC23" s="10">
        <v>75.69</v>
      </c>
      <c r="AD23" s="2">
        <f t="shared" si="0"/>
        <v>1.0700000000000074</v>
      </c>
      <c r="AE23" s="138">
        <f t="shared" si="1"/>
        <v>-1.3194352816995325E-3</v>
      </c>
    </row>
    <row r="24" spans="1:31" x14ac:dyDescent="0.25">
      <c r="B24" s="383" t="s">
        <v>114</v>
      </c>
      <c r="C24" s="384" t="s">
        <v>149</v>
      </c>
      <c r="D24" s="385" t="s">
        <v>148</v>
      </c>
      <c r="E24" s="385" t="s">
        <v>150</v>
      </c>
      <c r="F24" s="385" t="s">
        <v>65</v>
      </c>
      <c r="G24" s="385" t="s">
        <v>154</v>
      </c>
      <c r="H24" s="386" t="s">
        <v>88</v>
      </c>
      <c r="I24" s="385" t="s">
        <v>158</v>
      </c>
      <c r="W24" s="133">
        <v>42646</v>
      </c>
      <c r="X24" s="10">
        <v>77.400000000000006</v>
      </c>
      <c r="Y24" s="10">
        <v>77.540000000000006</v>
      </c>
      <c r="Z24" s="10">
        <v>75.69</v>
      </c>
      <c r="AA24" s="10">
        <v>75.790000000000006</v>
      </c>
      <c r="AB24" s="95">
        <v>2471600</v>
      </c>
      <c r="AC24" s="10">
        <v>75.790000000000006</v>
      </c>
      <c r="AD24" s="2">
        <f t="shared" si="0"/>
        <v>1.8500000000000085</v>
      </c>
      <c r="AE24" s="138">
        <f t="shared" si="1"/>
        <v>-2.4581724581724584E-2</v>
      </c>
    </row>
    <row r="25" spans="1:31" x14ac:dyDescent="0.25">
      <c r="B25" s="383">
        <v>42488</v>
      </c>
      <c r="C25" s="384">
        <v>30</v>
      </c>
      <c r="D25" s="385">
        <v>79.349999999999994</v>
      </c>
      <c r="E25" s="385">
        <v>78.510000000000005</v>
      </c>
      <c r="F25" s="385">
        <f t="shared" ref="F25:F37" si="3">C25*(E25-D25)</f>
        <v>-25.199999999999676</v>
      </c>
      <c r="G25" s="385">
        <f t="shared" ref="G25:G37" si="4">D25*C25</f>
        <v>2380.5</v>
      </c>
      <c r="H25" s="386">
        <f t="shared" ref="H25:H37" si="5">(E25-D25)/D25</f>
        <v>-1.0586011342154875E-2</v>
      </c>
      <c r="I25" s="385"/>
      <c r="W25" s="133">
        <v>42643</v>
      </c>
      <c r="X25" s="10">
        <v>77.11</v>
      </c>
      <c r="Y25" s="10">
        <v>78</v>
      </c>
      <c r="Z25" s="10">
        <v>76.78</v>
      </c>
      <c r="AA25" s="10">
        <v>77.7</v>
      </c>
      <c r="AB25" s="95">
        <v>2614000</v>
      </c>
      <c r="AC25" s="10">
        <v>77.7</v>
      </c>
      <c r="AD25" s="2">
        <f t="shared" si="0"/>
        <v>1.2199999999999989</v>
      </c>
      <c r="AE25" s="138">
        <f t="shared" si="1"/>
        <v>1.040312093628093E-2</v>
      </c>
    </row>
    <row r="26" spans="1:31" x14ac:dyDescent="0.25">
      <c r="B26" s="383">
        <v>42494</v>
      </c>
      <c r="C26" s="384">
        <v>30</v>
      </c>
      <c r="D26" s="385">
        <v>79.349999999999994</v>
      </c>
      <c r="E26" s="385">
        <v>77.510000000000005</v>
      </c>
      <c r="F26" s="385">
        <f t="shared" si="3"/>
        <v>-55.199999999999676</v>
      </c>
      <c r="G26" s="385">
        <f t="shared" si="4"/>
        <v>2380.5</v>
      </c>
      <c r="H26" s="386">
        <f t="shared" si="5"/>
        <v>-2.3188405797101314E-2</v>
      </c>
      <c r="I26" s="385"/>
      <c r="W26" s="133">
        <v>42642</v>
      </c>
      <c r="X26" s="10">
        <v>77.489999999999995</v>
      </c>
      <c r="Y26" s="10">
        <v>77.849999999999994</v>
      </c>
      <c r="Z26" s="10">
        <v>76.8</v>
      </c>
      <c r="AA26" s="10">
        <v>76.900000000000006</v>
      </c>
      <c r="AB26" s="95">
        <v>2676800</v>
      </c>
      <c r="AC26" s="10">
        <v>76.900000000000006</v>
      </c>
      <c r="AD26" s="2">
        <f t="shared" si="0"/>
        <v>1.0499999999999972</v>
      </c>
      <c r="AE26" s="138" t="e">
        <f t="shared" si="1"/>
        <v>#DIV/0!</v>
      </c>
    </row>
    <row r="27" spans="1:31" x14ac:dyDescent="0.25">
      <c r="B27" s="383">
        <v>42495</v>
      </c>
      <c r="C27" s="384">
        <v>50</v>
      </c>
      <c r="D27" s="385">
        <v>78.11</v>
      </c>
      <c r="E27" s="385">
        <v>78.55</v>
      </c>
      <c r="F27" s="385">
        <f t="shared" si="3"/>
        <v>21.999999999999886</v>
      </c>
      <c r="G27" s="385">
        <f t="shared" si="4"/>
        <v>3905.5</v>
      </c>
      <c r="H27" s="386">
        <f t="shared" si="5"/>
        <v>5.6330815516578894E-3</v>
      </c>
      <c r="I27" s="385"/>
      <c r="W27" s="133">
        <v>42642</v>
      </c>
      <c r="X27" s="10" t="s">
        <v>254</v>
      </c>
      <c r="Y27" s="10"/>
      <c r="Z27" s="10"/>
      <c r="AA27" s="10"/>
      <c r="AB27" s="95"/>
      <c r="AC27" s="10"/>
      <c r="AD27" s="2">
        <f t="shared" si="0"/>
        <v>0</v>
      </c>
      <c r="AE27" s="138">
        <f t="shared" si="1"/>
        <v>-1</v>
      </c>
    </row>
    <row r="28" spans="1:31" x14ac:dyDescent="0.25">
      <c r="B28" s="383">
        <v>42498</v>
      </c>
      <c r="C28" s="384">
        <v>50</v>
      </c>
      <c r="D28" s="385">
        <v>78.11</v>
      </c>
      <c r="E28" s="385">
        <v>76.849999999999994</v>
      </c>
      <c r="F28" s="385">
        <f t="shared" si="3"/>
        <v>-63.000000000000256</v>
      </c>
      <c r="G28" s="385">
        <f t="shared" si="4"/>
        <v>3905.5</v>
      </c>
      <c r="H28" s="386">
        <f t="shared" si="5"/>
        <v>-1.6131097170656833E-2</v>
      </c>
      <c r="I28" s="385"/>
      <c r="W28" s="133">
        <v>42641</v>
      </c>
      <c r="X28" s="10">
        <v>78.09</v>
      </c>
      <c r="Y28" s="10">
        <v>78.38</v>
      </c>
      <c r="Z28" s="10">
        <v>77.61</v>
      </c>
      <c r="AA28" s="10">
        <v>78.260000000000005</v>
      </c>
      <c r="AB28" s="95">
        <v>2482100</v>
      </c>
      <c r="AC28" s="10">
        <v>77.81</v>
      </c>
      <c r="AD28" s="2">
        <f t="shared" si="0"/>
        <v>0.76999999999999602</v>
      </c>
      <c r="AE28" s="138">
        <f t="shared" si="1"/>
        <v>1.5446003346635262E-3</v>
      </c>
    </row>
    <row r="29" spans="1:31" x14ac:dyDescent="0.25">
      <c r="B29" s="383">
        <v>42515</v>
      </c>
      <c r="C29" s="384">
        <v>50</v>
      </c>
      <c r="D29" s="385">
        <v>78.11</v>
      </c>
      <c r="E29" s="385">
        <v>76.73</v>
      </c>
      <c r="F29" s="385">
        <f t="shared" si="3"/>
        <v>-68.999999999999773</v>
      </c>
      <c r="G29" s="385">
        <f t="shared" si="4"/>
        <v>3905.5</v>
      </c>
      <c r="H29" s="386">
        <f t="shared" si="5"/>
        <v>-1.7667392139290687E-2</v>
      </c>
      <c r="I29" s="385"/>
      <c r="W29" s="133">
        <v>42640</v>
      </c>
      <c r="X29" s="10">
        <v>76.709999999999994</v>
      </c>
      <c r="Y29" s="10">
        <v>78.180000000000007</v>
      </c>
      <c r="Z29" s="10">
        <v>76.62</v>
      </c>
      <c r="AA29" s="10">
        <v>78.14</v>
      </c>
      <c r="AB29" s="95">
        <v>2649100</v>
      </c>
      <c r="AC29" s="10">
        <v>77.69</v>
      </c>
      <c r="AD29" s="2">
        <f t="shared" si="0"/>
        <v>1.5600000000000023</v>
      </c>
      <c r="AE29" s="138">
        <f t="shared" si="1"/>
        <v>1.6352694924123501E-2</v>
      </c>
    </row>
    <row r="30" spans="1:31" x14ac:dyDescent="0.25">
      <c r="B30" s="383">
        <v>42518</v>
      </c>
      <c r="C30" s="384">
        <v>50</v>
      </c>
      <c r="D30" s="385">
        <v>78.11</v>
      </c>
      <c r="E30" s="385">
        <v>78.150000000000006</v>
      </c>
      <c r="F30" s="385">
        <f t="shared" si="3"/>
        <v>2.0000000000003126</v>
      </c>
      <c r="G30" s="385">
        <f t="shared" si="4"/>
        <v>3905.5</v>
      </c>
      <c r="H30" s="386">
        <f t="shared" si="5"/>
        <v>5.1209832287807259E-4</v>
      </c>
      <c r="I30" s="385"/>
      <c r="W30" s="133">
        <v>42639</v>
      </c>
      <c r="X30" s="10">
        <v>77.2</v>
      </c>
      <c r="Y30" s="10">
        <v>77.430000000000007</v>
      </c>
      <c r="Z30" s="10">
        <v>76.67</v>
      </c>
      <c r="AA30" s="10">
        <v>76.88</v>
      </c>
      <c r="AB30" s="95">
        <v>1700600</v>
      </c>
      <c r="AC30" s="10">
        <v>76.44</v>
      </c>
      <c r="AD30" s="2">
        <f t="shared" si="0"/>
        <v>0.76000000000000512</v>
      </c>
      <c r="AE30" s="138">
        <f t="shared" si="1"/>
        <v>-9.9728014505892082E-3</v>
      </c>
    </row>
    <row r="31" spans="1:31" x14ac:dyDescent="0.25">
      <c r="B31" s="383">
        <v>42522</v>
      </c>
      <c r="C31" s="384">
        <v>25</v>
      </c>
      <c r="D31" s="385">
        <v>77.171599999999998</v>
      </c>
      <c r="E31" s="385">
        <v>78.72</v>
      </c>
      <c r="F31" s="385">
        <f t="shared" si="3"/>
        <v>38.710000000000022</v>
      </c>
      <c r="G31" s="385">
        <f t="shared" si="4"/>
        <v>1929.29</v>
      </c>
      <c r="H31" s="386">
        <f t="shared" si="5"/>
        <v>2.0064376013974063E-2</v>
      </c>
      <c r="I31" s="385"/>
      <c r="W31" s="133">
        <v>42636</v>
      </c>
      <c r="X31" s="10">
        <v>77.52</v>
      </c>
      <c r="Y31" s="10">
        <v>77.97</v>
      </c>
      <c r="Z31" s="10">
        <v>77.33</v>
      </c>
      <c r="AA31" s="10">
        <v>77.66</v>
      </c>
      <c r="AB31" s="95">
        <v>2098500</v>
      </c>
      <c r="AC31" s="10">
        <v>77.209999999999994</v>
      </c>
      <c r="AD31" s="2">
        <f t="shared" si="0"/>
        <v>0.64000000000000057</v>
      </c>
      <c r="AE31" s="138">
        <f t="shared" si="1"/>
        <v>1.1670124481326649E-3</v>
      </c>
    </row>
    <row r="32" spans="1:31" x14ac:dyDescent="0.25">
      <c r="B32" s="383">
        <v>42528</v>
      </c>
      <c r="C32" s="384">
        <v>25</v>
      </c>
      <c r="D32" s="385">
        <v>77.171599999999998</v>
      </c>
      <c r="E32" s="385">
        <v>80.42</v>
      </c>
      <c r="F32" s="385">
        <f t="shared" si="3"/>
        <v>81.210000000000093</v>
      </c>
      <c r="G32" s="385">
        <f t="shared" si="4"/>
        <v>1929.29</v>
      </c>
      <c r="H32" s="386">
        <f t="shared" si="5"/>
        <v>4.209320527240596E-2</v>
      </c>
      <c r="I32" s="385"/>
      <c r="W32" s="133">
        <v>42635</v>
      </c>
      <c r="X32" s="10">
        <v>77.37</v>
      </c>
      <c r="Y32" s="10">
        <v>77.75</v>
      </c>
      <c r="Z32" s="10">
        <v>77.14</v>
      </c>
      <c r="AA32" s="10">
        <v>77.56</v>
      </c>
      <c r="AB32" s="95">
        <v>2467700</v>
      </c>
      <c r="AC32" s="10">
        <v>77.12</v>
      </c>
      <c r="AD32" s="2">
        <f t="shared" si="0"/>
        <v>0.60999999999999943</v>
      </c>
      <c r="AE32" s="138">
        <f t="shared" si="1"/>
        <v>9.2919774898574392E-3</v>
      </c>
    </row>
    <row r="33" spans="2:31" x14ac:dyDescent="0.25">
      <c r="B33" s="383">
        <v>42534</v>
      </c>
      <c r="C33" s="384">
        <v>25</v>
      </c>
      <c r="D33" s="385">
        <v>77.171599999999998</v>
      </c>
      <c r="E33" s="385">
        <v>78.2</v>
      </c>
      <c r="F33" s="385">
        <f t="shared" si="3"/>
        <v>25.710000000000122</v>
      </c>
      <c r="G33" s="385">
        <f t="shared" si="4"/>
        <v>1929.29</v>
      </c>
      <c r="H33" s="386">
        <f t="shared" si="5"/>
        <v>1.3326145887865548E-2</v>
      </c>
      <c r="I33" s="385"/>
      <c r="W33" s="133">
        <v>42634</v>
      </c>
      <c r="X33" s="10">
        <v>76.05</v>
      </c>
      <c r="Y33" s="10">
        <v>76.989999999999995</v>
      </c>
      <c r="Z33" s="10">
        <v>75.72</v>
      </c>
      <c r="AA33" s="10">
        <v>76.849999999999994</v>
      </c>
      <c r="AB33" s="95">
        <v>1885700</v>
      </c>
      <c r="AC33" s="10">
        <v>76.41</v>
      </c>
      <c r="AD33" s="2">
        <f t="shared" si="0"/>
        <v>1.269999999999996</v>
      </c>
      <c r="AE33" s="138">
        <f t="shared" si="1"/>
        <v>1.1784957627118731E-2</v>
      </c>
    </row>
    <row r="34" spans="2:31" x14ac:dyDescent="0.25">
      <c r="B34" s="383">
        <v>42537</v>
      </c>
      <c r="C34" s="384">
        <v>50</v>
      </c>
      <c r="D34" s="385">
        <v>76.525800000000004</v>
      </c>
      <c r="E34" s="385">
        <v>76.540000000000006</v>
      </c>
      <c r="F34" s="385">
        <f t="shared" si="3"/>
        <v>0.71000000000012164</v>
      </c>
      <c r="G34" s="385">
        <f t="shared" si="4"/>
        <v>3826.29</v>
      </c>
      <c r="H34" s="386">
        <f t="shared" si="5"/>
        <v>1.8555833457477652E-4</v>
      </c>
      <c r="I34" s="385"/>
      <c r="W34" s="133">
        <v>42633</v>
      </c>
      <c r="X34" s="10">
        <v>76.78</v>
      </c>
      <c r="Y34" s="10">
        <v>76.849999999999994</v>
      </c>
      <c r="Z34" s="10">
        <v>75.94</v>
      </c>
      <c r="AA34" s="10">
        <v>75.959999999999994</v>
      </c>
      <c r="AB34" s="95">
        <v>2539900</v>
      </c>
      <c r="AC34" s="10">
        <v>75.52</v>
      </c>
      <c r="AD34" s="2">
        <f t="shared" si="0"/>
        <v>0.90999999999999659</v>
      </c>
      <c r="AE34" s="138">
        <f t="shared" si="1"/>
        <v>-8.0126100091948427E-3</v>
      </c>
    </row>
    <row r="35" spans="2:31" x14ac:dyDescent="0.25">
      <c r="B35" s="383">
        <v>42546</v>
      </c>
      <c r="C35" s="384">
        <v>50</v>
      </c>
      <c r="D35" s="385">
        <v>76.53</v>
      </c>
      <c r="E35" s="385">
        <v>75.23</v>
      </c>
      <c r="F35" s="385">
        <f t="shared" si="3"/>
        <v>-64.999999999999858</v>
      </c>
      <c r="G35" s="385">
        <f t="shared" si="4"/>
        <v>3826.5</v>
      </c>
      <c r="H35" s="386">
        <f t="shared" si="5"/>
        <v>-1.6986802561087117E-2</v>
      </c>
      <c r="I35" s="385"/>
      <c r="W35" s="133">
        <v>42632</v>
      </c>
      <c r="X35" s="10">
        <v>77.06</v>
      </c>
      <c r="Y35" s="10">
        <v>77.63</v>
      </c>
      <c r="Z35" s="10">
        <v>76.540000000000006</v>
      </c>
      <c r="AA35" s="10">
        <v>76.569999999999993</v>
      </c>
      <c r="AB35" s="95">
        <v>3089100</v>
      </c>
      <c r="AC35" s="10">
        <v>76.13</v>
      </c>
      <c r="AD35" s="2">
        <f t="shared" si="0"/>
        <v>1.0899999999999892</v>
      </c>
      <c r="AE35" s="138">
        <f t="shared" si="1"/>
        <v>-5.6165099268548069E-3</v>
      </c>
    </row>
    <row r="36" spans="2:31" x14ac:dyDescent="0.25">
      <c r="B36" s="383">
        <v>42548</v>
      </c>
      <c r="C36" s="384">
        <v>75</v>
      </c>
      <c r="D36" s="385">
        <v>75.543899999999994</v>
      </c>
      <c r="E36" s="385">
        <v>73.69</v>
      </c>
      <c r="F36" s="385">
        <f t="shared" si="3"/>
        <v>-139.04249999999968</v>
      </c>
      <c r="G36" s="385">
        <f t="shared" si="4"/>
        <v>5665.7924999999996</v>
      </c>
      <c r="H36" s="386">
        <f t="shared" si="5"/>
        <v>-2.4540697528192164E-2</v>
      </c>
      <c r="I36" s="385"/>
      <c r="W36" s="133">
        <v>42629</v>
      </c>
      <c r="X36" s="10">
        <v>76.12</v>
      </c>
      <c r="Y36" s="10">
        <v>77.05</v>
      </c>
      <c r="Z36" s="10">
        <v>75.53</v>
      </c>
      <c r="AA36" s="10">
        <v>77</v>
      </c>
      <c r="AB36" s="95">
        <v>5941700</v>
      </c>
      <c r="AC36" s="10">
        <v>76.56</v>
      </c>
      <c r="AD36" s="2">
        <f t="shared" si="0"/>
        <v>1.519999999999996</v>
      </c>
      <c r="AE36" s="138">
        <f t="shared" si="1"/>
        <v>5.2521008403361158E-3</v>
      </c>
    </row>
    <row r="37" spans="2:31" x14ac:dyDescent="0.25">
      <c r="B37" s="383">
        <v>42549</v>
      </c>
      <c r="C37" s="384">
        <v>75</v>
      </c>
      <c r="D37" s="385">
        <v>75.543899999999994</v>
      </c>
      <c r="E37" s="385">
        <v>75.430000000000007</v>
      </c>
      <c r="F37" s="385">
        <f t="shared" si="3"/>
        <v>-8.5424999999990092</v>
      </c>
      <c r="G37" s="385">
        <f t="shared" si="4"/>
        <v>5665.7924999999996</v>
      </c>
      <c r="H37" s="386">
        <f t="shared" si="5"/>
        <v>-1.5077325899243593E-3</v>
      </c>
      <c r="I37" s="385"/>
      <c r="W37" s="133">
        <v>42628</v>
      </c>
      <c r="X37" s="10">
        <v>75.099999999999994</v>
      </c>
      <c r="Y37" s="10">
        <v>76.849999999999994</v>
      </c>
      <c r="Z37" s="10">
        <v>74.41</v>
      </c>
      <c r="AA37" s="10">
        <v>76.599999999999994</v>
      </c>
      <c r="AB37" s="95">
        <v>4224700</v>
      </c>
      <c r="AC37" s="10">
        <v>76.16</v>
      </c>
      <c r="AD37" s="2">
        <f t="shared" si="0"/>
        <v>2.4399999999999977</v>
      </c>
      <c r="AE37" s="138">
        <f t="shared" si="1"/>
        <v>1.7773620205799867E-2</v>
      </c>
    </row>
    <row r="38" spans="2:31" x14ac:dyDescent="0.25">
      <c r="B38" s="383">
        <v>42550</v>
      </c>
      <c r="C38" s="384">
        <v>75</v>
      </c>
      <c r="D38" s="385">
        <v>75.543899999999994</v>
      </c>
      <c r="E38" s="385">
        <v>77.290000000000006</v>
      </c>
      <c r="F38" s="385">
        <f t="shared" ref="F38:F39" si="6">C38*(E38-D38)</f>
        <v>130.95750000000095</v>
      </c>
      <c r="G38" s="385">
        <f t="shared" ref="G38:G39" si="7">D38*C38</f>
        <v>5665.7924999999996</v>
      </c>
      <c r="H38" s="386">
        <f t="shared" ref="H38:H39" si="8">(E38-D38)/D38</f>
        <v>2.3113712688913504E-2</v>
      </c>
      <c r="I38" s="385"/>
      <c r="W38" s="133">
        <v>42627</v>
      </c>
      <c r="X38" s="10">
        <v>78.069999999999993</v>
      </c>
      <c r="Y38" s="10">
        <v>78.069999999999993</v>
      </c>
      <c r="Z38" s="10">
        <v>75.040000000000006</v>
      </c>
      <c r="AA38" s="10">
        <v>75.260000000000005</v>
      </c>
      <c r="AB38" s="95">
        <v>7329800</v>
      </c>
      <c r="AC38" s="10">
        <v>74.83</v>
      </c>
      <c r="AD38" s="2">
        <f t="shared" si="0"/>
        <v>3.0299999999999869</v>
      </c>
      <c r="AE38" s="138">
        <f t="shared" si="1"/>
        <v>-3.6192684183410595E-2</v>
      </c>
    </row>
    <row r="39" spans="2:31" x14ac:dyDescent="0.25">
      <c r="B39" s="383">
        <v>42552</v>
      </c>
      <c r="C39" s="384">
        <v>50</v>
      </c>
      <c r="D39" s="385">
        <v>74.176599999999993</v>
      </c>
      <c r="E39" s="385">
        <v>78.28</v>
      </c>
      <c r="F39" s="385">
        <f t="shared" si="6"/>
        <v>205.17000000000039</v>
      </c>
      <c r="G39" s="385">
        <f t="shared" si="7"/>
        <v>3708.8299999999995</v>
      </c>
      <c r="H39" s="386">
        <f t="shared" si="8"/>
        <v>5.5319332511870427E-2</v>
      </c>
      <c r="I39" s="385"/>
      <c r="W39" s="133">
        <v>42626</v>
      </c>
      <c r="X39" s="10">
        <v>79.19</v>
      </c>
      <c r="Y39" s="10">
        <v>79.319999999999993</v>
      </c>
      <c r="Z39" s="10">
        <v>77.63</v>
      </c>
      <c r="AA39" s="10">
        <v>78.09</v>
      </c>
      <c r="AB39" s="95">
        <v>2458800</v>
      </c>
      <c r="AC39" s="10">
        <v>77.64</v>
      </c>
      <c r="AD39" s="2">
        <f t="shared" si="0"/>
        <v>1.6899999999999977</v>
      </c>
      <c r="AE39" s="138">
        <f t="shared" si="1"/>
        <v>-2.3641851106639744E-2</v>
      </c>
    </row>
    <row r="40" spans="2:31" ht="20.25" thickBot="1" x14ac:dyDescent="0.35">
      <c r="B40" s="383">
        <v>42557</v>
      </c>
      <c r="C40" s="384">
        <v>50</v>
      </c>
      <c r="D40" s="385">
        <v>74.176599999999993</v>
      </c>
      <c r="E40" s="385">
        <v>79.989999999999995</v>
      </c>
      <c r="F40" s="385">
        <f t="shared" ref="F40" si="9">C40*(E40-D40)</f>
        <v>290.67000000000007</v>
      </c>
      <c r="G40" s="385">
        <f t="shared" ref="G40" si="10">D40*C40</f>
        <v>3708.8299999999995</v>
      </c>
      <c r="H40" s="386">
        <f t="shared" ref="H40" si="11">(E40-D40)/D40</f>
        <v>7.837242472693548E-2</v>
      </c>
      <c r="I40" s="385"/>
      <c r="O40" s="588" t="s">
        <v>78</v>
      </c>
      <c r="P40" s="588"/>
      <c r="W40" s="133">
        <v>42625</v>
      </c>
      <c r="X40" s="10">
        <v>78.489999999999995</v>
      </c>
      <c r="Y40" s="10">
        <v>80.22</v>
      </c>
      <c r="Z40" s="10">
        <v>78.400000000000006</v>
      </c>
      <c r="AA40" s="10">
        <v>79.98</v>
      </c>
      <c r="AB40" s="95">
        <v>1371200</v>
      </c>
      <c r="AC40" s="10">
        <v>79.52</v>
      </c>
      <c r="AD40" s="2">
        <f t="shared" si="0"/>
        <v>1.8199999999999932</v>
      </c>
      <c r="AE40" s="138">
        <f t="shared" si="1"/>
        <v>1.4803471158754355E-2</v>
      </c>
    </row>
    <row r="41" spans="2:31" ht="15.75" thickTop="1" x14ac:dyDescent="0.25">
      <c r="B41" s="383">
        <v>42562</v>
      </c>
      <c r="C41" s="384">
        <v>50</v>
      </c>
      <c r="D41" s="385">
        <v>74.176599999999993</v>
      </c>
      <c r="E41" s="385">
        <v>81.06</v>
      </c>
      <c r="F41" s="385">
        <f t="shared" ref="F41" si="12">C41*(E41-D41)</f>
        <v>344.17000000000041</v>
      </c>
      <c r="G41" s="385">
        <f t="shared" ref="G41" si="13">D41*C41</f>
        <v>3708.8299999999995</v>
      </c>
      <c r="H41" s="386">
        <f t="shared" ref="H41" si="14">(E41-D41)/D41</f>
        <v>9.2797459036947083E-2</v>
      </c>
      <c r="I41" s="385"/>
      <c r="O41" s="83">
        <v>1.1000000000000001</v>
      </c>
      <c r="P41" s="83">
        <f>O41*$Q$4</f>
        <v>75.525999999999996</v>
      </c>
      <c r="Q41" s="2"/>
      <c r="W41" s="133">
        <v>42622</v>
      </c>
      <c r="X41" s="10">
        <v>80.12</v>
      </c>
      <c r="Y41" s="10">
        <v>80.12</v>
      </c>
      <c r="Z41" s="10">
        <v>78.81</v>
      </c>
      <c r="AA41" s="10">
        <v>78.81</v>
      </c>
      <c r="AB41" s="95">
        <v>1869600</v>
      </c>
      <c r="AC41" s="10">
        <v>78.36</v>
      </c>
      <c r="AD41" s="2">
        <f t="shared" si="0"/>
        <v>1.3100000000000023</v>
      </c>
      <c r="AE41" s="138">
        <f t="shared" si="1"/>
        <v>-2.3551401869158939E-2</v>
      </c>
    </row>
    <row r="42" spans="2:31" ht="20.25" thickBot="1" x14ac:dyDescent="0.35">
      <c r="B42" s="383">
        <v>42566</v>
      </c>
      <c r="C42" s="384">
        <v>50</v>
      </c>
      <c r="D42" s="385">
        <v>74.176599999999993</v>
      </c>
      <c r="E42" s="385">
        <v>82.36</v>
      </c>
      <c r="F42" s="385">
        <f t="shared" ref="F42" si="15">C42*(E42-D42)</f>
        <v>409.1700000000003</v>
      </c>
      <c r="G42" s="385">
        <f t="shared" ref="G42" si="16">D42*C42</f>
        <v>3708.8299999999995</v>
      </c>
      <c r="H42" s="386">
        <f t="shared" ref="H42" si="17">(E42-D42)/D42</f>
        <v>0.11032320165658721</v>
      </c>
      <c r="I42" s="488">
        <v>72.5</v>
      </c>
      <c r="O42" s="83">
        <v>1.0900000000000001</v>
      </c>
      <c r="P42" s="83">
        <f t="shared" ref="P42:P61" si="18">O42*$Q$4</f>
        <v>74.839399999999998</v>
      </c>
      <c r="Q42" s="2"/>
      <c r="T42" s="91" t="s">
        <v>113</v>
      </c>
      <c r="W42" s="133">
        <v>42621</v>
      </c>
      <c r="X42" s="10">
        <v>81</v>
      </c>
      <c r="Y42" s="10">
        <v>81.099999999999994</v>
      </c>
      <c r="Z42" s="10">
        <v>80.52</v>
      </c>
      <c r="AA42" s="10">
        <v>80.709999999999994</v>
      </c>
      <c r="AB42" s="95">
        <v>1157900</v>
      </c>
      <c r="AC42" s="10">
        <v>80.25</v>
      </c>
      <c r="AD42" s="2">
        <f t="shared" si="0"/>
        <v>0.57999999999999829</v>
      </c>
      <c r="AE42" s="138">
        <f t="shared" si="1"/>
        <v>-5.4529681497087479E-3</v>
      </c>
    </row>
    <row r="43" spans="2:31" ht="15.75" thickTop="1" x14ac:dyDescent="0.25">
      <c r="B43" s="383">
        <v>42569</v>
      </c>
      <c r="C43" s="384">
        <v>50</v>
      </c>
      <c r="D43" s="385">
        <v>73.503200000000007</v>
      </c>
      <c r="E43" s="385">
        <v>83.21</v>
      </c>
      <c r="F43" s="385">
        <f t="shared" ref="F43" si="19">C43*(E43-D43)</f>
        <v>485.33999999999935</v>
      </c>
      <c r="G43" s="385">
        <f t="shared" ref="G43" si="20">D43*C43</f>
        <v>3675.1600000000003</v>
      </c>
      <c r="H43" s="386">
        <f t="shared" ref="H43" si="21">(E43-D43)/D43</f>
        <v>0.13205955659073326</v>
      </c>
      <c r="I43" s="385" t="s">
        <v>263</v>
      </c>
      <c r="O43" s="83">
        <v>1.08</v>
      </c>
      <c r="P43" s="83">
        <f t="shared" si="18"/>
        <v>74.152799999999999</v>
      </c>
      <c r="Q43" s="2"/>
      <c r="T43" s="128" t="s">
        <v>98</v>
      </c>
      <c r="U43" s="98">
        <v>66.89</v>
      </c>
      <c r="W43" s="133">
        <v>42620</v>
      </c>
      <c r="X43" s="10">
        <v>80.62</v>
      </c>
      <c r="Y43" s="10">
        <v>81.47</v>
      </c>
      <c r="Z43" s="10">
        <v>80.430000000000007</v>
      </c>
      <c r="AA43" s="10">
        <v>81.16</v>
      </c>
      <c r="AB43" s="95">
        <v>1438000</v>
      </c>
      <c r="AC43" s="10">
        <v>80.69</v>
      </c>
      <c r="AD43" s="2">
        <f t="shared" si="0"/>
        <v>1.039999999999992</v>
      </c>
      <c r="AE43" s="138">
        <f t="shared" si="1"/>
        <v>4.2314872433104611E-3</v>
      </c>
    </row>
    <row r="44" spans="2:31" x14ac:dyDescent="0.25">
      <c r="B44" s="383">
        <v>42570</v>
      </c>
      <c r="C44" s="384">
        <v>50</v>
      </c>
      <c r="D44" s="385">
        <v>73.503200000000007</v>
      </c>
      <c r="E44" s="385">
        <v>82.82</v>
      </c>
      <c r="F44" s="385">
        <f t="shared" ref="F44:F45" si="22">C44*(E44-D44)</f>
        <v>465.83999999999935</v>
      </c>
      <c r="G44" s="385">
        <f>D44*C44</f>
        <v>3675.1600000000003</v>
      </c>
      <c r="H44" s="386">
        <f t="shared" ref="H44:H45" si="23">(E44-D44)/D44</f>
        <v>0.12675366514655126</v>
      </c>
      <c r="I44" s="385"/>
      <c r="O44" s="83">
        <v>1.07</v>
      </c>
      <c r="P44" s="83">
        <f t="shared" si="18"/>
        <v>73.466200000000001</v>
      </c>
      <c r="Q44" s="2"/>
      <c r="T44" s="93" t="s">
        <v>99</v>
      </c>
      <c r="U44" s="88">
        <v>67.09</v>
      </c>
      <c r="W44" s="133">
        <v>42619</v>
      </c>
      <c r="X44" s="10">
        <v>79.959999999999994</v>
      </c>
      <c r="Y44" s="10">
        <v>80.87</v>
      </c>
      <c r="Z44" s="10">
        <v>79.75</v>
      </c>
      <c r="AA44" s="10">
        <v>80.81</v>
      </c>
      <c r="AB44" s="95">
        <v>2161700</v>
      </c>
      <c r="AC44" s="10">
        <v>80.349999999999994</v>
      </c>
      <c r="AD44" s="2">
        <f t="shared" si="0"/>
        <v>1.1200000000000045</v>
      </c>
      <c r="AE44" s="138">
        <f t="shared" si="1"/>
        <v>1.3624321937681261E-2</v>
      </c>
    </row>
    <row r="45" spans="2:31" x14ac:dyDescent="0.25">
      <c r="B45" s="383">
        <v>42577</v>
      </c>
      <c r="C45" s="384">
        <v>40</v>
      </c>
      <c r="D45" s="385">
        <v>71.054500000000004</v>
      </c>
      <c r="E45" s="385">
        <v>83.64</v>
      </c>
      <c r="F45" s="385">
        <f t="shared" si="22"/>
        <v>503.41999999999985</v>
      </c>
      <c r="G45" s="385">
        <f>D45*C45</f>
        <v>2842.1800000000003</v>
      </c>
      <c r="H45" s="386">
        <f t="shared" si="23"/>
        <v>0.17712460153825579</v>
      </c>
      <c r="I45" s="385"/>
      <c r="O45" s="83">
        <v>1.06</v>
      </c>
      <c r="P45" s="83">
        <f t="shared" si="18"/>
        <v>72.779600000000002</v>
      </c>
      <c r="Q45" s="2"/>
      <c r="T45" s="93" t="s">
        <v>100</v>
      </c>
      <c r="U45" s="88" t="s">
        <v>665</v>
      </c>
      <c r="W45" s="133">
        <v>42615</v>
      </c>
      <c r="X45" s="10">
        <v>80.099999999999994</v>
      </c>
      <c r="Y45" s="10">
        <v>80.14</v>
      </c>
      <c r="Z45" s="10">
        <v>79.53</v>
      </c>
      <c r="AA45" s="10">
        <v>79.73</v>
      </c>
      <c r="AB45" s="95">
        <v>1310000</v>
      </c>
      <c r="AC45" s="10">
        <v>79.27</v>
      </c>
      <c r="AD45" s="2">
        <f t="shared" si="0"/>
        <v>0.60999999999999943</v>
      </c>
      <c r="AE45" s="138">
        <f t="shared" si="1"/>
        <v>3.7859666834938466E-4</v>
      </c>
    </row>
    <row r="46" spans="2:31" x14ac:dyDescent="0.25">
      <c r="B46" s="383">
        <v>42580</v>
      </c>
      <c r="C46" s="384">
        <v>0</v>
      </c>
      <c r="D46" s="385"/>
      <c r="E46" s="385"/>
      <c r="F46" s="385">
        <v>490.95</v>
      </c>
      <c r="G46" s="385"/>
      <c r="H46" s="386"/>
      <c r="I46" s="385"/>
      <c r="O46" s="83">
        <v>1.05</v>
      </c>
      <c r="P46" s="83">
        <f t="shared" si="18"/>
        <v>72.093000000000004</v>
      </c>
      <c r="Q46" s="2"/>
      <c r="T46" s="93" t="s">
        <v>101</v>
      </c>
      <c r="U46" s="88" t="s">
        <v>666</v>
      </c>
      <c r="W46" s="133">
        <v>42614</v>
      </c>
      <c r="X46" s="10">
        <v>79.900000000000006</v>
      </c>
      <c r="Y46" s="10">
        <v>80.08</v>
      </c>
      <c r="Z46" s="10">
        <v>79.16</v>
      </c>
      <c r="AA46" s="10">
        <v>79.7</v>
      </c>
      <c r="AB46" s="95">
        <v>1638000</v>
      </c>
      <c r="AC46" s="10">
        <v>79.239999999999995</v>
      </c>
      <c r="AD46" s="2">
        <f t="shared" si="0"/>
        <v>0.92000000000000171</v>
      </c>
      <c r="AE46" s="138">
        <f t="shared" si="1"/>
        <v>3.7874005807347899E-4</v>
      </c>
    </row>
    <row r="47" spans="2:31" x14ac:dyDescent="0.25">
      <c r="O47" s="83">
        <v>1.04</v>
      </c>
      <c r="P47" s="83">
        <f t="shared" si="18"/>
        <v>71.406400000000005</v>
      </c>
      <c r="Q47" s="2"/>
      <c r="T47" s="93" t="s">
        <v>102</v>
      </c>
      <c r="U47" s="88">
        <v>88.27</v>
      </c>
      <c r="W47" s="133">
        <v>42613</v>
      </c>
      <c r="X47" s="10">
        <v>79.709999999999994</v>
      </c>
      <c r="Y47" s="10">
        <v>79.989999999999995</v>
      </c>
      <c r="Z47" s="10">
        <v>79.11</v>
      </c>
      <c r="AA47" s="10">
        <v>79.67</v>
      </c>
      <c r="AB47" s="95">
        <v>1657800</v>
      </c>
      <c r="AC47" s="10">
        <v>79.209999999999994</v>
      </c>
      <c r="AD47" s="2">
        <f t="shared" si="0"/>
        <v>0.87999999999999545</v>
      </c>
      <c r="AE47" s="138">
        <f t="shared" si="1"/>
        <v>-6.3083522583917695E-4</v>
      </c>
    </row>
    <row r="48" spans="2:31" x14ac:dyDescent="0.25">
      <c r="O48" s="83">
        <v>1.03</v>
      </c>
      <c r="P48" s="83">
        <f t="shared" si="18"/>
        <v>70.719799999999992</v>
      </c>
      <c r="Q48" s="2"/>
      <c r="T48" s="93" t="s">
        <v>103</v>
      </c>
      <c r="U48" s="88">
        <v>0.84546600000000005</v>
      </c>
      <c r="W48" s="133">
        <v>42612</v>
      </c>
      <c r="X48" s="10">
        <v>79.77</v>
      </c>
      <c r="Y48" s="10">
        <v>79.88</v>
      </c>
      <c r="Z48" s="10">
        <v>79.39</v>
      </c>
      <c r="AA48" s="10">
        <v>79.72</v>
      </c>
      <c r="AB48" s="95">
        <v>858300</v>
      </c>
      <c r="AC48" s="10">
        <v>79.260000000000005</v>
      </c>
      <c r="AD48" s="2">
        <f t="shared" si="0"/>
        <v>0.48999999999999488</v>
      </c>
      <c r="AE48" s="138">
        <f t="shared" si="1"/>
        <v>-6.3043752364133621E-4</v>
      </c>
    </row>
    <row r="49" spans="2:31" x14ac:dyDescent="0.25">
      <c r="B49" s="191" t="s">
        <v>114</v>
      </c>
      <c r="C49" s="191" t="s">
        <v>149</v>
      </c>
      <c r="D49" s="192" t="s">
        <v>148</v>
      </c>
      <c r="E49" s="194" t="s">
        <v>150</v>
      </c>
      <c r="F49" s="194" t="s">
        <v>65</v>
      </c>
      <c r="G49" s="229" t="s">
        <v>154</v>
      </c>
      <c r="H49" s="229" t="s">
        <v>88</v>
      </c>
      <c r="I49" s="229" t="s">
        <v>158</v>
      </c>
      <c r="O49" s="83">
        <v>1.02</v>
      </c>
      <c r="P49" s="83">
        <f t="shared" si="18"/>
        <v>70.033199999999994</v>
      </c>
      <c r="Q49" s="2"/>
      <c r="T49" s="93" t="s">
        <v>122</v>
      </c>
      <c r="U49" s="88" t="s">
        <v>667</v>
      </c>
      <c r="W49" s="133">
        <v>42611</v>
      </c>
      <c r="X49" s="10">
        <v>79.38</v>
      </c>
      <c r="Y49" s="10">
        <v>79.89</v>
      </c>
      <c r="Z49" s="10">
        <v>79.239999999999995</v>
      </c>
      <c r="AA49" s="10">
        <v>79.77</v>
      </c>
      <c r="AB49" s="95">
        <v>1427000</v>
      </c>
      <c r="AC49" s="10">
        <v>79.31</v>
      </c>
      <c r="AD49" s="2">
        <f t="shared" si="0"/>
        <v>0.65000000000000568</v>
      </c>
      <c r="AE49" s="138">
        <f t="shared" si="1"/>
        <v>5.3238686779060185E-3</v>
      </c>
    </row>
    <row r="50" spans="2:31" x14ac:dyDescent="0.25">
      <c r="B50" s="193">
        <v>42608</v>
      </c>
      <c r="C50" s="455">
        <v>25</v>
      </c>
      <c r="D50" s="457">
        <v>79.02</v>
      </c>
      <c r="E50" s="40">
        <v>79.349999999999994</v>
      </c>
      <c r="F50" s="40">
        <f t="shared" ref="F50" si="24">C50*(E50-D50)</f>
        <v>8.2499999999999574</v>
      </c>
      <c r="G50" s="40">
        <f t="shared" ref="G50:G55" si="25">D50*C50</f>
        <v>1975.5</v>
      </c>
      <c r="H50" s="231">
        <f t="shared" ref="H50" si="26">(E50-D50)/D50</f>
        <v>4.176157934700055E-3</v>
      </c>
      <c r="I50" s="457">
        <v>77</v>
      </c>
      <c r="O50" s="83">
        <v>1.01</v>
      </c>
      <c r="P50" s="83">
        <f t="shared" si="18"/>
        <v>69.346599999999995</v>
      </c>
      <c r="Q50" s="2"/>
      <c r="T50" s="93"/>
      <c r="U50" s="88"/>
      <c r="W50" s="133">
        <v>42608</v>
      </c>
      <c r="X50" s="10">
        <v>79.650000000000006</v>
      </c>
      <c r="Y50" s="10">
        <v>79.760000000000005</v>
      </c>
      <c r="Z50" s="10">
        <v>78.760000000000005</v>
      </c>
      <c r="AA50" s="10">
        <v>79.349999999999994</v>
      </c>
      <c r="AB50" s="95">
        <v>1743700</v>
      </c>
      <c r="AC50" s="10">
        <v>78.89</v>
      </c>
      <c r="AD50" s="2">
        <f t="shared" si="0"/>
        <v>1</v>
      </c>
      <c r="AE50" s="138">
        <f t="shared" si="1"/>
        <v>-1.2674271229407008E-4</v>
      </c>
    </row>
    <row r="51" spans="2:31" x14ac:dyDescent="0.25">
      <c r="B51" s="193">
        <v>42611</v>
      </c>
      <c r="C51" s="10">
        <v>25</v>
      </c>
      <c r="D51" s="40">
        <v>79.02</v>
      </c>
      <c r="E51" s="40">
        <v>79.77</v>
      </c>
      <c r="F51" s="40">
        <f t="shared" ref="F51" si="27">C51*(E51-D51)</f>
        <v>18.75</v>
      </c>
      <c r="G51" s="40">
        <f t="shared" si="25"/>
        <v>1975.5</v>
      </c>
      <c r="H51" s="231">
        <f t="shared" ref="H51" si="28">(E51-D51)/D51</f>
        <v>9.4912680334092638E-3</v>
      </c>
      <c r="I51" s="40"/>
      <c r="O51" s="83">
        <v>1</v>
      </c>
      <c r="P51" s="83">
        <f t="shared" si="18"/>
        <v>68.66</v>
      </c>
      <c r="Q51" s="2"/>
      <c r="T51" s="93" t="s">
        <v>105</v>
      </c>
      <c r="U51" s="88" t="s">
        <v>668</v>
      </c>
      <c r="W51" s="133">
        <v>42607</v>
      </c>
      <c r="X51" s="10">
        <v>80.77</v>
      </c>
      <c r="Y51" s="10">
        <v>80.88</v>
      </c>
      <c r="Z51" s="10">
        <v>79.27</v>
      </c>
      <c r="AA51" s="10">
        <v>79.36</v>
      </c>
      <c r="AB51" s="95">
        <v>2097000</v>
      </c>
      <c r="AC51" s="10">
        <v>78.900000000000006</v>
      </c>
      <c r="AD51" s="2">
        <f t="shared" si="0"/>
        <v>1.6099999999999994</v>
      </c>
      <c r="AE51" s="138">
        <f t="shared" si="1"/>
        <v>-2.1213248976553745E-2</v>
      </c>
    </row>
    <row r="52" spans="2:31" x14ac:dyDescent="0.25">
      <c r="B52" s="193">
        <v>42619</v>
      </c>
      <c r="C52" s="10">
        <v>25</v>
      </c>
      <c r="D52" s="40">
        <v>79.02</v>
      </c>
      <c r="E52" s="40">
        <v>80.81</v>
      </c>
      <c r="F52" s="40">
        <f t="shared" ref="F52" si="29">C52*(E52-D52)</f>
        <v>44.750000000000156</v>
      </c>
      <c r="G52" s="40">
        <f t="shared" si="25"/>
        <v>1975.5</v>
      </c>
      <c r="H52" s="231">
        <f t="shared" ref="H52" si="30">(E52-D52)/D52</f>
        <v>2.2652493039736855E-2</v>
      </c>
      <c r="I52" s="40"/>
      <c r="O52" s="83">
        <v>0.99</v>
      </c>
      <c r="P52" s="83">
        <f t="shared" si="18"/>
        <v>67.973399999999998</v>
      </c>
      <c r="Q52" s="2"/>
      <c r="T52" s="93" t="s">
        <v>106</v>
      </c>
      <c r="U52" s="88" t="s">
        <v>423</v>
      </c>
      <c r="W52" s="133">
        <v>42606</v>
      </c>
      <c r="X52" s="10">
        <v>81.849999999999994</v>
      </c>
      <c r="Y52" s="10">
        <v>82.01</v>
      </c>
      <c r="Z52" s="10">
        <v>80.87</v>
      </c>
      <c r="AA52" s="10">
        <v>81.08</v>
      </c>
      <c r="AB52" s="95">
        <v>1262100</v>
      </c>
      <c r="AC52" s="10">
        <v>80.61</v>
      </c>
      <c r="AD52" s="2">
        <f t="shared" si="0"/>
        <v>1.1400000000000006</v>
      </c>
      <c r="AE52" s="138">
        <f t="shared" si="1"/>
        <v>-1.1526670754138491E-2</v>
      </c>
    </row>
    <row r="53" spans="2:31" x14ac:dyDescent="0.25">
      <c r="B53" s="193">
        <v>42620</v>
      </c>
      <c r="C53" s="10">
        <v>25</v>
      </c>
      <c r="D53" s="40">
        <v>79.02</v>
      </c>
      <c r="E53" s="40">
        <v>81.16</v>
      </c>
      <c r="F53" s="40">
        <f t="shared" ref="F53" si="31">C53*(E53-D53)</f>
        <v>53.500000000000014</v>
      </c>
      <c r="G53" s="40">
        <f t="shared" si="25"/>
        <v>1975.5</v>
      </c>
      <c r="H53" s="231">
        <f t="shared" ref="H53" si="32">(E53-D53)/D53</f>
        <v>2.7081751455327773E-2</v>
      </c>
      <c r="I53" s="40"/>
      <c r="O53" s="83">
        <v>0.98</v>
      </c>
      <c r="P53" s="83">
        <f t="shared" si="18"/>
        <v>67.286799999999999</v>
      </c>
      <c r="Q53" s="2"/>
      <c r="T53" s="93" t="s">
        <v>107</v>
      </c>
      <c r="U53" s="90">
        <v>4877803</v>
      </c>
      <c r="W53" s="133">
        <v>42605</v>
      </c>
      <c r="X53" s="10">
        <v>82.39</v>
      </c>
      <c r="Y53" s="10">
        <v>82.56</v>
      </c>
      <c r="Z53" s="10">
        <v>82</v>
      </c>
      <c r="AA53" s="10">
        <v>82.02</v>
      </c>
      <c r="AB53" s="95">
        <v>899300</v>
      </c>
      <c r="AC53" s="10">
        <v>81.55</v>
      </c>
      <c r="AD53" s="2">
        <f t="shared" si="0"/>
        <v>0.56000000000000227</v>
      </c>
      <c r="AE53" s="138">
        <f t="shared" si="1"/>
        <v>-1.5915768854065648E-3</v>
      </c>
    </row>
    <row r="54" spans="2:31" x14ac:dyDescent="0.25">
      <c r="B54" s="193">
        <v>42621</v>
      </c>
      <c r="C54" s="10">
        <v>25</v>
      </c>
      <c r="D54" s="40">
        <v>79.02</v>
      </c>
      <c r="E54" s="40">
        <v>80.709999999999994</v>
      </c>
      <c r="F54" s="40">
        <f t="shared" ref="F54" si="33">C54*(E54-D54)</f>
        <v>42.249999999999943</v>
      </c>
      <c r="G54" s="40">
        <f t="shared" si="25"/>
        <v>1975.5</v>
      </c>
      <c r="H54" s="231">
        <f t="shared" ref="H54" si="34">(E54-D54)/D54</f>
        <v>2.1386990635282179E-2</v>
      </c>
      <c r="I54" s="40"/>
      <c r="O54" s="83">
        <v>0.97</v>
      </c>
      <c r="P54" s="83">
        <f t="shared" si="18"/>
        <v>66.600200000000001</v>
      </c>
      <c r="T54" s="93" t="s">
        <v>110</v>
      </c>
      <c r="U54" s="90">
        <v>2322820</v>
      </c>
      <c r="W54" s="133">
        <v>42604</v>
      </c>
      <c r="X54" s="10">
        <v>81.73</v>
      </c>
      <c r="Y54" s="10">
        <v>82.26</v>
      </c>
      <c r="Z54" s="10">
        <v>81.56</v>
      </c>
      <c r="AA54" s="10">
        <v>82.15</v>
      </c>
      <c r="AB54" s="95">
        <v>1349900</v>
      </c>
      <c r="AC54" s="10">
        <v>81.680000000000007</v>
      </c>
      <c r="AD54" s="2">
        <f t="shared" si="0"/>
        <v>0.70000000000000284</v>
      </c>
      <c r="AE54" s="138">
        <f t="shared" si="1"/>
        <v>5.2923076923077073E-3</v>
      </c>
    </row>
    <row r="55" spans="2:31" x14ac:dyDescent="0.25">
      <c r="B55" s="193">
        <v>42622</v>
      </c>
      <c r="C55" s="10">
        <v>25</v>
      </c>
      <c r="D55" s="40">
        <v>79.02</v>
      </c>
      <c r="E55" s="40">
        <v>78.81</v>
      </c>
      <c r="F55" s="40">
        <f t="shared" ref="F55" si="35">C55*(E55-D55)</f>
        <v>-5.2499999999998437</v>
      </c>
      <c r="G55" s="40">
        <f t="shared" si="25"/>
        <v>1975.5</v>
      </c>
      <c r="H55" s="231">
        <f t="shared" ref="H55" si="36">(E55-D55)/D55</f>
        <v>-2.6575550493545146E-3</v>
      </c>
      <c r="I55" s="40"/>
      <c r="O55" s="83">
        <v>0.96</v>
      </c>
      <c r="P55" s="83">
        <f t="shared" si="18"/>
        <v>65.913599999999988</v>
      </c>
      <c r="T55" s="93" t="s">
        <v>108</v>
      </c>
      <c r="U55" s="88" t="s">
        <v>669</v>
      </c>
      <c r="W55" s="133">
        <v>42601</v>
      </c>
      <c r="X55" s="10">
        <v>82.12</v>
      </c>
      <c r="Y55" s="10">
        <v>82.36</v>
      </c>
      <c r="Z55" s="10">
        <v>81.56</v>
      </c>
      <c r="AA55" s="10">
        <v>81.72</v>
      </c>
      <c r="AB55" s="95">
        <v>2054800</v>
      </c>
      <c r="AC55" s="10">
        <v>81.25</v>
      </c>
      <c r="AD55" s="2">
        <f t="shared" si="0"/>
        <v>0.79999999999999716</v>
      </c>
      <c r="AE55" s="138">
        <f t="shared" si="1"/>
        <v>-8.541793776693174E-3</v>
      </c>
    </row>
    <row r="56" spans="2:31" x14ac:dyDescent="0.25">
      <c r="B56" s="193">
        <v>42625</v>
      </c>
      <c r="C56" s="10">
        <v>25</v>
      </c>
      <c r="D56" s="40">
        <v>79.02</v>
      </c>
      <c r="E56" s="40">
        <v>79.98</v>
      </c>
      <c r="F56" s="40">
        <f t="shared" ref="F56:F57" si="37">C56*(E56-D56)</f>
        <v>24.000000000000199</v>
      </c>
      <c r="G56" s="40">
        <f t="shared" ref="G56:G57" si="38">D56*C56</f>
        <v>1975.5</v>
      </c>
      <c r="H56" s="231">
        <f t="shared" ref="H56:H57" si="39">(E56-D56)/D56</f>
        <v>1.2148823082763958E-2</v>
      </c>
      <c r="I56" s="40"/>
      <c r="O56" s="83">
        <v>0.95</v>
      </c>
      <c r="P56" s="83">
        <f t="shared" si="18"/>
        <v>65.22699999999999</v>
      </c>
      <c r="T56" s="93" t="s">
        <v>111</v>
      </c>
      <c r="U56" s="88">
        <v>15.89</v>
      </c>
      <c r="W56" s="133">
        <v>42600</v>
      </c>
      <c r="X56" s="10">
        <v>82.61</v>
      </c>
      <c r="Y56" s="10">
        <v>82.93</v>
      </c>
      <c r="Z56" s="10">
        <v>82.34</v>
      </c>
      <c r="AA56" s="10">
        <v>82.42</v>
      </c>
      <c r="AB56" s="95">
        <v>1541100</v>
      </c>
      <c r="AC56" s="10">
        <v>81.95</v>
      </c>
      <c r="AD56" s="2">
        <f t="shared" si="0"/>
        <v>0.59000000000000341</v>
      </c>
      <c r="AE56" s="138">
        <f t="shared" si="1"/>
        <v>-4.3737091483416757E-3</v>
      </c>
    </row>
    <row r="57" spans="2:31" x14ac:dyDescent="0.25">
      <c r="B57" s="193">
        <v>42627</v>
      </c>
      <c r="C57" s="7">
        <v>50</v>
      </c>
      <c r="D57" s="44">
        <v>77.66</v>
      </c>
      <c r="E57" s="40">
        <v>75.260000000000005</v>
      </c>
      <c r="F57" s="40">
        <f t="shared" si="37"/>
        <v>-119.99999999999957</v>
      </c>
      <c r="G57" s="40">
        <f t="shared" si="38"/>
        <v>3883</v>
      </c>
      <c r="H57" s="231">
        <f t="shared" si="39"/>
        <v>-3.0903940252382071E-2</v>
      </c>
      <c r="I57" s="44">
        <v>77</v>
      </c>
      <c r="O57" s="83">
        <v>0.94</v>
      </c>
      <c r="P57" s="83">
        <f t="shared" si="18"/>
        <v>64.540399999999991</v>
      </c>
      <c r="T57" s="93" t="s">
        <v>112</v>
      </c>
      <c r="U57" s="88">
        <v>4.32</v>
      </c>
      <c r="W57" s="133">
        <v>42599</v>
      </c>
      <c r="X57" s="10">
        <v>82.88</v>
      </c>
      <c r="Y57" s="10">
        <v>82.99</v>
      </c>
      <c r="Z57" s="10">
        <v>82.12</v>
      </c>
      <c r="AA57" s="10">
        <v>82.78</v>
      </c>
      <c r="AB57" s="95">
        <v>1491900</v>
      </c>
      <c r="AC57" s="10">
        <v>82.31</v>
      </c>
      <c r="AD57" s="2">
        <f t="shared" si="0"/>
        <v>0.86999999999999034</v>
      </c>
      <c r="AE57" s="138">
        <f t="shared" si="1"/>
        <v>1.2163970319913897E-3</v>
      </c>
    </row>
    <row r="58" spans="2:31" x14ac:dyDescent="0.25">
      <c r="B58" s="193">
        <v>42628</v>
      </c>
      <c r="C58" s="10">
        <v>50</v>
      </c>
      <c r="D58" s="40">
        <v>77.66</v>
      </c>
      <c r="E58" s="40">
        <v>76.599999999999994</v>
      </c>
      <c r="F58" s="40">
        <f t="shared" ref="F58" si="40">C58*(E58-D58)</f>
        <v>-53.000000000000114</v>
      </c>
      <c r="G58" s="40">
        <f t="shared" ref="G58" si="41">D58*C58</f>
        <v>3883</v>
      </c>
      <c r="H58" s="231">
        <f t="shared" ref="H58" si="42">(E58-D58)/D58</f>
        <v>-1.3649240278135492E-2</v>
      </c>
      <c r="I58" s="40"/>
      <c r="O58" s="83">
        <v>0.93</v>
      </c>
      <c r="P58" s="83">
        <f t="shared" si="18"/>
        <v>63.8538</v>
      </c>
      <c r="T58" s="93" t="s">
        <v>109</v>
      </c>
      <c r="U58" s="88" t="s">
        <v>454</v>
      </c>
      <c r="W58" s="133">
        <v>42598</v>
      </c>
      <c r="X58" s="10">
        <v>83</v>
      </c>
      <c r="Y58" s="10">
        <v>83.18</v>
      </c>
      <c r="Z58" s="10">
        <v>82.65</v>
      </c>
      <c r="AA58" s="10">
        <v>82.68</v>
      </c>
      <c r="AB58" s="95">
        <v>1059700</v>
      </c>
      <c r="AC58" s="10">
        <v>82.21</v>
      </c>
      <c r="AD58" s="2">
        <f t="shared" si="0"/>
        <v>0.53000000000000114</v>
      </c>
      <c r="AE58" s="138">
        <f t="shared" si="1"/>
        <v>-6.0452182323781356E-3</v>
      </c>
    </row>
    <row r="59" spans="2:31" x14ac:dyDescent="0.25">
      <c r="B59" s="193">
        <v>42629</v>
      </c>
      <c r="C59" s="10">
        <v>50</v>
      </c>
      <c r="D59" s="40">
        <v>77.66</v>
      </c>
      <c r="E59" s="40">
        <v>77</v>
      </c>
      <c r="F59" s="40">
        <f t="shared" ref="F59" si="43">C59*(E59-D59)</f>
        <v>-32.999999999999829</v>
      </c>
      <c r="G59" s="40">
        <f t="shared" ref="G59" si="44">D59*C59</f>
        <v>3883</v>
      </c>
      <c r="H59" s="231">
        <f t="shared" ref="H59" si="45">(E59-D59)/D59</f>
        <v>-8.4985835694050549E-3</v>
      </c>
      <c r="I59" s="40"/>
      <c r="O59" s="83">
        <v>0.92</v>
      </c>
      <c r="P59" s="83">
        <f t="shared" si="18"/>
        <v>63.167200000000001</v>
      </c>
      <c r="W59" s="133">
        <v>42597</v>
      </c>
      <c r="X59" s="10">
        <v>83.25</v>
      </c>
      <c r="Y59" s="10">
        <v>83.49</v>
      </c>
      <c r="Z59" s="10">
        <v>83.05</v>
      </c>
      <c r="AA59" s="10">
        <v>83.19</v>
      </c>
      <c r="AB59" s="95">
        <v>1392900</v>
      </c>
      <c r="AC59" s="10">
        <v>82.71</v>
      </c>
      <c r="AD59" s="2">
        <f t="shared" si="0"/>
        <v>0.43999999999999773</v>
      </c>
      <c r="AE59" s="138">
        <f t="shared" si="1"/>
        <v>-4.9326275264678365E-3</v>
      </c>
    </row>
    <row r="60" spans="2:31" x14ac:dyDescent="0.25">
      <c r="B60" s="193">
        <v>42635</v>
      </c>
      <c r="C60" s="10">
        <v>50</v>
      </c>
      <c r="D60" s="40">
        <v>77.66</v>
      </c>
      <c r="E60" s="40">
        <v>77.56</v>
      </c>
      <c r="F60" s="40">
        <f t="shared" ref="F60" si="46">C60*(E60-D60)</f>
        <v>-4.9999999999997158</v>
      </c>
      <c r="G60" s="40">
        <f t="shared" ref="G60" si="47">D60*C60</f>
        <v>3883</v>
      </c>
      <c r="H60" s="231">
        <f t="shared" ref="H60" si="48">(E60-D60)/D60</f>
        <v>-1.2876641771825176E-3</v>
      </c>
      <c r="I60" s="40"/>
      <c r="O60" s="83">
        <v>0.91</v>
      </c>
      <c r="P60" s="83">
        <f t="shared" si="18"/>
        <v>62.480600000000003</v>
      </c>
      <c r="W60" s="133">
        <v>42594</v>
      </c>
      <c r="X60" s="10">
        <v>83.55</v>
      </c>
      <c r="Y60" s="10">
        <v>83.66</v>
      </c>
      <c r="Z60" s="10">
        <v>83.12</v>
      </c>
      <c r="AA60" s="10">
        <v>83.6</v>
      </c>
      <c r="AB60" s="95">
        <v>1025600</v>
      </c>
      <c r="AC60" s="10">
        <v>83.12</v>
      </c>
      <c r="AD60" s="2">
        <f t="shared" si="0"/>
        <v>0.53999999999999204</v>
      </c>
      <c r="AE60" s="138">
        <f t="shared" si="1"/>
        <v>-1.2029351617937056E-4</v>
      </c>
    </row>
    <row r="61" spans="2:31" x14ac:dyDescent="0.25">
      <c r="B61" s="193">
        <v>42640</v>
      </c>
      <c r="C61" s="10">
        <v>50</v>
      </c>
      <c r="D61" s="40">
        <v>77.66</v>
      </c>
      <c r="E61" s="40">
        <v>78.14</v>
      </c>
      <c r="F61" s="40">
        <f t="shared" ref="F61" si="49">C61*(E61-D61)</f>
        <v>24.000000000000199</v>
      </c>
      <c r="G61" s="40">
        <f t="shared" ref="G61" si="50">D61*C61</f>
        <v>3883</v>
      </c>
      <c r="H61" s="231">
        <f t="shared" ref="H61" si="51">(E61-D61)/D61</f>
        <v>6.1807880504764871E-3</v>
      </c>
      <c r="I61" s="40"/>
      <c r="O61" s="83">
        <v>0.9</v>
      </c>
      <c r="P61" s="83">
        <f t="shared" si="18"/>
        <v>61.793999999999997</v>
      </c>
      <c r="W61" s="133">
        <v>42593</v>
      </c>
      <c r="X61" s="10">
        <v>83.69</v>
      </c>
      <c r="Y61" s="10">
        <v>83.73</v>
      </c>
      <c r="Z61" s="10">
        <v>82.65</v>
      </c>
      <c r="AA61" s="10">
        <v>83.61</v>
      </c>
      <c r="AB61" s="95">
        <v>1176000</v>
      </c>
      <c r="AC61" s="10">
        <v>83.13</v>
      </c>
      <c r="AD61" s="2">
        <f t="shared" si="0"/>
        <v>1.0799999999999983</v>
      </c>
      <c r="AE61" s="138">
        <f t="shared" si="1"/>
        <v>7.2228241242333624E-4</v>
      </c>
    </row>
    <row r="62" spans="2:31" x14ac:dyDescent="0.25">
      <c r="B62" s="193">
        <v>42646</v>
      </c>
      <c r="C62" s="10">
        <v>50</v>
      </c>
      <c r="D62" s="40">
        <v>77.66</v>
      </c>
      <c r="E62" s="40">
        <v>75.790000000000006</v>
      </c>
      <c r="F62" s="40">
        <f t="shared" ref="F62" si="52">C62*(E62-D62)</f>
        <v>-93.499999999999517</v>
      </c>
      <c r="G62" s="40">
        <f t="shared" ref="G62" si="53">D62*C62</f>
        <v>3883</v>
      </c>
      <c r="H62" s="231">
        <f t="shared" ref="H62" si="54">(E62-D62)/D62</f>
        <v>-2.4079320113314324E-2</v>
      </c>
      <c r="I62" s="40"/>
      <c r="W62" s="133">
        <v>42592</v>
      </c>
      <c r="X62" s="10">
        <v>83.8</v>
      </c>
      <c r="Y62" s="10">
        <v>83.98</v>
      </c>
      <c r="Z62" s="10">
        <v>83.24</v>
      </c>
      <c r="AA62" s="10">
        <v>83.55</v>
      </c>
      <c r="AB62" s="95">
        <v>2212300</v>
      </c>
      <c r="AC62" s="10">
        <v>83.07</v>
      </c>
      <c r="AD62" s="2">
        <f t="shared" si="0"/>
        <v>0.74000000000000909</v>
      </c>
      <c r="AE62" s="138">
        <f t="shared" si="1"/>
        <v>-3.0004800768123063E-3</v>
      </c>
    </row>
    <row r="63" spans="2:31" x14ac:dyDescent="0.25">
      <c r="B63" s="193">
        <v>42649</v>
      </c>
      <c r="C63" s="10">
        <v>50</v>
      </c>
      <c r="D63" s="40">
        <v>77.66</v>
      </c>
      <c r="E63" s="40">
        <v>76.709999999999994</v>
      </c>
      <c r="F63" s="40">
        <f t="shared" ref="F63" si="55">C63*(E63-D63)</f>
        <v>-47.500000000000142</v>
      </c>
      <c r="G63" s="40">
        <f t="shared" ref="G63" si="56">D63*C63</f>
        <v>3883</v>
      </c>
      <c r="H63" s="231">
        <f t="shared" ref="H63" si="57">(E63-D63)/D63</f>
        <v>-1.223280968323465E-2</v>
      </c>
      <c r="I63" s="40"/>
      <c r="W63" s="133">
        <v>42591</v>
      </c>
      <c r="X63" s="10">
        <v>83.91</v>
      </c>
      <c r="Y63" s="10">
        <v>84.05</v>
      </c>
      <c r="Z63" s="10">
        <v>83.56</v>
      </c>
      <c r="AA63" s="10">
        <v>83.8</v>
      </c>
      <c r="AB63" s="95">
        <v>1354700</v>
      </c>
      <c r="AC63" s="10">
        <v>83.32</v>
      </c>
      <c r="AD63" s="2">
        <f t="shared" si="0"/>
        <v>0.48999999999999488</v>
      </c>
      <c r="AE63" s="138">
        <f t="shared" si="1"/>
        <v>2.4009603841523841E-4</v>
      </c>
    </row>
    <row r="64" spans="2:31" x14ac:dyDescent="0.25">
      <c r="B64" s="193">
        <v>42661</v>
      </c>
      <c r="C64" s="7">
        <v>50</v>
      </c>
      <c r="D64" s="44">
        <v>77.210999999999999</v>
      </c>
      <c r="E64" s="40">
        <v>75.73</v>
      </c>
      <c r="F64" s="40">
        <f t="shared" ref="F64:F68" si="58">C64*(E64-D64)</f>
        <v>-74.049999999999727</v>
      </c>
      <c r="G64" s="40">
        <f t="shared" ref="G64:G68" si="59">D64*C64</f>
        <v>3860.5499999999997</v>
      </c>
      <c r="H64" s="231">
        <f t="shared" ref="H64:H68" si="60">(E64-D64)/D64</f>
        <v>-1.9181204750618366E-2</v>
      </c>
      <c r="I64" s="44">
        <v>77</v>
      </c>
      <c r="W64" s="133">
        <v>42590</v>
      </c>
      <c r="X64" s="10">
        <v>84.64</v>
      </c>
      <c r="Y64" s="10">
        <v>84.7</v>
      </c>
      <c r="Z64" s="10">
        <v>83.61</v>
      </c>
      <c r="AA64" s="10">
        <v>83.78</v>
      </c>
      <c r="AB64" s="95">
        <v>1214600</v>
      </c>
      <c r="AC64" s="10">
        <v>83.3</v>
      </c>
      <c r="AD64" s="2">
        <f t="shared" si="0"/>
        <v>1.0900000000000034</v>
      </c>
      <c r="AE64" s="138">
        <f t="shared" si="1"/>
        <v>-6.9146399618502663E-3</v>
      </c>
    </row>
    <row r="65" spans="2:31" x14ac:dyDescent="0.25">
      <c r="B65" s="193">
        <v>42662</v>
      </c>
      <c r="C65" s="10">
        <v>50</v>
      </c>
      <c r="D65" s="40">
        <v>77.210999999999999</v>
      </c>
      <c r="E65" s="40">
        <v>75.209999999999994</v>
      </c>
      <c r="F65" s="40">
        <f t="shared" si="58"/>
        <v>-100.05000000000024</v>
      </c>
      <c r="G65" s="40">
        <f t="shared" si="59"/>
        <v>3860.5499999999997</v>
      </c>
      <c r="H65" s="231">
        <f t="shared" si="60"/>
        <v>-2.5915996425379867E-2</v>
      </c>
      <c r="I65" s="40"/>
      <c r="W65" s="133">
        <v>42587</v>
      </c>
      <c r="X65" s="10">
        <v>84</v>
      </c>
      <c r="Y65" s="10">
        <v>84.74</v>
      </c>
      <c r="Z65" s="10">
        <v>83.69</v>
      </c>
      <c r="AA65" s="10">
        <v>84.36</v>
      </c>
      <c r="AB65" s="95">
        <v>1492800</v>
      </c>
      <c r="AC65" s="10">
        <v>83.88</v>
      </c>
      <c r="AD65" s="2">
        <f t="shared" si="0"/>
        <v>1.0499999999999972</v>
      </c>
      <c r="AE65" s="138">
        <f t="shared" si="1"/>
        <v>9.3862815884475648E-3</v>
      </c>
    </row>
    <row r="66" spans="2:31" x14ac:dyDescent="0.25">
      <c r="B66" s="193">
        <v>42668</v>
      </c>
      <c r="C66" s="10">
        <v>75</v>
      </c>
      <c r="D66" s="40">
        <v>76.267300000000006</v>
      </c>
      <c r="E66" s="40">
        <v>74.91</v>
      </c>
      <c r="F66" s="40">
        <f t="shared" si="58"/>
        <v>-101.7975000000007</v>
      </c>
      <c r="G66" s="40">
        <f t="shared" si="59"/>
        <v>5720.0475000000006</v>
      </c>
      <c r="H66" s="231">
        <f t="shared" si="60"/>
        <v>-1.7796617947665766E-2</v>
      </c>
      <c r="I66" s="40"/>
      <c r="W66" s="133">
        <v>42586</v>
      </c>
      <c r="X66" s="10">
        <v>84.52</v>
      </c>
      <c r="Y66" s="10">
        <v>84.8</v>
      </c>
      <c r="Z66" s="10">
        <v>83.51</v>
      </c>
      <c r="AA66" s="10">
        <v>83.58</v>
      </c>
      <c r="AB66" s="95">
        <v>1793500</v>
      </c>
      <c r="AC66" s="10">
        <v>83.1</v>
      </c>
      <c r="AD66" s="2">
        <f t="shared" si="0"/>
        <v>1.289999999999992</v>
      </c>
      <c r="AE66" s="138">
        <f t="shared" si="1"/>
        <v>-1.2477718360071388E-2</v>
      </c>
    </row>
    <row r="67" spans="2:31" x14ac:dyDescent="0.25">
      <c r="B67" s="193">
        <v>42671</v>
      </c>
      <c r="C67" s="459">
        <v>100</v>
      </c>
      <c r="D67" s="460">
        <v>73.375500000000002</v>
      </c>
      <c r="E67" s="40">
        <v>67.5</v>
      </c>
      <c r="F67" s="40">
        <f t="shared" si="58"/>
        <v>-587.55000000000018</v>
      </c>
      <c r="G67" s="40">
        <f t="shared" si="59"/>
        <v>7337.55</v>
      </c>
      <c r="H67" s="231">
        <f t="shared" si="60"/>
        <v>-8.0074411758693329E-2</v>
      </c>
      <c r="I67" s="40"/>
      <c r="W67" s="133">
        <v>42585</v>
      </c>
      <c r="X67" s="10">
        <v>84.74</v>
      </c>
      <c r="Y67" s="10">
        <v>84.9</v>
      </c>
      <c r="Z67" s="10">
        <v>83.24</v>
      </c>
      <c r="AA67" s="10">
        <v>84.64</v>
      </c>
      <c r="AB67" s="95">
        <v>2616500</v>
      </c>
      <c r="AC67" s="10">
        <v>84.15</v>
      </c>
      <c r="AD67" s="2">
        <f>Y67-Z67</f>
        <v>1.6600000000000108</v>
      </c>
      <c r="AE67" s="138" t="e">
        <f>AC67/#REF!-1</f>
        <v>#REF!</v>
      </c>
    </row>
    <row r="68" spans="2:31" x14ac:dyDescent="0.25">
      <c r="B68" s="193">
        <v>42674</v>
      </c>
      <c r="C68" s="459">
        <v>100</v>
      </c>
      <c r="D68" s="460">
        <v>73.070899999999995</v>
      </c>
      <c r="E68" s="40">
        <v>68.69</v>
      </c>
      <c r="F68" s="40">
        <f t="shared" si="58"/>
        <v>-438.08999999999969</v>
      </c>
      <c r="G68" s="40">
        <f t="shared" si="59"/>
        <v>7307.0899999999992</v>
      </c>
      <c r="H68" s="231">
        <f t="shared" si="60"/>
        <v>-5.9954099374716845E-2</v>
      </c>
      <c r="I68" s="40"/>
      <c r="W68" s="133">
        <v>42584</v>
      </c>
      <c r="X68" s="10">
        <v>83.04</v>
      </c>
      <c r="Y68" s="10">
        <v>85.52</v>
      </c>
      <c r="Z68" s="10">
        <v>82.01</v>
      </c>
      <c r="AA68" s="10">
        <v>84.92</v>
      </c>
      <c r="AB68" s="95">
        <v>4813800</v>
      </c>
      <c r="AC68" s="10">
        <v>84.43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71" spans="2:31" x14ac:dyDescent="0.25">
      <c r="B71" s="193"/>
      <c r="C71" s="10"/>
      <c r="D71" s="40"/>
      <c r="E71" s="40"/>
      <c r="F71" s="40"/>
      <c r="G71" s="40"/>
      <c r="H71" s="231"/>
      <c r="I71" s="40"/>
    </row>
    <row r="72" spans="2:31" x14ac:dyDescent="0.25">
      <c r="B72" s="193"/>
      <c r="C72" s="10"/>
      <c r="D72" s="40"/>
      <c r="E72" s="40"/>
      <c r="F72" s="40"/>
      <c r="G72" s="40"/>
      <c r="H72" s="231"/>
      <c r="I72" s="40"/>
    </row>
    <row r="73" spans="2:31" x14ac:dyDescent="0.25">
      <c r="B73" s="193"/>
      <c r="C73" s="10"/>
      <c r="D73" s="40"/>
      <c r="E73" s="40"/>
      <c r="F73" s="40"/>
      <c r="G73" s="40"/>
      <c r="H73" s="231"/>
      <c r="I73" s="40"/>
    </row>
    <row r="74" spans="2:31" x14ac:dyDescent="0.25">
      <c r="B74" s="193"/>
      <c r="C74" s="10"/>
      <c r="D74" s="40"/>
      <c r="E74" s="40"/>
      <c r="F74" s="40"/>
      <c r="G74" s="40"/>
      <c r="H74" s="231"/>
      <c r="I74" s="40"/>
    </row>
    <row r="75" spans="2:31" x14ac:dyDescent="0.25">
      <c r="B75" s="193"/>
      <c r="C75" s="10"/>
      <c r="D75" s="40"/>
      <c r="E75" s="40"/>
      <c r="F75" s="40"/>
      <c r="G75" s="40"/>
      <c r="H75" s="231"/>
      <c r="I75" s="40"/>
    </row>
    <row r="76" spans="2:31" x14ac:dyDescent="0.25">
      <c r="B76" s="193"/>
      <c r="C76" s="10"/>
      <c r="D76" s="40"/>
      <c r="E76" s="40"/>
      <c r="F76" s="40"/>
      <c r="G76" s="40"/>
      <c r="H76" s="231"/>
      <c r="I76" s="40"/>
    </row>
    <row r="77" spans="2:31" x14ac:dyDescent="0.25">
      <c r="B77" s="193"/>
      <c r="C77" s="10"/>
      <c r="D77" s="40"/>
      <c r="E77" s="40"/>
      <c r="F77" s="40"/>
      <c r="G77" s="40"/>
      <c r="H77" s="231"/>
      <c r="I77" s="40"/>
    </row>
    <row r="78" spans="2:31" x14ac:dyDescent="0.25">
      <c r="B78" s="193"/>
      <c r="C78" s="10"/>
      <c r="D78" s="40"/>
      <c r="E78" s="40"/>
      <c r="F78" s="40"/>
      <c r="G78" s="40"/>
      <c r="H78" s="231"/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4" spans="1:13" x14ac:dyDescent="0.25">
      <c r="L84" t="s">
        <v>65</v>
      </c>
      <c r="M84" s="2">
        <f>M102+K102-F102</f>
        <v>490.94999999999891</v>
      </c>
    </row>
    <row r="85" spans="1:13" x14ac:dyDescent="0.25">
      <c r="A85" s="390" t="s">
        <v>1</v>
      </c>
      <c r="B85" s="390" t="s">
        <v>2</v>
      </c>
      <c r="C85" s="390" t="s">
        <v>4</v>
      </c>
      <c r="D85" s="392" t="s">
        <v>5</v>
      </c>
      <c r="E85" s="392" t="s">
        <v>94</v>
      </c>
      <c r="F85" s="392" t="s">
        <v>60</v>
      </c>
      <c r="G85" s="390" t="s">
        <v>3</v>
      </c>
      <c r="H85" s="390" t="s">
        <v>6</v>
      </c>
      <c r="I85" s="392" t="s">
        <v>7</v>
      </c>
      <c r="J85" s="392" t="s">
        <v>95</v>
      </c>
      <c r="K85" s="392" t="s">
        <v>61</v>
      </c>
      <c r="L85" s="390" t="s">
        <v>37</v>
      </c>
      <c r="M85" s="390" t="s">
        <v>38</v>
      </c>
    </row>
    <row r="86" spans="1:13" x14ac:dyDescent="0.25">
      <c r="A86" s="393" t="s">
        <v>52</v>
      </c>
      <c r="B86" s="383">
        <v>42488</v>
      </c>
      <c r="C86" s="384">
        <v>30</v>
      </c>
      <c r="D86" s="385">
        <v>79.349999999999994</v>
      </c>
      <c r="E86" s="385">
        <v>0</v>
      </c>
      <c r="F86" s="385">
        <f>D86*C86+E86</f>
        <v>2380.5</v>
      </c>
      <c r="G86" s="383">
        <v>42521</v>
      </c>
      <c r="H86" s="388">
        <v>25</v>
      </c>
      <c r="I86" s="385">
        <v>79.05</v>
      </c>
      <c r="J86" s="385">
        <v>0.04</v>
      </c>
      <c r="K86" s="385">
        <f>I86*H86-J86</f>
        <v>1976.21</v>
      </c>
      <c r="L86" s="383">
        <v>42566</v>
      </c>
      <c r="M86" s="385">
        <v>33.67</v>
      </c>
    </row>
    <row r="87" spans="1:13" x14ac:dyDescent="0.25">
      <c r="A87" s="394" t="s">
        <v>71</v>
      </c>
      <c r="B87" s="383">
        <v>42495</v>
      </c>
      <c r="C87" s="384">
        <v>20</v>
      </c>
      <c r="D87" s="385">
        <v>76.25</v>
      </c>
      <c r="E87" s="385">
        <v>0</v>
      </c>
      <c r="F87" s="385">
        <f>D87*C87+E87</f>
        <v>1525</v>
      </c>
      <c r="G87" s="383">
        <v>42552</v>
      </c>
      <c r="H87" s="388">
        <v>25</v>
      </c>
      <c r="I87" s="385">
        <v>78.28</v>
      </c>
      <c r="J87" s="385">
        <v>0.04</v>
      </c>
      <c r="K87" s="385">
        <f t="shared" ref="K87:K89" si="61">I87*H87-J87</f>
        <v>1956.96</v>
      </c>
      <c r="L87" s="384"/>
      <c r="M87" s="384"/>
    </row>
    <row r="88" spans="1:13" x14ac:dyDescent="0.25">
      <c r="A88" s="384"/>
      <c r="B88" s="383">
        <v>42537</v>
      </c>
      <c r="C88" s="384">
        <v>25</v>
      </c>
      <c r="D88" s="385">
        <v>75.88</v>
      </c>
      <c r="E88" s="385">
        <v>0</v>
      </c>
      <c r="F88" s="385">
        <f>D88*C88+E88</f>
        <v>1897</v>
      </c>
      <c r="G88" s="383">
        <v>42577</v>
      </c>
      <c r="H88" s="388">
        <v>10</v>
      </c>
      <c r="I88" s="385">
        <v>83.3</v>
      </c>
      <c r="J88" s="385">
        <v>0.02</v>
      </c>
      <c r="K88" s="385">
        <f t="shared" si="61"/>
        <v>832.98</v>
      </c>
      <c r="L88" s="384"/>
      <c r="M88" s="384"/>
    </row>
    <row r="89" spans="1:13" x14ac:dyDescent="0.25">
      <c r="A89" s="384"/>
      <c r="B89" s="383">
        <v>42548</v>
      </c>
      <c r="C89" s="384">
        <v>25</v>
      </c>
      <c r="D89" s="385">
        <v>73.58</v>
      </c>
      <c r="E89" s="385">
        <v>0</v>
      </c>
      <c r="F89" s="385">
        <f>D89*C89+E89</f>
        <v>1839.5</v>
      </c>
      <c r="G89" s="383">
        <v>42580</v>
      </c>
      <c r="H89" s="388">
        <v>40</v>
      </c>
      <c r="I89" s="385">
        <v>83.33</v>
      </c>
      <c r="J89" s="385">
        <v>7.0000000000000007E-2</v>
      </c>
      <c r="K89" s="385">
        <f t="shared" si="61"/>
        <v>3333.1299999999997</v>
      </c>
      <c r="L89" s="384"/>
      <c r="M89" s="384"/>
    </row>
    <row r="90" spans="1:13" x14ac:dyDescent="0.25">
      <c r="A90" s="384"/>
      <c r="B90" s="383"/>
      <c r="C90" s="384"/>
      <c r="D90" s="385"/>
      <c r="E90" s="385"/>
      <c r="F90" s="385"/>
      <c r="G90" s="384"/>
      <c r="H90" s="388"/>
      <c r="I90" s="385"/>
      <c r="J90" s="385"/>
      <c r="K90" s="385"/>
      <c r="L90" s="384"/>
      <c r="M90" s="384"/>
    </row>
    <row r="91" spans="1:13" x14ac:dyDescent="0.25">
      <c r="A91" s="384"/>
      <c r="B91" s="384"/>
      <c r="C91" s="384"/>
      <c r="D91" s="385"/>
      <c r="E91" s="385"/>
      <c r="F91" s="385"/>
      <c r="G91" s="384"/>
      <c r="H91" s="388"/>
      <c r="I91" s="385"/>
      <c r="J91" s="385"/>
      <c r="K91" s="385"/>
      <c r="L91" s="384"/>
      <c r="M91" s="384"/>
    </row>
    <row r="92" spans="1:13" x14ac:dyDescent="0.25">
      <c r="A92" s="384"/>
      <c r="B92" s="384"/>
      <c r="C92" s="384"/>
      <c r="D92" s="385"/>
      <c r="E92" s="385"/>
      <c r="F92" s="385"/>
      <c r="G92" s="384"/>
      <c r="H92" s="388"/>
      <c r="I92" s="385"/>
      <c r="J92" s="385"/>
      <c r="K92" s="385"/>
      <c r="L92" s="384"/>
      <c r="M92" s="384"/>
    </row>
    <row r="93" spans="1:13" x14ac:dyDescent="0.25">
      <c r="A93" s="384"/>
      <c r="B93" s="384"/>
      <c r="C93" s="384"/>
      <c r="D93" s="385"/>
      <c r="E93" s="385"/>
      <c r="F93" s="385"/>
      <c r="G93" s="384"/>
      <c r="H93" s="388"/>
      <c r="I93" s="385"/>
      <c r="J93" s="385"/>
      <c r="K93" s="385"/>
      <c r="L93" s="384"/>
      <c r="M93" s="384"/>
    </row>
    <row r="94" spans="1:13" x14ac:dyDescent="0.25">
      <c r="A94" s="384"/>
      <c r="B94" s="384"/>
      <c r="C94" s="384"/>
      <c r="D94" s="385"/>
      <c r="E94" s="385"/>
      <c r="F94" s="385"/>
      <c r="G94" s="384"/>
      <c r="H94" s="388"/>
      <c r="I94" s="385"/>
      <c r="J94" s="385"/>
      <c r="K94" s="385"/>
      <c r="L94" s="384"/>
      <c r="M94" s="384"/>
    </row>
    <row r="95" spans="1:13" x14ac:dyDescent="0.25">
      <c r="A95" s="384"/>
      <c r="B95" s="384"/>
      <c r="C95" s="384"/>
      <c r="D95" s="385"/>
      <c r="E95" s="385"/>
      <c r="F95" s="385"/>
      <c r="G95" s="384"/>
      <c r="H95" s="388"/>
      <c r="I95" s="385"/>
      <c r="J95" s="385"/>
      <c r="K95" s="385"/>
      <c r="L95" s="384"/>
      <c r="M95" s="384"/>
    </row>
    <row r="96" spans="1:13" x14ac:dyDescent="0.25">
      <c r="A96" s="384"/>
      <c r="B96" s="384"/>
      <c r="C96" s="384"/>
      <c r="D96" s="385"/>
      <c r="E96" s="385"/>
      <c r="F96" s="385"/>
      <c r="G96" s="384"/>
      <c r="H96" s="388"/>
      <c r="I96" s="385"/>
      <c r="J96" s="385"/>
      <c r="K96" s="385"/>
      <c r="L96" s="384"/>
      <c r="M96" s="384"/>
    </row>
    <row r="97" spans="1:13" x14ac:dyDescent="0.25">
      <c r="A97" s="384"/>
      <c r="B97" s="384"/>
      <c r="C97" s="384"/>
      <c r="D97" s="385"/>
      <c r="E97" s="385"/>
      <c r="F97" s="385"/>
      <c r="G97" s="384"/>
      <c r="H97" s="388"/>
      <c r="I97" s="385"/>
      <c r="J97" s="385"/>
      <c r="K97" s="385"/>
      <c r="L97" s="384"/>
      <c r="M97" s="384"/>
    </row>
    <row r="98" spans="1:13" x14ac:dyDescent="0.25">
      <c r="A98" s="384"/>
      <c r="B98" s="384"/>
      <c r="C98" s="384"/>
      <c r="D98" s="385"/>
      <c r="E98" s="385"/>
      <c r="F98" s="385"/>
      <c r="G98" s="384"/>
      <c r="H98" s="388"/>
      <c r="I98" s="385"/>
      <c r="J98" s="385"/>
      <c r="K98" s="385"/>
      <c r="L98" s="384"/>
      <c r="M98" s="384"/>
    </row>
    <row r="99" spans="1:13" x14ac:dyDescent="0.25">
      <c r="A99" s="384"/>
      <c r="B99" s="384"/>
      <c r="C99" s="384"/>
      <c r="D99" s="385"/>
      <c r="E99" s="385"/>
      <c r="F99" s="385"/>
      <c r="G99" s="384"/>
      <c r="H99" s="388"/>
      <c r="I99" s="385"/>
      <c r="J99" s="385"/>
      <c r="K99" s="385"/>
      <c r="L99" s="384"/>
      <c r="M99" s="384"/>
    </row>
    <row r="100" spans="1:13" x14ac:dyDescent="0.25">
      <c r="A100" s="384"/>
      <c r="B100" s="384"/>
      <c r="C100" s="384"/>
      <c r="D100" s="385"/>
      <c r="E100" s="385"/>
      <c r="F100" s="385"/>
      <c r="G100" s="384"/>
      <c r="H100" s="388"/>
      <c r="I100" s="385"/>
      <c r="J100" s="385"/>
      <c r="K100" s="385"/>
      <c r="L100" s="384"/>
      <c r="M100" s="384"/>
    </row>
    <row r="101" spans="1:13" x14ac:dyDescent="0.25">
      <c r="A101" s="384"/>
      <c r="B101" s="384"/>
      <c r="C101" s="384"/>
      <c r="D101" s="385"/>
      <c r="E101" s="385"/>
      <c r="F101" s="385"/>
      <c r="G101" s="384"/>
      <c r="H101" s="388"/>
      <c r="I101" s="385"/>
      <c r="J101" s="385"/>
      <c r="K101" s="385"/>
      <c r="L101" s="384"/>
      <c r="M101" s="384"/>
    </row>
    <row r="102" spans="1:13" x14ac:dyDescent="0.25">
      <c r="A102" s="22" t="s">
        <v>81</v>
      </c>
      <c r="B102" s="12"/>
      <c r="C102" s="12">
        <f>SUM(C86:C90)</f>
        <v>100</v>
      </c>
      <c r="D102" s="13"/>
      <c r="E102" s="13"/>
      <c r="F102" s="13">
        <f>SUM(F86:F90)</f>
        <v>7642</v>
      </c>
      <c r="G102" s="12"/>
      <c r="H102" s="77">
        <f>SUM(H86:H101)</f>
        <v>100</v>
      </c>
      <c r="I102" s="13"/>
      <c r="J102" s="13"/>
      <c r="K102" s="13">
        <f>SUM(K86:K101)</f>
        <v>8099.2799999999988</v>
      </c>
      <c r="L102" s="12"/>
      <c r="M102" s="13">
        <f>SUM(M86:M94)</f>
        <v>33.67</v>
      </c>
    </row>
    <row r="103" spans="1:13" ht="15.75" thickBot="1" x14ac:dyDescent="0.3">
      <c r="A103" s="491" t="s">
        <v>201</v>
      </c>
      <c r="B103" s="492"/>
      <c r="C103" s="493">
        <f>SumByColor($A$19,C86:C101)</f>
        <v>0</v>
      </c>
      <c r="D103" s="493"/>
      <c r="E103" s="493"/>
      <c r="F103" s="494">
        <f>SumByColor($A$19,F86:F101)</f>
        <v>0</v>
      </c>
      <c r="G103" s="493"/>
      <c r="H103" s="493">
        <f>SumByColor($A$19,H86:H101)</f>
        <v>0</v>
      </c>
      <c r="I103" s="493"/>
      <c r="J103" s="493"/>
      <c r="K103" s="494">
        <f>SumByColor($A$19,K86:K101)</f>
        <v>0</v>
      </c>
      <c r="L103" s="493"/>
      <c r="M103" s="494">
        <f t="shared" ref="M103" si="62">SumByColor($A$19,M86:M101)</f>
        <v>0</v>
      </c>
    </row>
  </sheetData>
  <mergeCells count="1">
    <mergeCell ref="O40:P40"/>
  </mergeCells>
  <conditionalFormatting sqref="O41:O61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77" priority="51">
      <formula>F29&gt;0</formula>
    </cfRule>
    <cfRule type="expression" dxfId="176" priority="52">
      <formula>F29&lt;0</formula>
    </cfRule>
  </conditionalFormatting>
  <conditionalFormatting sqref="F34:F46 F57:F64 F66:F80">
    <cfRule type="expression" dxfId="175" priority="47">
      <formula>F34&gt;0</formula>
    </cfRule>
    <cfRule type="expression" dxfId="174" priority="48">
      <formula>F34&lt;0</formula>
    </cfRule>
  </conditionalFormatting>
  <conditionalFormatting sqref="F34:F46 F57:F64 F66:F80">
    <cfRule type="expression" dxfId="173" priority="49">
      <formula>F34&gt;0</formula>
    </cfRule>
    <cfRule type="expression" dxfId="172" priority="50">
      <formula>F34&lt;0</formula>
    </cfRule>
  </conditionalFormatting>
  <conditionalFormatting sqref="H29:H46 H57:H64 H66:H80">
    <cfRule type="expression" dxfId="171" priority="45">
      <formula>H29&gt;0</formula>
    </cfRule>
    <cfRule type="expression" dxfId="170" priority="46">
      <formula>H29&lt;0</formula>
    </cfRule>
  </conditionalFormatting>
  <conditionalFormatting sqref="F25:F28">
    <cfRule type="expression" dxfId="169" priority="39">
      <formula>F25&gt;0</formula>
    </cfRule>
    <cfRule type="expression" dxfId="168" priority="40">
      <formula>F25&lt;0</formula>
    </cfRule>
  </conditionalFormatting>
  <conditionalFormatting sqref="H25:H28">
    <cfRule type="expression" dxfId="167" priority="37">
      <formula>H25&gt;0</formula>
    </cfRule>
    <cfRule type="expression" dxfId="166" priority="38">
      <formula>H25&lt;0</formula>
    </cfRule>
  </conditionalFormatting>
  <conditionalFormatting sqref="Q7">
    <cfRule type="expression" dxfId="165" priority="27">
      <formula>Q7&gt;0</formula>
    </cfRule>
    <cfRule type="expression" dxfId="164" priority="28">
      <formula>Q7&lt;0</formula>
    </cfRule>
  </conditionalFormatting>
  <conditionalFormatting sqref="Q8">
    <cfRule type="expression" dxfId="163" priority="25">
      <formula>Q8&gt;0</formula>
    </cfRule>
    <cfRule type="expression" dxfId="162" priority="26">
      <formula>Q8&lt;0</formula>
    </cfRule>
  </conditionalFormatting>
  <conditionalFormatting sqref="F50:F56">
    <cfRule type="expression" dxfId="161" priority="15">
      <formula>F50&gt;0</formula>
    </cfRule>
    <cfRule type="expression" dxfId="160" priority="16">
      <formula>F50&lt;0</formula>
    </cfRule>
  </conditionalFormatting>
  <conditionalFormatting sqref="F50:F56">
    <cfRule type="expression" dxfId="159" priority="17">
      <formula>F50&gt;0</formula>
    </cfRule>
    <cfRule type="expression" dxfId="158" priority="18">
      <formula>F50&lt;0</formula>
    </cfRule>
  </conditionalFormatting>
  <conditionalFormatting sqref="H50:H56">
    <cfRule type="expression" dxfId="157" priority="13">
      <formula>H50&gt;0</formula>
    </cfRule>
    <cfRule type="expression" dxfId="156" priority="14">
      <formula>H50&lt;0</formula>
    </cfRule>
  </conditionalFormatting>
  <conditionalFormatting sqref="F24">
    <cfRule type="expression" dxfId="155" priority="11">
      <formula>F24&gt;0</formula>
    </cfRule>
    <cfRule type="expression" dxfId="154" priority="12">
      <formula>F24&lt;0</formula>
    </cfRule>
  </conditionalFormatting>
  <conditionalFormatting sqref="H24">
    <cfRule type="expression" dxfId="153" priority="9">
      <formula>H24&gt;0</formula>
    </cfRule>
    <cfRule type="expression" dxfId="152" priority="10">
      <formula>H24&lt;0</formula>
    </cfRule>
  </conditionalFormatting>
  <conditionalFormatting sqref="M84">
    <cfRule type="expression" dxfId="151" priority="7">
      <formula>M84&gt;0</formula>
    </cfRule>
    <cfRule type="expression" dxfId="150" priority="8">
      <formula>M84&lt;0</formula>
    </cfRule>
  </conditionalFormatting>
  <conditionalFormatting sqref="F65">
    <cfRule type="expression" dxfId="149" priority="3">
      <formula>F65&gt;0</formula>
    </cfRule>
    <cfRule type="expression" dxfId="148" priority="4">
      <formula>F65&lt;0</formula>
    </cfRule>
  </conditionalFormatting>
  <conditionalFormatting sqref="F65">
    <cfRule type="expression" dxfId="147" priority="5">
      <formula>F65&gt;0</formula>
    </cfRule>
    <cfRule type="expression" dxfId="146" priority="6">
      <formula>F65&lt;0</formula>
    </cfRule>
  </conditionalFormatting>
  <conditionalFormatting sqref="H65">
    <cfRule type="expression" dxfId="145" priority="1">
      <formula>H65&gt;0</formula>
    </cfRule>
    <cfRule type="expression" dxfId="144" priority="2">
      <formula>H65&lt;0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C29-H29</f>
        <v>0</v>
      </c>
      <c r="T2" s="1" t="s">
        <v>208</v>
      </c>
      <c r="W2" s="133">
        <v>42676</v>
      </c>
      <c r="X2" s="10">
        <v>41.84</v>
      </c>
      <c r="Y2" s="10">
        <v>42.37</v>
      </c>
      <c r="Z2" s="10">
        <v>41.72</v>
      </c>
      <c r="AA2" s="10">
        <v>41.93</v>
      </c>
      <c r="AB2" s="95">
        <v>10352400</v>
      </c>
      <c r="AC2" s="10">
        <v>41.93</v>
      </c>
      <c r="AD2" s="2">
        <f>Y2-Z2</f>
        <v>0.64999999999999858</v>
      </c>
      <c r="AE2" s="138">
        <f>AC2/AC3-1</f>
        <v>1.1938872970391756E-3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(F29-K29-M29)/Q2)</f>
        <v>41.93</v>
      </c>
      <c r="T3" s="1">
        <v>42565</v>
      </c>
      <c r="U3" t="s">
        <v>264</v>
      </c>
      <c r="W3" s="133">
        <v>42675</v>
      </c>
      <c r="X3" s="10">
        <v>41.84</v>
      </c>
      <c r="Y3" s="10">
        <v>42.48</v>
      </c>
      <c r="Z3" s="10">
        <v>41.55</v>
      </c>
      <c r="AA3" s="10">
        <v>41.88</v>
      </c>
      <c r="AB3" s="95">
        <v>10888000</v>
      </c>
      <c r="AC3" s="10">
        <v>41.88</v>
      </c>
      <c r="AD3" s="2">
        <f t="shared" ref="AD3:AD66" si="0">Y3-Z3</f>
        <v>0.92999999999999972</v>
      </c>
      <c r="AE3" s="138">
        <f t="shared" ref="AE3:AE66" si="1">AC3/AC4-1</f>
        <v>2.6334689968876557E-3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41.93</v>
      </c>
      <c r="R4" s="561">
        <v>1.1999999999999999E-3</v>
      </c>
      <c r="T4" s="546">
        <v>42568</v>
      </c>
      <c r="U4" t="s">
        <v>277</v>
      </c>
      <c r="W4" s="133">
        <v>42674</v>
      </c>
      <c r="X4" s="10">
        <v>41.72</v>
      </c>
      <c r="Y4" s="10">
        <v>41.82</v>
      </c>
      <c r="Z4" s="10">
        <v>41.13</v>
      </c>
      <c r="AA4" s="10">
        <v>41.77</v>
      </c>
      <c r="AB4" s="95">
        <v>8697100</v>
      </c>
      <c r="AC4" s="10">
        <v>41.77</v>
      </c>
      <c r="AD4" s="2">
        <f t="shared" si="0"/>
        <v>0.68999999999999773</v>
      </c>
      <c r="AE4" s="138">
        <f t="shared" si="1"/>
        <v>1.0401548137397132E-2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314</v>
      </c>
      <c r="W5" s="133">
        <v>42671</v>
      </c>
      <c r="X5" s="10">
        <v>41.39</v>
      </c>
      <c r="Y5" s="10">
        <v>41.88</v>
      </c>
      <c r="Z5" s="10">
        <v>41</v>
      </c>
      <c r="AA5" s="10">
        <v>41.34</v>
      </c>
      <c r="AB5" s="95">
        <v>8474700</v>
      </c>
      <c r="AC5" s="10">
        <v>41.34</v>
      </c>
      <c r="AD5" s="2">
        <f t="shared" si="0"/>
        <v>0.88000000000000256</v>
      </c>
      <c r="AE5" s="138">
        <f t="shared" si="1"/>
        <v>-3.1347962382444194E-3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3">
        <v>42647</v>
      </c>
      <c r="U6" t="s">
        <v>319</v>
      </c>
      <c r="W6" s="133">
        <v>42670</v>
      </c>
      <c r="X6" s="10">
        <v>41.62</v>
      </c>
      <c r="Y6" s="10">
        <v>42.25</v>
      </c>
      <c r="Z6" s="10">
        <v>40.92</v>
      </c>
      <c r="AA6" s="10">
        <v>41.47</v>
      </c>
      <c r="AB6" s="95">
        <v>9546700</v>
      </c>
      <c r="AC6" s="10">
        <v>41.47</v>
      </c>
      <c r="AD6" s="2">
        <f t="shared" si="0"/>
        <v>1.3299999999999983</v>
      </c>
      <c r="AE6" s="138">
        <f t="shared" si="1"/>
        <v>1.6908212560386993E-3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184</v>
      </c>
      <c r="Q7" s="2">
        <f>Q10+Q8</f>
        <v>1198.4699999999971</v>
      </c>
      <c r="R7">
        <v>0</v>
      </c>
      <c r="W7" s="133">
        <v>42669</v>
      </c>
      <c r="X7" s="10">
        <v>40.15</v>
      </c>
      <c r="Y7" s="10">
        <v>42.41</v>
      </c>
      <c r="Z7" s="10">
        <v>40.049999999999997</v>
      </c>
      <c r="AA7" s="10">
        <v>41.4</v>
      </c>
      <c r="AB7" s="95">
        <v>14175900</v>
      </c>
      <c r="AC7" s="10">
        <v>41.4</v>
      </c>
      <c r="AD7" s="2">
        <f t="shared" si="0"/>
        <v>2.3599999999999994</v>
      </c>
      <c r="AE7" s="138">
        <f t="shared" si="1"/>
        <v>4.6105314244115903E-3</v>
      </c>
    </row>
    <row r="8" spans="1:31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187</v>
      </c>
      <c r="P8" s="34"/>
      <c r="Q8" s="2">
        <f>K29+M29-F29+Q2*Q4</f>
        <v>0</v>
      </c>
      <c r="R8" s="433"/>
      <c r="W8" s="133">
        <v>42668</v>
      </c>
      <c r="X8" s="10">
        <v>41.2</v>
      </c>
      <c r="Y8" s="10">
        <v>41.89</v>
      </c>
      <c r="Z8" s="10">
        <v>40.950000000000003</v>
      </c>
      <c r="AA8" s="10">
        <v>41.21</v>
      </c>
      <c r="AB8" s="95">
        <v>8696400</v>
      </c>
      <c r="AC8" s="10">
        <v>41.21</v>
      </c>
      <c r="AD8" s="2">
        <f t="shared" si="0"/>
        <v>0.93999999999999773</v>
      </c>
      <c r="AE8" s="138">
        <f t="shared" si="1"/>
        <v>-3.8675368624606632E-3</v>
      </c>
    </row>
    <row r="9" spans="1:31" x14ac:dyDescent="0.25">
      <c r="B9" s="74"/>
      <c r="C9" s="4"/>
      <c r="D9" s="3"/>
      <c r="E9" s="3"/>
      <c r="F9" s="3"/>
      <c r="G9" s="277"/>
      <c r="H9" s="4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W9" s="133">
        <v>42667</v>
      </c>
      <c r="X9" s="10">
        <v>41.39</v>
      </c>
      <c r="Y9" s="10">
        <v>41.75</v>
      </c>
      <c r="Z9" s="10">
        <v>41.15</v>
      </c>
      <c r="AA9" s="10">
        <v>41.37</v>
      </c>
      <c r="AB9" s="95">
        <v>8714100</v>
      </c>
      <c r="AC9" s="10">
        <v>41.37</v>
      </c>
      <c r="AD9" s="2">
        <f t="shared" si="0"/>
        <v>0.60000000000000142</v>
      </c>
      <c r="AE9" s="138">
        <f t="shared" si="1"/>
        <v>4.8579062424094488E-3</v>
      </c>
    </row>
    <row r="10" spans="1:31" x14ac:dyDescent="0.25">
      <c r="B10" s="74"/>
      <c r="C10" s="4"/>
      <c r="D10" s="3"/>
      <c r="E10" s="3"/>
      <c r="F10" s="3"/>
      <c r="G10" s="74"/>
      <c r="H10" s="396"/>
      <c r="I10" s="75"/>
      <c r="J10" s="75"/>
      <c r="K10" s="75"/>
      <c r="L10" s="4"/>
      <c r="M10" s="4"/>
      <c r="O10" s="11" t="s">
        <v>218</v>
      </c>
      <c r="P10" s="34"/>
      <c r="Q10" s="2">
        <f>M104 + M126</f>
        <v>1198.4699999999971</v>
      </c>
      <c r="W10" s="133">
        <v>42664</v>
      </c>
      <c r="X10" s="10">
        <v>41.08</v>
      </c>
      <c r="Y10" s="10">
        <v>41.31</v>
      </c>
      <c r="Z10" s="10">
        <v>40.659999999999997</v>
      </c>
      <c r="AA10" s="10">
        <v>41.17</v>
      </c>
      <c r="AB10" s="95">
        <v>9050900</v>
      </c>
      <c r="AC10" s="10">
        <v>41.17</v>
      </c>
      <c r="AD10" s="2">
        <f t="shared" si="0"/>
        <v>0.65000000000000568</v>
      </c>
      <c r="AE10" s="138">
        <f t="shared" si="1"/>
        <v>-6.9946936806560833E-3</v>
      </c>
    </row>
    <row r="11" spans="1:31" x14ac:dyDescent="0.25">
      <c r="B11" s="74"/>
      <c r="C11" s="4"/>
      <c r="D11" s="3"/>
      <c r="E11" s="3"/>
      <c r="F11" s="3"/>
      <c r="G11" s="74"/>
      <c r="H11" s="185"/>
      <c r="I11" s="3"/>
      <c r="J11" s="3"/>
      <c r="K11" s="75"/>
      <c r="L11" s="4"/>
      <c r="M11" s="4"/>
      <c r="O11" s="11" t="s">
        <v>181</v>
      </c>
      <c r="P11" s="34"/>
      <c r="Q11" s="138">
        <f>VALUE(TRIM(CLEAN(MID(U58, FIND("(", U58)+1, 5))))</f>
        <v>1.9599999999999999E-2</v>
      </c>
      <c r="W11" s="133">
        <v>42663</v>
      </c>
      <c r="X11" s="10">
        <v>40.82</v>
      </c>
      <c r="Y11" s="10">
        <v>41.54</v>
      </c>
      <c r="Z11" s="10">
        <v>40.729999999999997</v>
      </c>
      <c r="AA11" s="10">
        <v>41.46</v>
      </c>
      <c r="AB11" s="95">
        <v>14613500</v>
      </c>
      <c r="AC11" s="10">
        <v>41.46</v>
      </c>
      <c r="AD11" s="2">
        <f t="shared" si="0"/>
        <v>0.81000000000000227</v>
      </c>
      <c r="AE11" s="138">
        <f t="shared" si="1"/>
        <v>1.3691931540342317E-2</v>
      </c>
    </row>
    <row r="12" spans="1:31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42662</v>
      </c>
      <c r="X12" s="10">
        <v>39.549999999999997</v>
      </c>
      <c r="Y12" s="10">
        <v>40.92</v>
      </c>
      <c r="Z12" s="10">
        <v>39.19</v>
      </c>
      <c r="AA12" s="10">
        <v>40.9</v>
      </c>
      <c r="AB12" s="95">
        <v>13814400</v>
      </c>
      <c r="AC12" s="10">
        <v>40.9</v>
      </c>
      <c r="AD12" s="2">
        <f t="shared" si="0"/>
        <v>1.730000000000004</v>
      </c>
      <c r="AE12" s="138">
        <f t="shared" si="1"/>
        <v>3.6492650785605596E-2</v>
      </c>
    </row>
    <row r="13" spans="1:31" x14ac:dyDescent="0.25">
      <c r="B13" s="74"/>
      <c r="C13" s="4"/>
      <c r="D13" s="3"/>
      <c r="E13" s="3"/>
      <c r="F13" s="3"/>
      <c r="G13" s="74"/>
      <c r="H13" s="185"/>
      <c r="I13" s="3"/>
      <c r="J13" s="3"/>
      <c r="K13" s="3"/>
      <c r="L13" s="4"/>
      <c r="M13" s="4"/>
      <c r="W13" s="133">
        <v>42661</v>
      </c>
      <c r="X13" s="10">
        <v>39.39</v>
      </c>
      <c r="Y13" s="10">
        <v>40.270000000000003</v>
      </c>
      <c r="Z13" s="10">
        <v>39.049999999999997</v>
      </c>
      <c r="AA13" s="10">
        <v>39.46</v>
      </c>
      <c r="AB13" s="95">
        <v>13433800</v>
      </c>
      <c r="AC13" s="10">
        <v>39.46</v>
      </c>
      <c r="AD13" s="2">
        <f t="shared" si="0"/>
        <v>1.220000000000006</v>
      </c>
      <c r="AE13" s="138">
        <f t="shared" si="1"/>
        <v>2.7954256670901234E-3</v>
      </c>
    </row>
    <row r="14" spans="1:31" x14ac:dyDescent="0.25">
      <c r="B14" s="74"/>
      <c r="C14" s="4"/>
      <c r="D14" s="3"/>
      <c r="E14" s="3"/>
      <c r="F14" s="3"/>
      <c r="G14" s="74"/>
      <c r="H14" s="185"/>
      <c r="I14" s="3"/>
      <c r="J14" s="3"/>
      <c r="K14" s="3"/>
      <c r="L14" s="4"/>
      <c r="M14" s="4"/>
      <c r="W14" s="133">
        <v>42660</v>
      </c>
      <c r="X14" s="10">
        <v>39.74</v>
      </c>
      <c r="Y14" s="10">
        <v>40.49</v>
      </c>
      <c r="Z14" s="10">
        <v>39.26</v>
      </c>
      <c r="AA14" s="10">
        <v>39.35</v>
      </c>
      <c r="AB14" s="95">
        <v>10535100</v>
      </c>
      <c r="AC14" s="10">
        <v>39.35</v>
      </c>
      <c r="AD14" s="2">
        <f t="shared" si="0"/>
        <v>1.230000000000004</v>
      </c>
      <c r="AE14" s="138">
        <f t="shared" si="1"/>
        <v>-1.7232767232767121E-2</v>
      </c>
    </row>
    <row r="15" spans="1:31" x14ac:dyDescent="0.25">
      <c r="B15" s="74"/>
      <c r="C15" s="4"/>
      <c r="D15" s="3"/>
      <c r="E15" s="3"/>
      <c r="F15" s="3"/>
      <c r="G15" s="74"/>
      <c r="H15" s="185"/>
      <c r="I15" s="3"/>
      <c r="J15" s="3"/>
      <c r="K15" s="3"/>
      <c r="L15" s="4"/>
      <c r="M15" s="4"/>
      <c r="W15" s="133">
        <v>42657</v>
      </c>
      <c r="X15" s="10">
        <v>40.450000000000003</v>
      </c>
      <c r="Y15" s="10">
        <v>40.75</v>
      </c>
      <c r="Z15" s="10">
        <v>39.82</v>
      </c>
      <c r="AA15" s="10">
        <v>40.04</v>
      </c>
      <c r="AB15" s="95">
        <v>12133300</v>
      </c>
      <c r="AC15" s="10">
        <v>40.04</v>
      </c>
      <c r="AD15" s="2">
        <f t="shared" si="0"/>
        <v>0.92999999999999972</v>
      </c>
      <c r="AE15" s="138">
        <f t="shared" si="1"/>
        <v>7.4981254686323773E-4</v>
      </c>
    </row>
    <row r="16" spans="1:31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4"/>
      <c r="W16" s="133">
        <v>42656</v>
      </c>
      <c r="X16" s="10">
        <v>38.53</v>
      </c>
      <c r="Y16" s="10">
        <v>40.880000000000003</v>
      </c>
      <c r="Z16" s="10">
        <v>37.909999999999997</v>
      </c>
      <c r="AA16" s="10">
        <v>40.01</v>
      </c>
      <c r="AB16" s="95">
        <v>24274100</v>
      </c>
      <c r="AC16" s="10">
        <v>40.01</v>
      </c>
      <c r="AD16" s="2">
        <f t="shared" si="0"/>
        <v>2.970000000000006</v>
      </c>
      <c r="AE16" s="138">
        <f t="shared" si="1"/>
        <v>1.8843901196842205E-2</v>
      </c>
    </row>
    <row r="17" spans="1:31" x14ac:dyDescent="0.25">
      <c r="B17" s="74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3">
        <v>42655</v>
      </c>
      <c r="X17" s="10">
        <v>39.01</v>
      </c>
      <c r="Y17" s="10">
        <v>39.5</v>
      </c>
      <c r="Z17" s="10">
        <v>38.56</v>
      </c>
      <c r="AA17" s="10">
        <v>39.270000000000003</v>
      </c>
      <c r="AB17" s="95">
        <v>11127500</v>
      </c>
      <c r="AC17" s="10">
        <v>39.270000000000003</v>
      </c>
      <c r="AD17" s="2">
        <f t="shared" si="0"/>
        <v>0.93999999999999773</v>
      </c>
      <c r="AE17" s="138">
        <f t="shared" si="1"/>
        <v>8.4745762711866401E-3</v>
      </c>
    </row>
    <row r="18" spans="1:31" x14ac:dyDescent="0.25">
      <c r="B18" s="74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3">
        <v>42654</v>
      </c>
      <c r="X18" s="10">
        <v>40.25</v>
      </c>
      <c r="Y18" s="10">
        <v>40.26</v>
      </c>
      <c r="Z18" s="10">
        <v>38.79</v>
      </c>
      <c r="AA18" s="10">
        <v>38.94</v>
      </c>
      <c r="AB18" s="95">
        <v>12166600</v>
      </c>
      <c r="AC18" s="10">
        <v>38.94</v>
      </c>
      <c r="AD18" s="2">
        <f t="shared" si="0"/>
        <v>1.4699999999999989</v>
      </c>
      <c r="AE18" s="138">
        <f t="shared" si="1"/>
        <v>-2.0870002514458252E-2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3">
        <v>42653</v>
      </c>
      <c r="X19" s="10">
        <v>39.21</v>
      </c>
      <c r="Y19" s="10">
        <v>39.950000000000003</v>
      </c>
      <c r="Z19" s="10">
        <v>39.19</v>
      </c>
      <c r="AA19" s="10">
        <v>39.770000000000003</v>
      </c>
      <c r="AB19" s="95">
        <v>7994100</v>
      </c>
      <c r="AC19" s="10">
        <v>39.770000000000003</v>
      </c>
      <c r="AD19" s="2">
        <f t="shared" si="0"/>
        <v>0.76000000000000512</v>
      </c>
      <c r="AE19" s="138">
        <f t="shared" si="1"/>
        <v>2.1052631578947434E-2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3">
        <v>42650</v>
      </c>
      <c r="X20" s="10">
        <v>39.869999999999997</v>
      </c>
      <c r="Y20" s="10">
        <v>39.93</v>
      </c>
      <c r="Z20" s="10">
        <v>38.799999999999997</v>
      </c>
      <c r="AA20" s="10">
        <v>38.950000000000003</v>
      </c>
      <c r="AB20" s="95">
        <v>10707000</v>
      </c>
      <c r="AC20" s="10">
        <v>38.950000000000003</v>
      </c>
      <c r="AD20" s="2">
        <f t="shared" si="0"/>
        <v>1.1300000000000026</v>
      </c>
      <c r="AE20" s="138">
        <f t="shared" si="1"/>
        <v>-2.4787180771156603E-2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3">
        <v>42649</v>
      </c>
      <c r="X21" s="10">
        <v>40.26</v>
      </c>
      <c r="Y21" s="10">
        <v>40.380000000000003</v>
      </c>
      <c r="Z21" s="10">
        <v>39.75</v>
      </c>
      <c r="AA21" s="10">
        <v>39.94</v>
      </c>
      <c r="AB21" s="95">
        <v>9184300</v>
      </c>
      <c r="AC21" s="10">
        <v>39.94</v>
      </c>
      <c r="AD21" s="2">
        <f t="shared" si="0"/>
        <v>0.63000000000000256</v>
      </c>
      <c r="AE21" s="138">
        <f t="shared" si="1"/>
        <v>-9.4246031746032521E-3</v>
      </c>
    </row>
    <row r="22" spans="1:31" x14ac:dyDescent="0.25">
      <c r="W22" s="133">
        <v>42648</v>
      </c>
      <c r="X22" s="10">
        <v>40.159999999999997</v>
      </c>
      <c r="Y22" s="10">
        <v>40.479999999999997</v>
      </c>
      <c r="Z22" s="10">
        <v>40.049999999999997</v>
      </c>
      <c r="AA22" s="10">
        <v>40.32</v>
      </c>
      <c r="AB22" s="95">
        <v>7408700</v>
      </c>
      <c r="AC22" s="10">
        <v>40.32</v>
      </c>
      <c r="AD22" s="2">
        <f t="shared" si="0"/>
        <v>0.42999999999999972</v>
      </c>
      <c r="AE22" s="138">
        <f t="shared" si="1"/>
        <v>4.2341220423411929E-3</v>
      </c>
    </row>
    <row r="23" spans="1:31" x14ac:dyDescent="0.25">
      <c r="W23" s="133">
        <v>42647</v>
      </c>
      <c r="X23" s="10">
        <v>41.25</v>
      </c>
      <c r="Y23" s="10">
        <v>41.38</v>
      </c>
      <c r="Z23" s="10">
        <v>40.1</v>
      </c>
      <c r="AA23" s="10">
        <v>40.15</v>
      </c>
      <c r="AB23" s="95">
        <v>12479200</v>
      </c>
      <c r="AC23" s="10">
        <v>40.15</v>
      </c>
      <c r="AD23" s="2">
        <f t="shared" si="0"/>
        <v>1.2800000000000011</v>
      </c>
      <c r="AE23" s="138">
        <f t="shared" si="1"/>
        <v>4.2521260630314917E-3</v>
      </c>
    </row>
    <row r="24" spans="1:31" x14ac:dyDescent="0.25">
      <c r="W24" s="133">
        <v>42646</v>
      </c>
      <c r="X24" s="10">
        <v>39.25</v>
      </c>
      <c r="Y24" s="10">
        <v>40.049999999999997</v>
      </c>
      <c r="Z24" s="10">
        <v>39.21</v>
      </c>
      <c r="AA24" s="10">
        <v>39.979999999999997</v>
      </c>
      <c r="AB24" s="95">
        <v>11629700</v>
      </c>
      <c r="AC24" s="10">
        <v>39.979999999999997</v>
      </c>
      <c r="AD24" s="2">
        <f t="shared" si="0"/>
        <v>0.83999999999999631</v>
      </c>
      <c r="AE24" s="138">
        <f t="shared" si="1"/>
        <v>1.5752032520325088E-2</v>
      </c>
    </row>
    <row r="25" spans="1:31" x14ac:dyDescent="0.25">
      <c r="W25" s="133">
        <v>42643</v>
      </c>
      <c r="X25" s="10">
        <v>39.15</v>
      </c>
      <c r="Y25" s="10">
        <v>39.6</v>
      </c>
      <c r="Z25" s="10">
        <v>38.93</v>
      </c>
      <c r="AA25" s="10">
        <v>39.36</v>
      </c>
      <c r="AB25" s="95">
        <v>8889300</v>
      </c>
      <c r="AC25" s="10">
        <v>39.36</v>
      </c>
      <c r="AD25" s="2">
        <f t="shared" si="0"/>
        <v>0.67000000000000171</v>
      </c>
      <c r="AE25" s="138">
        <f t="shared" si="1"/>
        <v>8.4550345887777212E-3</v>
      </c>
    </row>
    <row r="26" spans="1:31" x14ac:dyDescent="0.25">
      <c r="W26" s="133">
        <v>42642</v>
      </c>
      <c r="X26" s="10">
        <v>39.06</v>
      </c>
      <c r="Y26" s="10">
        <v>39.68</v>
      </c>
      <c r="Z26" s="10">
        <v>39.020000000000003</v>
      </c>
      <c r="AA26" s="10">
        <v>39.03</v>
      </c>
      <c r="AB26" s="95">
        <v>7181000</v>
      </c>
      <c r="AC26" s="10">
        <v>39.03</v>
      </c>
      <c r="AD26" s="2">
        <f t="shared" si="0"/>
        <v>0.65999999999999659</v>
      </c>
      <c r="AE26" s="138">
        <f t="shared" si="1"/>
        <v>-5.0981391791994346E-3</v>
      </c>
    </row>
    <row r="27" spans="1:31" x14ac:dyDescent="0.25">
      <c r="W27" s="133">
        <v>42641</v>
      </c>
      <c r="X27" s="10">
        <v>39.299999999999997</v>
      </c>
      <c r="Y27" s="10">
        <v>40.229999999999997</v>
      </c>
      <c r="Z27" s="10">
        <v>39.11</v>
      </c>
      <c r="AA27" s="10">
        <v>39.229999999999997</v>
      </c>
      <c r="AB27" s="95">
        <v>10552400</v>
      </c>
      <c r="AC27" s="10">
        <v>39.229999999999997</v>
      </c>
      <c r="AD27" s="2">
        <f t="shared" si="0"/>
        <v>1.1199999999999974</v>
      </c>
      <c r="AE27" s="138">
        <f t="shared" si="1"/>
        <v>5.1007396072422218E-4</v>
      </c>
    </row>
    <row r="28" spans="1:31" x14ac:dyDescent="0.25">
      <c r="H28" s="72"/>
      <c r="W28" s="133">
        <v>42640</v>
      </c>
      <c r="X28" s="10">
        <v>38</v>
      </c>
      <c r="Y28" s="10">
        <v>39.25</v>
      </c>
      <c r="Z28" s="10">
        <v>37.979999999999997</v>
      </c>
      <c r="AA28" s="10">
        <v>39.21</v>
      </c>
      <c r="AB28" s="95">
        <v>9596600</v>
      </c>
      <c r="AC28" s="10">
        <v>39.21</v>
      </c>
      <c r="AD28" s="2">
        <f t="shared" si="0"/>
        <v>1.2700000000000031</v>
      </c>
      <c r="AE28" s="138">
        <f t="shared" si="1"/>
        <v>3.0757097791798138E-2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3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3">
        <v>42639</v>
      </c>
      <c r="X29" s="10">
        <v>38.520000000000003</v>
      </c>
      <c r="Y29" s="10">
        <v>38.75</v>
      </c>
      <c r="Z29" s="10">
        <v>37.909999999999997</v>
      </c>
      <c r="AA29" s="10">
        <v>38.04</v>
      </c>
      <c r="AB29" s="95">
        <v>7854400</v>
      </c>
      <c r="AC29" s="10">
        <v>38.04</v>
      </c>
      <c r="AD29" s="2">
        <f t="shared" si="0"/>
        <v>0.84000000000000341</v>
      </c>
      <c r="AE29" s="138">
        <f t="shared" si="1"/>
        <v>-1.9082001031459517E-2</v>
      </c>
    </row>
    <row r="30" spans="1:31" ht="15.75" thickBot="1" x14ac:dyDescent="0.3">
      <c r="A30" s="359" t="s">
        <v>201</v>
      </c>
      <c r="B30" s="360"/>
      <c r="C30" s="361">
        <f>SumByColor($A$30,C2:C28)</f>
        <v>0</v>
      </c>
      <c r="D30" s="361"/>
      <c r="E30" s="361"/>
      <c r="F30" s="362">
        <f>SumByColor($A$30,F2:F28)</f>
        <v>0</v>
      </c>
      <c r="G30" s="361"/>
      <c r="H30" s="361">
        <f>SumByColor($A$30,H3:H28)</f>
        <v>0</v>
      </c>
      <c r="I30" s="361"/>
      <c r="J30" s="361"/>
      <c r="K30" s="362">
        <f>SumByColor($A$30,K3:K28)</f>
        <v>0</v>
      </c>
      <c r="L30" s="361"/>
      <c r="M30" s="362">
        <f>SumByColor($A$30,M2:M28)</f>
        <v>0</v>
      </c>
      <c r="W30" s="133">
        <v>42636</v>
      </c>
      <c r="X30" s="10">
        <v>38.18</v>
      </c>
      <c r="Y30" s="10">
        <v>38.93</v>
      </c>
      <c r="Z30" s="10">
        <v>38.18</v>
      </c>
      <c r="AA30" s="10">
        <v>38.78</v>
      </c>
      <c r="AB30" s="95">
        <v>6841200</v>
      </c>
      <c r="AC30" s="10">
        <v>38.78</v>
      </c>
      <c r="AD30" s="2">
        <f t="shared" si="0"/>
        <v>0.75</v>
      </c>
      <c r="AE30" s="138">
        <f t="shared" si="1"/>
        <v>7.2727272727273196E-3</v>
      </c>
    </row>
    <row r="31" spans="1:31" x14ac:dyDescent="0.25">
      <c r="W31" s="133">
        <v>42635</v>
      </c>
      <c r="X31" s="10">
        <v>38.159999999999997</v>
      </c>
      <c r="Y31" s="10">
        <v>38.96</v>
      </c>
      <c r="Z31" s="10">
        <v>38.15</v>
      </c>
      <c r="AA31" s="10">
        <v>38.5</v>
      </c>
      <c r="AB31" s="95">
        <v>10917000</v>
      </c>
      <c r="AC31" s="10">
        <v>38.5</v>
      </c>
      <c r="AD31" s="2">
        <f t="shared" si="0"/>
        <v>0.81000000000000227</v>
      </c>
      <c r="AE31" s="138">
        <f t="shared" si="1"/>
        <v>1.1826544021025009E-2</v>
      </c>
    </row>
    <row r="32" spans="1:31" x14ac:dyDescent="0.25">
      <c r="W32" s="133">
        <v>42634</v>
      </c>
      <c r="X32" s="10">
        <v>37.79</v>
      </c>
      <c r="Y32" s="10">
        <v>38.299999999999997</v>
      </c>
      <c r="Z32" s="10">
        <v>37.479999999999997</v>
      </c>
      <c r="AA32" s="10">
        <v>38.049999999999997</v>
      </c>
      <c r="AB32" s="95">
        <v>8529600</v>
      </c>
      <c r="AC32" s="10">
        <v>38.049999999999997</v>
      </c>
      <c r="AD32" s="2">
        <f t="shared" si="0"/>
        <v>0.82000000000000028</v>
      </c>
      <c r="AE32" s="138">
        <f t="shared" si="1"/>
        <v>1.1161307467446147E-2</v>
      </c>
    </row>
    <row r="33" spans="2:31" x14ac:dyDescent="0.25">
      <c r="W33" s="133">
        <v>42633</v>
      </c>
      <c r="X33" s="10">
        <v>37.6</v>
      </c>
      <c r="Y33" s="10">
        <v>38.11</v>
      </c>
      <c r="Z33" s="10">
        <v>37.409999999999997</v>
      </c>
      <c r="AA33" s="10">
        <v>37.630000000000003</v>
      </c>
      <c r="AB33" s="95">
        <v>7551400</v>
      </c>
      <c r="AC33" s="10">
        <v>37.630000000000003</v>
      </c>
      <c r="AD33" s="2">
        <f t="shared" si="0"/>
        <v>0.70000000000000284</v>
      </c>
      <c r="AE33" s="138">
        <f t="shared" si="1"/>
        <v>1.5970188980569677E-3</v>
      </c>
    </row>
    <row r="34" spans="2:31" x14ac:dyDescent="0.25">
      <c r="W34" s="133">
        <v>42632</v>
      </c>
      <c r="X34" s="10">
        <v>36.909999999999997</v>
      </c>
      <c r="Y34" s="10">
        <v>37.74</v>
      </c>
      <c r="Z34" s="10">
        <v>36.85</v>
      </c>
      <c r="AA34" s="10">
        <v>37.57</v>
      </c>
      <c r="AB34" s="95">
        <v>8768200</v>
      </c>
      <c r="AC34" s="10">
        <v>37.57</v>
      </c>
      <c r="AD34" s="2">
        <f t="shared" si="0"/>
        <v>0.89000000000000057</v>
      </c>
      <c r="AE34" s="138">
        <f t="shared" si="1"/>
        <v>2.1756867011150316E-2</v>
      </c>
    </row>
    <row r="35" spans="2:31" x14ac:dyDescent="0.25">
      <c r="B35" s="269" t="s">
        <v>114</v>
      </c>
      <c r="C35" s="269" t="s">
        <v>149</v>
      </c>
      <c r="D35" s="270" t="s">
        <v>148</v>
      </c>
      <c r="E35" s="271" t="s">
        <v>150</v>
      </c>
      <c r="F35" s="271" t="s">
        <v>65</v>
      </c>
      <c r="G35" s="273" t="s">
        <v>154</v>
      </c>
      <c r="H35" s="273" t="s">
        <v>88</v>
      </c>
      <c r="I35" s="273" t="s">
        <v>158</v>
      </c>
      <c r="W35" s="133">
        <v>42629</v>
      </c>
      <c r="X35" s="10">
        <v>37.020000000000003</v>
      </c>
      <c r="Y35" s="10">
        <v>37.159999999999997</v>
      </c>
      <c r="Z35" s="10">
        <v>36.590000000000003</v>
      </c>
      <c r="AA35" s="10">
        <v>36.770000000000003</v>
      </c>
      <c r="AB35" s="95">
        <v>11257500</v>
      </c>
      <c r="AC35" s="10">
        <v>36.770000000000003</v>
      </c>
      <c r="AD35" s="2">
        <f t="shared" si="0"/>
        <v>0.56999999999999318</v>
      </c>
      <c r="AE35" s="138">
        <f t="shared" si="1"/>
        <v>-1.394475730758904E-2</v>
      </c>
    </row>
    <row r="36" spans="2:31" x14ac:dyDescent="0.25">
      <c r="B36" s="266">
        <v>42524</v>
      </c>
      <c r="C36" s="261">
        <v>200</v>
      </c>
      <c r="D36" s="574">
        <v>42.3598</v>
      </c>
      <c r="E36" s="262">
        <v>41.755000000000003</v>
      </c>
      <c r="F36" s="262">
        <f t="shared" ref="F36:F45" si="2">C36*(E36-D36)</f>
        <v>-120.95999999999947</v>
      </c>
      <c r="G36" s="262">
        <f t="shared" ref="G36" si="3">D36*C36</f>
        <v>8471.9599999999991</v>
      </c>
      <c r="H36" s="276">
        <f t="shared" ref="H36" si="4">(E36-D36)/D36</f>
        <v>-1.4277687807779955E-2</v>
      </c>
      <c r="I36" s="262"/>
      <c r="W36" s="133">
        <v>42628</v>
      </c>
      <c r="X36" s="10">
        <v>37.090000000000003</v>
      </c>
      <c r="Y36" s="10">
        <v>37.619999999999997</v>
      </c>
      <c r="Z36" s="10">
        <v>36.82</v>
      </c>
      <c r="AA36" s="10">
        <v>37.29</v>
      </c>
      <c r="AB36" s="95">
        <v>9159400</v>
      </c>
      <c r="AC36" s="10">
        <v>37.29</v>
      </c>
      <c r="AD36" s="2">
        <f t="shared" si="0"/>
        <v>0.79999999999999716</v>
      </c>
      <c r="AE36" s="138">
        <f t="shared" si="1"/>
        <v>4.579741379310498E-3</v>
      </c>
    </row>
    <row r="37" spans="2:31" x14ac:dyDescent="0.25">
      <c r="B37" s="266">
        <v>42527</v>
      </c>
      <c r="C37" s="261">
        <v>200</v>
      </c>
      <c r="D37" s="262">
        <v>42.3598</v>
      </c>
      <c r="E37" s="262">
        <v>41.28</v>
      </c>
      <c r="F37" s="262">
        <f t="shared" si="2"/>
        <v>-215.95999999999975</v>
      </c>
      <c r="G37" s="262">
        <f t="shared" ref="G37" si="5">D37*C37</f>
        <v>8471.9599999999991</v>
      </c>
      <c r="H37" s="276">
        <f t="shared" ref="H37" si="6">(E37-D37)/D37</f>
        <v>-2.5491149627713039E-2</v>
      </c>
      <c r="I37" s="262"/>
      <c r="W37" s="133">
        <v>42627</v>
      </c>
      <c r="X37" s="10">
        <v>37.43</v>
      </c>
      <c r="Y37" s="10">
        <v>37.89</v>
      </c>
      <c r="Z37" s="10">
        <v>36.93</v>
      </c>
      <c r="AA37" s="10">
        <v>37.119999999999997</v>
      </c>
      <c r="AB37" s="95">
        <v>9468400</v>
      </c>
      <c r="AC37" s="10">
        <v>37.119999999999997</v>
      </c>
      <c r="AD37" s="2">
        <f t="shared" si="0"/>
        <v>0.96000000000000085</v>
      </c>
      <c r="AE37" s="138">
        <f t="shared" si="1"/>
        <v>-1.09245936584067E-2</v>
      </c>
    </row>
    <row r="38" spans="2:31" x14ac:dyDescent="0.25">
      <c r="B38" s="266">
        <v>42533</v>
      </c>
      <c r="C38" s="261">
        <v>200</v>
      </c>
      <c r="D38" s="262">
        <v>42.36</v>
      </c>
      <c r="E38" s="262">
        <v>42.04</v>
      </c>
      <c r="F38" s="262">
        <f t="shared" si="2"/>
        <v>-64.000000000000057</v>
      </c>
      <c r="G38" s="262">
        <f t="shared" ref="G38" si="7">D38*C38</f>
        <v>8472</v>
      </c>
      <c r="H38" s="276">
        <f t="shared" ref="H38" si="8">(E38-D38)/D38</f>
        <v>-7.5542965061378723E-3</v>
      </c>
      <c r="I38" s="262"/>
      <c r="W38" s="133">
        <v>42626</v>
      </c>
      <c r="X38" s="10">
        <v>38.200000000000003</v>
      </c>
      <c r="Y38" s="10">
        <v>38.51</v>
      </c>
      <c r="Z38" s="10">
        <v>37.39</v>
      </c>
      <c r="AA38" s="10">
        <v>37.53</v>
      </c>
      <c r="AB38" s="95">
        <v>10203900</v>
      </c>
      <c r="AC38" s="10">
        <v>37.53</v>
      </c>
      <c r="AD38" s="2">
        <f t="shared" si="0"/>
        <v>1.1199999999999974</v>
      </c>
      <c r="AE38" s="138">
        <f t="shared" si="1"/>
        <v>-2.3673257023933303E-2</v>
      </c>
    </row>
    <row r="39" spans="2:31" x14ac:dyDescent="0.25">
      <c r="B39" s="266">
        <v>42534</v>
      </c>
      <c r="C39" s="261">
        <v>200</v>
      </c>
      <c r="D39" s="262">
        <v>42.3598</v>
      </c>
      <c r="E39" s="262">
        <v>40.57</v>
      </c>
      <c r="F39" s="262">
        <f t="shared" si="2"/>
        <v>-357.95999999999992</v>
      </c>
      <c r="G39" s="262">
        <f t="shared" ref="G39:G45" si="9">D39*C39</f>
        <v>8471.9599999999991</v>
      </c>
      <c r="H39" s="276">
        <f t="shared" ref="H39:H45" si="10">(E39-D39)/D39</f>
        <v>-4.2252324137507721E-2</v>
      </c>
      <c r="I39" s="262"/>
      <c r="W39" s="133">
        <v>42625</v>
      </c>
      <c r="X39" s="10">
        <v>37.24</v>
      </c>
      <c r="Y39" s="10">
        <v>38.590000000000003</v>
      </c>
      <c r="Z39" s="10">
        <v>36.880000000000003</v>
      </c>
      <c r="AA39" s="10">
        <v>38.44</v>
      </c>
      <c r="AB39" s="95">
        <v>8572700</v>
      </c>
      <c r="AC39" s="10">
        <v>38.44</v>
      </c>
      <c r="AD39" s="2">
        <f t="shared" si="0"/>
        <v>1.7100000000000009</v>
      </c>
      <c r="AE39" s="138">
        <f t="shared" si="1"/>
        <v>1.8278145695364234E-2</v>
      </c>
    </row>
    <row r="40" spans="2:31" x14ac:dyDescent="0.25">
      <c r="B40" s="266">
        <v>42535</v>
      </c>
      <c r="C40" s="261">
        <v>300</v>
      </c>
      <c r="D40" s="262">
        <v>41.523200000000003</v>
      </c>
      <c r="E40" s="262">
        <v>39.11</v>
      </c>
      <c r="F40" s="262">
        <f t="shared" si="2"/>
        <v>-723.96000000000095</v>
      </c>
      <c r="G40" s="262">
        <f t="shared" si="9"/>
        <v>12456.960000000001</v>
      </c>
      <c r="H40" s="276">
        <f t="shared" si="10"/>
        <v>-5.8116908138101185E-2</v>
      </c>
      <c r="I40" s="262"/>
      <c r="W40" s="133">
        <v>42622</v>
      </c>
      <c r="X40" s="10">
        <v>39.090000000000003</v>
      </c>
      <c r="Y40" s="10">
        <v>39.39</v>
      </c>
      <c r="Z40" s="10">
        <v>37.75</v>
      </c>
      <c r="AA40" s="10">
        <v>37.75</v>
      </c>
      <c r="AB40" s="95">
        <v>11696700</v>
      </c>
      <c r="AC40" s="10">
        <v>37.75</v>
      </c>
      <c r="AD40" s="2">
        <f t="shared" si="0"/>
        <v>1.6400000000000006</v>
      </c>
      <c r="AE40" s="138">
        <f t="shared" si="1"/>
        <v>-3.9195724102825125E-2</v>
      </c>
    </row>
    <row r="41" spans="2:31" x14ac:dyDescent="0.25">
      <c r="B41" s="266">
        <v>42537</v>
      </c>
      <c r="C41" s="261">
        <v>400</v>
      </c>
      <c r="D41" s="262">
        <v>40.604900000000001</v>
      </c>
      <c r="E41" s="262">
        <v>38.020000000000003</v>
      </c>
      <c r="F41" s="262">
        <f t="shared" si="2"/>
        <v>-1033.9599999999991</v>
      </c>
      <c r="G41" s="262">
        <f t="shared" si="9"/>
        <v>16241.960000000001</v>
      </c>
      <c r="H41" s="276">
        <f t="shared" si="10"/>
        <v>-6.3659804604862896E-2</v>
      </c>
      <c r="I41" s="262"/>
      <c r="Q41" s="2"/>
      <c r="W41" s="133">
        <v>42621</v>
      </c>
      <c r="X41" s="10">
        <v>38.86</v>
      </c>
      <c r="Y41" s="10">
        <v>39.299999999999997</v>
      </c>
      <c r="Z41" s="10">
        <v>38.6</v>
      </c>
      <c r="AA41" s="10">
        <v>39.29</v>
      </c>
      <c r="AB41" s="95">
        <v>10542100</v>
      </c>
      <c r="AC41" s="10">
        <v>39.29</v>
      </c>
      <c r="AD41" s="2">
        <f t="shared" si="0"/>
        <v>0.69999999999999574</v>
      </c>
      <c r="AE41" s="138">
        <f t="shared" si="1"/>
        <v>1.0025706940874013E-2</v>
      </c>
    </row>
    <row r="42" spans="2:31" ht="20.25" thickBot="1" x14ac:dyDescent="0.35">
      <c r="B42" s="266">
        <v>42542</v>
      </c>
      <c r="C42" s="261">
        <v>400</v>
      </c>
      <c r="D42" s="262">
        <v>40.604900000000001</v>
      </c>
      <c r="E42" s="262">
        <v>38.67</v>
      </c>
      <c r="F42" s="262">
        <f t="shared" si="2"/>
        <v>-773.95999999999958</v>
      </c>
      <c r="G42" s="262">
        <f t="shared" si="9"/>
        <v>16241.960000000001</v>
      </c>
      <c r="H42" s="276">
        <f t="shared" si="10"/>
        <v>-4.7651884378486317E-2</v>
      </c>
      <c r="I42" s="262"/>
      <c r="O42" s="588" t="s">
        <v>78</v>
      </c>
      <c r="P42" s="588"/>
      <c r="Q42" s="2"/>
      <c r="T42" s="91" t="s">
        <v>113</v>
      </c>
      <c r="W42" s="133">
        <v>42620</v>
      </c>
      <c r="X42" s="10">
        <v>37.450000000000003</v>
      </c>
      <c r="Y42" s="10">
        <v>39.18</v>
      </c>
      <c r="Z42" s="10">
        <v>37.409999999999997</v>
      </c>
      <c r="AA42" s="10">
        <v>38.9</v>
      </c>
      <c r="AB42" s="95">
        <v>16662100</v>
      </c>
      <c r="AC42" s="10">
        <v>38.9</v>
      </c>
      <c r="AD42" s="2">
        <f t="shared" si="0"/>
        <v>1.7700000000000031</v>
      </c>
      <c r="AE42" s="138">
        <f t="shared" si="1"/>
        <v>5.6491037479630579E-2</v>
      </c>
    </row>
    <row r="43" spans="2:31" ht="15.75" thickTop="1" x14ac:dyDescent="0.25">
      <c r="B43" s="266">
        <v>42545</v>
      </c>
      <c r="C43" s="261">
        <v>500</v>
      </c>
      <c r="D43" s="262">
        <v>39.685899999999997</v>
      </c>
      <c r="E43" s="262">
        <v>38.31</v>
      </c>
      <c r="F43" s="262">
        <f t="shared" si="2"/>
        <v>-687.9499999999972</v>
      </c>
      <c r="G43" s="262">
        <f t="shared" si="9"/>
        <v>19842.949999999997</v>
      </c>
      <c r="H43" s="276">
        <f t="shared" si="10"/>
        <v>-3.466974416606388E-2</v>
      </c>
      <c r="I43" s="262"/>
      <c r="O43" s="83">
        <v>1.1000000000000001</v>
      </c>
      <c r="P43" s="83">
        <f>O43*$Q$4</f>
        <v>46.123000000000005</v>
      </c>
      <c r="Q43" s="2"/>
      <c r="T43" s="128" t="s">
        <v>98</v>
      </c>
      <c r="U43" s="98">
        <v>41.88</v>
      </c>
      <c r="W43" s="133">
        <v>42619</v>
      </c>
      <c r="X43" s="10">
        <v>37.229999999999997</v>
      </c>
      <c r="Y43" s="10">
        <v>37.29</v>
      </c>
      <c r="Z43" s="10">
        <v>36.65</v>
      </c>
      <c r="AA43" s="10">
        <v>36.82</v>
      </c>
      <c r="AB43" s="95">
        <v>8041600</v>
      </c>
      <c r="AC43" s="10">
        <v>36.82</v>
      </c>
      <c r="AD43" s="2">
        <f t="shared" si="0"/>
        <v>0.64000000000000057</v>
      </c>
      <c r="AE43" s="138">
        <f t="shared" si="1"/>
        <v>-9.4161958568738102E-3</v>
      </c>
    </row>
    <row r="44" spans="2:31" x14ac:dyDescent="0.25">
      <c r="B44" s="266">
        <v>42545</v>
      </c>
      <c r="C44" s="261">
        <v>500</v>
      </c>
      <c r="D44" s="262">
        <v>39.487099999999998</v>
      </c>
      <c r="E44" s="262">
        <v>35.18</v>
      </c>
      <c r="F44" s="262">
        <f t="shared" si="2"/>
        <v>-2153.5499999999993</v>
      </c>
      <c r="G44" s="262">
        <f t="shared" si="9"/>
        <v>19743.55</v>
      </c>
      <c r="H44" s="276">
        <f t="shared" si="10"/>
        <v>-0.10907612865973948</v>
      </c>
      <c r="I44" s="262"/>
      <c r="O44" s="83">
        <v>1.0900000000000001</v>
      </c>
      <c r="P44" s="83">
        <f t="shared" ref="P44:P63" si="11">O44*$Q$4</f>
        <v>45.703700000000005</v>
      </c>
      <c r="Q44" s="2"/>
      <c r="T44" s="93" t="s">
        <v>99</v>
      </c>
      <c r="U44" s="88">
        <v>41.84</v>
      </c>
      <c r="W44" s="133">
        <v>42615</v>
      </c>
      <c r="X44" s="10">
        <v>36.67</v>
      </c>
      <c r="Y44" s="10">
        <v>37.49</v>
      </c>
      <c r="Z44" s="10">
        <v>36.67</v>
      </c>
      <c r="AA44" s="10">
        <v>37.17</v>
      </c>
      <c r="AB44" s="95">
        <v>10201900</v>
      </c>
      <c r="AC44" s="10">
        <v>37.17</v>
      </c>
      <c r="AD44" s="2">
        <f t="shared" si="0"/>
        <v>0.82000000000000028</v>
      </c>
      <c r="AE44" s="138">
        <f t="shared" si="1"/>
        <v>9.5057034220533687E-3</v>
      </c>
    </row>
    <row r="45" spans="2:31" x14ac:dyDescent="0.25">
      <c r="B45" s="266">
        <v>42548</v>
      </c>
      <c r="C45" s="261">
        <v>600</v>
      </c>
      <c r="D45" s="262">
        <v>38.552599999999998</v>
      </c>
      <c r="E45" s="262">
        <v>33.36</v>
      </c>
      <c r="F45" s="262">
        <f t="shared" si="2"/>
        <v>-3115.5599999999995</v>
      </c>
      <c r="G45" s="262">
        <f t="shared" si="9"/>
        <v>23131.559999999998</v>
      </c>
      <c r="H45" s="276">
        <f t="shared" si="10"/>
        <v>-0.13468871100781787</v>
      </c>
      <c r="I45" s="262"/>
      <c r="O45" s="83">
        <v>1.08</v>
      </c>
      <c r="P45" s="83">
        <f t="shared" si="11"/>
        <v>45.284400000000005</v>
      </c>
      <c r="Q45" s="2"/>
      <c r="T45" s="93" t="s">
        <v>100</v>
      </c>
      <c r="U45" s="88" t="s">
        <v>528</v>
      </c>
      <c r="W45" s="133">
        <v>42614</v>
      </c>
      <c r="X45" s="10">
        <v>37</v>
      </c>
      <c r="Y45" s="10">
        <v>37.15</v>
      </c>
      <c r="Z45" s="10">
        <v>36.32</v>
      </c>
      <c r="AA45" s="10">
        <v>36.82</v>
      </c>
      <c r="AB45" s="95">
        <v>7127400</v>
      </c>
      <c r="AC45" s="10">
        <v>36.82</v>
      </c>
      <c r="AD45" s="2">
        <f t="shared" si="0"/>
        <v>0.82999999999999829</v>
      </c>
      <c r="AE45" s="138">
        <f t="shared" si="1"/>
        <v>1.9047619047618536E-3</v>
      </c>
    </row>
    <row r="46" spans="2:31" x14ac:dyDescent="0.25">
      <c r="B46" s="266">
        <v>42549</v>
      </c>
      <c r="C46" s="261">
        <v>600</v>
      </c>
      <c r="D46" s="262">
        <v>38.552599999999998</v>
      </c>
      <c r="E46" s="262">
        <v>34.67</v>
      </c>
      <c r="F46" s="262">
        <f t="shared" ref="F46" si="12">C46*(E46-D46)</f>
        <v>-2329.5599999999977</v>
      </c>
      <c r="G46" s="262">
        <f t="shared" ref="G46" si="13">D46*C46</f>
        <v>23131.559999999998</v>
      </c>
      <c r="H46" s="276">
        <f t="shared" ref="H46" si="14">(E46-D46)/D46</f>
        <v>-0.10070916099043895</v>
      </c>
      <c r="I46" s="262"/>
      <c r="O46" s="83">
        <v>1.07</v>
      </c>
      <c r="P46" s="83">
        <f t="shared" si="11"/>
        <v>44.865100000000005</v>
      </c>
      <c r="Q46" s="2"/>
      <c r="T46" s="93" t="s">
        <v>101</v>
      </c>
      <c r="U46" s="88" t="s">
        <v>529</v>
      </c>
      <c r="W46" s="133">
        <v>42613</v>
      </c>
      <c r="X46" s="10">
        <v>37.32</v>
      </c>
      <c r="Y46" s="10">
        <v>37.32</v>
      </c>
      <c r="Z46" s="10">
        <v>36.020000000000003</v>
      </c>
      <c r="AA46" s="10">
        <v>36.75</v>
      </c>
      <c r="AB46" s="95">
        <v>13838000</v>
      </c>
      <c r="AC46" s="10">
        <v>36.75</v>
      </c>
      <c r="AD46" s="2">
        <f t="shared" si="0"/>
        <v>1.2999999999999972</v>
      </c>
      <c r="AE46" s="138">
        <f t="shared" si="1"/>
        <v>-1.1033369214208721E-2</v>
      </c>
    </row>
    <row r="47" spans="2:31" x14ac:dyDescent="0.25">
      <c r="B47" s="266">
        <v>42552</v>
      </c>
      <c r="C47" s="261">
        <v>600</v>
      </c>
      <c r="D47" s="262">
        <v>38.552599999999998</v>
      </c>
      <c r="E47" s="262">
        <v>36.770000000000003</v>
      </c>
      <c r="F47" s="262">
        <f t="shared" ref="F47" si="15">C47*(E47-D47)</f>
        <v>-1069.559999999997</v>
      </c>
      <c r="G47" s="262">
        <f t="shared" ref="G47" si="16">D47*C47</f>
        <v>23131.559999999998</v>
      </c>
      <c r="H47" s="276">
        <f t="shared" ref="H47" si="17">(E47-D47)/D47</f>
        <v>-4.6238126611434643E-2</v>
      </c>
      <c r="I47" s="262"/>
      <c r="O47" s="83">
        <v>1.06</v>
      </c>
      <c r="P47" s="83">
        <f t="shared" si="11"/>
        <v>44.445799999999998</v>
      </c>
      <c r="Q47" s="2"/>
      <c r="T47" s="93" t="s">
        <v>102</v>
      </c>
      <c r="U47" s="88">
        <v>0.4</v>
      </c>
      <c r="W47" s="133">
        <v>42612</v>
      </c>
      <c r="X47" s="10">
        <v>36.549999999999997</v>
      </c>
      <c r="Y47" s="10">
        <v>37.6</v>
      </c>
      <c r="Z47" s="10">
        <v>36.380000000000003</v>
      </c>
      <c r="AA47" s="10">
        <v>37.159999999999997</v>
      </c>
      <c r="AB47" s="95">
        <v>9950600</v>
      </c>
      <c r="AC47" s="10">
        <v>37.159999999999997</v>
      </c>
      <c r="AD47" s="2">
        <f t="shared" si="0"/>
        <v>1.2199999999999989</v>
      </c>
      <c r="AE47" s="138">
        <f t="shared" si="1"/>
        <v>1.6689466484268056E-2</v>
      </c>
    </row>
    <row r="48" spans="2:31" x14ac:dyDescent="0.25">
      <c r="B48" s="266">
        <v>42556</v>
      </c>
      <c r="C48" s="275">
        <v>600</v>
      </c>
      <c r="D48" s="373">
        <v>38.552599999999998</v>
      </c>
      <c r="E48" s="262">
        <v>35.619999999999997</v>
      </c>
      <c r="F48" s="262">
        <f t="shared" ref="F48" si="18">C48*(E48-D48)</f>
        <v>-1759.5600000000004</v>
      </c>
      <c r="G48" s="262">
        <f t="shared" ref="G48" si="19">D48*C48</f>
        <v>23131.559999999998</v>
      </c>
      <c r="H48" s="276">
        <f t="shared" ref="H48" si="20">(E48-D48)/D48</f>
        <v>-7.6067502580889512E-2</v>
      </c>
      <c r="I48" s="262"/>
      <c r="O48" s="83">
        <v>1.05</v>
      </c>
      <c r="P48" s="83">
        <f t="shared" si="11"/>
        <v>44.026499999999999</v>
      </c>
      <c r="Q48" s="2"/>
      <c r="T48" s="93" t="s">
        <v>103</v>
      </c>
      <c r="U48" s="88">
        <v>0.94838599999999995</v>
      </c>
      <c r="W48" s="133">
        <v>42611</v>
      </c>
      <c r="X48" s="10">
        <v>36.270000000000003</v>
      </c>
      <c r="Y48" s="10">
        <v>36.6</v>
      </c>
      <c r="Z48" s="10">
        <v>36.26</v>
      </c>
      <c r="AA48" s="10">
        <v>36.549999999999997</v>
      </c>
      <c r="AB48" s="95">
        <v>5674600</v>
      </c>
      <c r="AC48" s="10">
        <v>36.549999999999997</v>
      </c>
      <c r="AD48" s="2">
        <f t="shared" si="0"/>
        <v>0.34000000000000341</v>
      </c>
      <c r="AE48" s="138">
        <f t="shared" si="1"/>
        <v>1.2745912995289377E-2</v>
      </c>
    </row>
    <row r="49" spans="2:31" x14ac:dyDescent="0.25">
      <c r="B49" s="266">
        <v>42559</v>
      </c>
      <c r="C49" s="275">
        <v>600</v>
      </c>
      <c r="D49" s="373">
        <v>38.552599999999998</v>
      </c>
      <c r="E49" s="262">
        <v>37.369999999999997</v>
      </c>
      <c r="F49" s="262">
        <f t="shared" ref="F49" si="21">C49*(E49-D49)</f>
        <v>-709.5600000000004</v>
      </c>
      <c r="G49" s="262">
        <f t="shared" ref="G49" si="22">D49*C49</f>
        <v>23131.559999999998</v>
      </c>
      <c r="H49" s="276">
        <f t="shared" ref="H49" si="23">(E49-D49)/D49</f>
        <v>-3.0674973931719283E-2</v>
      </c>
      <c r="I49" s="262"/>
      <c r="O49" s="83">
        <v>1.04</v>
      </c>
      <c r="P49" s="83">
        <f t="shared" si="11"/>
        <v>43.607199999999999</v>
      </c>
      <c r="Q49" s="2"/>
      <c r="T49" s="93" t="s">
        <v>122</v>
      </c>
      <c r="U49" s="88" t="s">
        <v>387</v>
      </c>
      <c r="W49" s="133">
        <v>42608</v>
      </c>
      <c r="X49" s="10">
        <v>36.51</v>
      </c>
      <c r="Y49" s="10">
        <v>36.64</v>
      </c>
      <c r="Z49" s="10">
        <v>35.9</v>
      </c>
      <c r="AA49" s="10">
        <v>36.090000000000003</v>
      </c>
      <c r="AB49" s="95">
        <v>7882000</v>
      </c>
      <c r="AC49" s="10">
        <v>36.090000000000003</v>
      </c>
      <c r="AD49" s="2">
        <f t="shared" si="0"/>
        <v>0.74000000000000199</v>
      </c>
      <c r="AE49" s="138">
        <f t="shared" si="1"/>
        <v>-1.0419522895530497E-2</v>
      </c>
    </row>
    <row r="50" spans="2:31" x14ac:dyDescent="0.25">
      <c r="B50" s="266">
        <v>42562</v>
      </c>
      <c r="C50" s="275">
        <v>600</v>
      </c>
      <c r="D50" s="373">
        <v>38.552599999999998</v>
      </c>
      <c r="E50" s="262">
        <v>38.119999999999997</v>
      </c>
      <c r="F50" s="262">
        <f t="shared" ref="F50:F52" si="24">C50*(E50-D50)</f>
        <v>-259.56000000000046</v>
      </c>
      <c r="G50" s="262">
        <f t="shared" ref="G50:G52" si="25">D50*C50</f>
        <v>23131.559999999998</v>
      </c>
      <c r="H50" s="276">
        <f t="shared" ref="H50:H52" si="26">(E50-D50)/D50</f>
        <v>-1.1221033082074899E-2</v>
      </c>
      <c r="I50" s="262"/>
      <c r="O50" s="83">
        <v>1.03</v>
      </c>
      <c r="P50" s="83">
        <f t="shared" si="11"/>
        <v>43.187899999999999</v>
      </c>
      <c r="Q50" s="2"/>
      <c r="T50" s="93"/>
      <c r="U50" s="88"/>
      <c r="W50" s="133">
        <v>42607</v>
      </c>
      <c r="X50" s="10">
        <v>36.64</v>
      </c>
      <c r="Y50" s="10">
        <v>36.81</v>
      </c>
      <c r="Z50" s="10">
        <v>36.44</v>
      </c>
      <c r="AA50" s="10">
        <v>36.47</v>
      </c>
      <c r="AB50" s="95">
        <v>6540000</v>
      </c>
      <c r="AC50" s="10">
        <v>36.47</v>
      </c>
      <c r="AD50" s="2">
        <f t="shared" si="0"/>
        <v>0.37000000000000455</v>
      </c>
      <c r="AE50" s="138">
        <f t="shared" si="1"/>
        <v>-8.158825129181535E-3</v>
      </c>
    </row>
    <row r="51" spans="2:31" x14ac:dyDescent="0.25">
      <c r="B51" s="266">
        <v>42563</v>
      </c>
      <c r="C51" s="261">
        <v>500</v>
      </c>
      <c r="D51" s="262">
        <v>38.395200000000003</v>
      </c>
      <c r="E51" s="262">
        <v>40.21</v>
      </c>
      <c r="F51" s="262">
        <f t="shared" si="24"/>
        <v>907.39999999999907</v>
      </c>
      <c r="G51" s="262">
        <f t="shared" si="25"/>
        <v>19197.600000000002</v>
      </c>
      <c r="H51" s="276">
        <f t="shared" si="26"/>
        <v>4.7266324957286276E-2</v>
      </c>
      <c r="I51" s="262"/>
      <c r="O51" s="83">
        <v>1.02</v>
      </c>
      <c r="P51" s="83">
        <f>O51*$Q$4</f>
        <v>42.768599999999999</v>
      </c>
      <c r="Q51" s="2"/>
      <c r="T51" s="93" t="s">
        <v>105</v>
      </c>
      <c r="U51" s="88" t="s">
        <v>530</v>
      </c>
      <c r="W51" s="133">
        <v>42606</v>
      </c>
      <c r="X51" s="10">
        <v>36.630000000000003</v>
      </c>
      <c r="Y51" s="10">
        <v>37.049999999999997</v>
      </c>
      <c r="Z51" s="10">
        <v>36.47</v>
      </c>
      <c r="AA51" s="10">
        <v>36.770000000000003</v>
      </c>
      <c r="AB51" s="95">
        <v>7548000</v>
      </c>
      <c r="AC51" s="10">
        <v>36.770000000000003</v>
      </c>
      <c r="AD51" s="2">
        <f t="shared" si="0"/>
        <v>0.57999999999999829</v>
      </c>
      <c r="AE51" s="138">
        <f t="shared" si="1"/>
        <v>2.1804306350505787E-3</v>
      </c>
    </row>
    <row r="52" spans="2:31" x14ac:dyDescent="0.25">
      <c r="B52" s="266">
        <v>42566</v>
      </c>
      <c r="C52" s="261">
        <v>400</v>
      </c>
      <c r="D52" s="262">
        <v>37.874299999999998</v>
      </c>
      <c r="E52" s="262">
        <v>39.979999999999997</v>
      </c>
      <c r="F52" s="262">
        <f t="shared" si="24"/>
        <v>842.27999999999952</v>
      </c>
      <c r="G52" s="262">
        <f t="shared" si="25"/>
        <v>15149.72</v>
      </c>
      <c r="H52" s="276">
        <f t="shared" si="26"/>
        <v>5.559706714051478E-2</v>
      </c>
      <c r="I52" s="262"/>
      <c r="O52" s="83">
        <v>1.01</v>
      </c>
      <c r="P52" s="83">
        <f t="shared" si="11"/>
        <v>42.349299999999999</v>
      </c>
      <c r="Q52" s="2"/>
      <c r="T52" s="93" t="s">
        <v>106</v>
      </c>
      <c r="U52" s="88" t="s">
        <v>250</v>
      </c>
      <c r="W52" s="133">
        <v>42605</v>
      </c>
      <c r="X52" s="10">
        <v>36.78</v>
      </c>
      <c r="Y52" s="10">
        <v>37.130000000000003</v>
      </c>
      <c r="Z52" s="10">
        <v>36.619999999999997</v>
      </c>
      <c r="AA52" s="10">
        <v>36.69</v>
      </c>
      <c r="AB52" s="95">
        <v>7588400</v>
      </c>
      <c r="AC52" s="10">
        <v>36.69</v>
      </c>
      <c r="AD52" s="2">
        <f t="shared" si="0"/>
        <v>0.51000000000000512</v>
      </c>
      <c r="AE52" s="138">
        <f t="shared" si="1"/>
        <v>2.1851953018301451E-3</v>
      </c>
    </row>
    <row r="53" spans="2:31" x14ac:dyDescent="0.25">
      <c r="B53" s="266">
        <v>42569</v>
      </c>
      <c r="C53" s="261">
        <v>400</v>
      </c>
      <c r="D53" s="262">
        <v>37.874299999999998</v>
      </c>
      <c r="E53" s="262">
        <v>40.1</v>
      </c>
      <c r="F53" s="262">
        <f t="shared" ref="F53" si="27">C53*(E53-D53)</f>
        <v>890.28000000000134</v>
      </c>
      <c r="G53" s="262">
        <f t="shared" ref="G53" si="28">D53*C53</f>
        <v>15149.72</v>
      </c>
      <c r="H53" s="276">
        <f t="shared" ref="H53" si="29">(E53-D53)/D53</f>
        <v>5.8765442529631E-2</v>
      </c>
      <c r="I53" s="262"/>
      <c r="O53" s="83">
        <v>1</v>
      </c>
      <c r="P53" s="83">
        <f t="shared" si="11"/>
        <v>41.93</v>
      </c>
      <c r="Q53" s="2"/>
      <c r="T53" s="93" t="s">
        <v>107</v>
      </c>
      <c r="U53" s="90">
        <v>10361480</v>
      </c>
      <c r="W53" s="133">
        <v>42604</v>
      </c>
      <c r="X53" s="10">
        <v>36.53</v>
      </c>
      <c r="Y53" s="10">
        <v>36.74</v>
      </c>
      <c r="Z53" s="10">
        <v>36.07</v>
      </c>
      <c r="AA53" s="10">
        <v>36.61</v>
      </c>
      <c r="AB53" s="95">
        <v>11186100</v>
      </c>
      <c r="AC53" s="10">
        <v>36.61</v>
      </c>
      <c r="AD53" s="2">
        <f t="shared" si="0"/>
        <v>0.67000000000000171</v>
      </c>
      <c r="AE53" s="138">
        <f t="shared" si="1"/>
        <v>-4.3513734022301298E-3</v>
      </c>
    </row>
    <row r="54" spans="2:31" x14ac:dyDescent="0.25">
      <c r="B54" s="266">
        <v>42570</v>
      </c>
      <c r="C54" s="261">
        <v>400</v>
      </c>
      <c r="D54" s="262">
        <v>37.874299999999998</v>
      </c>
      <c r="E54" s="262">
        <v>40.53</v>
      </c>
      <c r="F54" s="262">
        <f t="shared" ref="F54:F56" si="30">C54*(E54-D54)</f>
        <v>1062.2800000000011</v>
      </c>
      <c r="G54" s="262">
        <f t="shared" ref="G54:G56" si="31">D54*C54</f>
        <v>15149.72</v>
      </c>
      <c r="H54" s="276">
        <f t="shared" ref="H54:H56" si="32">(E54-D54)/D54</f>
        <v>7.0118787673963692E-2</v>
      </c>
      <c r="I54" s="262"/>
      <c r="O54" s="83">
        <v>0.99</v>
      </c>
      <c r="P54" s="83">
        <f t="shared" si="11"/>
        <v>41.5107</v>
      </c>
      <c r="T54" s="93" t="s">
        <v>110</v>
      </c>
      <c r="U54" s="90">
        <v>10014000</v>
      </c>
      <c r="W54" s="133">
        <v>42601</v>
      </c>
      <c r="X54" s="10">
        <v>36.81</v>
      </c>
      <c r="Y54" s="10">
        <v>36.979999999999997</v>
      </c>
      <c r="Z54" s="10">
        <v>36.369999999999997</v>
      </c>
      <c r="AA54" s="10">
        <v>36.770000000000003</v>
      </c>
      <c r="AB54" s="95">
        <v>7579600</v>
      </c>
      <c r="AC54" s="10">
        <v>36.770000000000003</v>
      </c>
      <c r="AD54" s="2">
        <f t="shared" si="0"/>
        <v>0.60999999999999943</v>
      </c>
      <c r="AE54" s="138">
        <f t="shared" si="1"/>
        <v>-8.0927974103047751E-3</v>
      </c>
    </row>
    <row r="55" spans="2:31" x14ac:dyDescent="0.25">
      <c r="B55" s="266">
        <v>42571</v>
      </c>
      <c r="C55" s="275">
        <v>300</v>
      </c>
      <c r="D55" s="373">
        <v>36.805999999999997</v>
      </c>
      <c r="E55" s="373">
        <v>40.21</v>
      </c>
      <c r="F55" s="262">
        <f t="shared" si="30"/>
        <v>1021.2000000000011</v>
      </c>
      <c r="G55" s="262">
        <f t="shared" si="31"/>
        <v>11041.8</v>
      </c>
      <c r="H55" s="276">
        <f t="shared" si="32"/>
        <v>9.2484920936803883E-2</v>
      </c>
      <c r="I55" s="262"/>
      <c r="O55" s="83">
        <v>0.98</v>
      </c>
      <c r="P55" s="83">
        <f t="shared" si="11"/>
        <v>41.0914</v>
      </c>
      <c r="T55" s="93" t="s">
        <v>108</v>
      </c>
      <c r="U55" s="88" t="s">
        <v>531</v>
      </c>
      <c r="W55" s="133">
        <v>42600</v>
      </c>
      <c r="X55" s="10">
        <v>37.369999999999997</v>
      </c>
      <c r="Y55" s="10">
        <v>37.43</v>
      </c>
      <c r="Z55" s="10">
        <v>36.85</v>
      </c>
      <c r="AA55" s="10">
        <v>37.07</v>
      </c>
      <c r="AB55" s="95">
        <v>12103300</v>
      </c>
      <c r="AC55" s="10">
        <v>37.07</v>
      </c>
      <c r="AD55" s="2">
        <f t="shared" si="0"/>
        <v>0.57999999999999829</v>
      </c>
      <c r="AE55" s="138">
        <f t="shared" si="1"/>
        <v>-1.1730205278592365E-2</v>
      </c>
    </row>
    <row r="56" spans="2:31" x14ac:dyDescent="0.25">
      <c r="B56" s="266">
        <v>42572</v>
      </c>
      <c r="C56" s="261">
        <v>350</v>
      </c>
      <c r="D56" s="262">
        <v>37.059399999999997</v>
      </c>
      <c r="E56" s="262">
        <v>38.520000000000003</v>
      </c>
      <c r="F56" s="262">
        <f t="shared" si="30"/>
        <v>511.21000000000231</v>
      </c>
      <c r="G56" s="262">
        <f t="shared" si="31"/>
        <v>12970.789999999999</v>
      </c>
      <c r="H56" s="276">
        <f t="shared" si="32"/>
        <v>3.9412402791194859E-2</v>
      </c>
      <c r="I56" s="262"/>
      <c r="O56" s="83">
        <v>0.97</v>
      </c>
      <c r="P56" s="83">
        <f t="shared" si="11"/>
        <v>40.6721</v>
      </c>
      <c r="T56" s="93" t="s">
        <v>111</v>
      </c>
      <c r="U56" s="88">
        <v>6.8</v>
      </c>
      <c r="W56" s="133">
        <v>42599</v>
      </c>
      <c r="X56" s="10">
        <v>37.03</v>
      </c>
      <c r="Y56" s="10">
        <v>37.53</v>
      </c>
      <c r="Z56" s="10">
        <v>36.71</v>
      </c>
      <c r="AA56" s="10">
        <v>37.51</v>
      </c>
      <c r="AB56" s="95">
        <v>10427900</v>
      </c>
      <c r="AC56" s="10">
        <v>37.51</v>
      </c>
      <c r="AD56" s="2">
        <f t="shared" si="0"/>
        <v>0.82000000000000028</v>
      </c>
      <c r="AE56" s="138">
        <f t="shared" si="1"/>
        <v>1.5430427720628082E-2</v>
      </c>
    </row>
    <row r="57" spans="2:31" x14ac:dyDescent="0.25">
      <c r="B57" s="266">
        <v>42575</v>
      </c>
      <c r="C57" s="261">
        <v>350</v>
      </c>
      <c r="D57" s="262">
        <v>37.059399999999997</v>
      </c>
      <c r="E57" s="262">
        <v>38.96</v>
      </c>
      <c r="F57" s="262">
        <f t="shared" ref="F57" si="33">C57*(E57-D57)</f>
        <v>665.21000000000151</v>
      </c>
      <c r="G57" s="262">
        <f t="shared" ref="G57" si="34">D57*C57</f>
        <v>12970.789999999999</v>
      </c>
      <c r="H57" s="276">
        <f t="shared" ref="H57" si="35">(E57-D57)/D57</f>
        <v>5.1285233975725576E-2</v>
      </c>
      <c r="I57" s="262"/>
      <c r="O57" s="83">
        <v>0.96</v>
      </c>
      <c r="P57" s="83">
        <f t="shared" si="11"/>
        <v>40.252800000000001</v>
      </c>
      <c r="T57" s="93" t="s">
        <v>112</v>
      </c>
      <c r="U57" s="88">
        <v>6.17</v>
      </c>
      <c r="W57" s="133">
        <v>42598</v>
      </c>
      <c r="X57" s="10">
        <v>36.81</v>
      </c>
      <c r="Y57" s="10">
        <v>37.31</v>
      </c>
      <c r="Z57" s="10">
        <v>36.79</v>
      </c>
      <c r="AA57" s="10">
        <v>36.94</v>
      </c>
      <c r="AB57" s="95">
        <v>9253500</v>
      </c>
      <c r="AC57" s="10">
        <v>36.94</v>
      </c>
      <c r="AD57" s="2">
        <f t="shared" si="0"/>
        <v>0.52000000000000313</v>
      </c>
      <c r="AE57" s="138">
        <f t="shared" si="1"/>
        <v>5.4171180931739116E-4</v>
      </c>
    </row>
    <row r="58" spans="2:31" x14ac:dyDescent="0.25">
      <c r="B58" s="266">
        <v>42577</v>
      </c>
      <c r="C58" s="261">
        <v>350</v>
      </c>
      <c r="D58" s="262">
        <v>37.059399999999997</v>
      </c>
      <c r="E58" s="262">
        <v>39.03</v>
      </c>
      <c r="F58" s="262">
        <f t="shared" ref="F58" si="36">C58*(E58-D58)</f>
        <v>689.71000000000163</v>
      </c>
      <c r="G58" s="262">
        <f t="shared" ref="G58" si="37">D58*C58</f>
        <v>12970.789999999999</v>
      </c>
      <c r="H58" s="276">
        <f t="shared" ref="H58" si="38">(E58-D58)/D58</f>
        <v>5.3174093482355481E-2</v>
      </c>
      <c r="I58" s="262"/>
      <c r="O58" s="83">
        <v>0.95</v>
      </c>
      <c r="P58" s="83">
        <f t="shared" si="11"/>
        <v>39.833500000000001</v>
      </c>
      <c r="T58" s="93" t="s">
        <v>109</v>
      </c>
      <c r="U58" s="88" t="s">
        <v>434</v>
      </c>
      <c r="W58" s="133">
        <v>42597</v>
      </c>
      <c r="X58" s="10">
        <v>36.35</v>
      </c>
      <c r="Y58" s="10">
        <v>37.049999999999997</v>
      </c>
      <c r="Z58" s="10">
        <v>35.840000000000003</v>
      </c>
      <c r="AA58" s="10">
        <v>36.92</v>
      </c>
      <c r="AB58" s="95">
        <v>10784600</v>
      </c>
      <c r="AC58" s="10">
        <v>36.92</v>
      </c>
      <c r="AD58" s="2">
        <f t="shared" si="0"/>
        <v>1.2099999999999937</v>
      </c>
      <c r="AE58" s="138">
        <f t="shared" si="1"/>
        <v>1.5680880330123825E-2</v>
      </c>
    </row>
    <row r="59" spans="2:31" x14ac:dyDescent="0.25">
      <c r="B59" s="266">
        <v>42580</v>
      </c>
      <c r="C59" s="261">
        <v>300</v>
      </c>
      <c r="D59" s="262">
        <v>36.606099999999998</v>
      </c>
      <c r="E59" s="262">
        <v>39.659999999999997</v>
      </c>
      <c r="F59" s="262">
        <f t="shared" ref="F59:F62" si="39">C59*(E59-D59)</f>
        <v>916.16999999999962</v>
      </c>
      <c r="G59" s="262">
        <f t="shared" ref="G59:G62" si="40">D59*C59</f>
        <v>10981.83</v>
      </c>
      <c r="H59" s="276">
        <f t="shared" ref="H59:H62" si="41">(E59-D59)/D59</f>
        <v>8.3425986379319264E-2</v>
      </c>
      <c r="I59" s="262">
        <v>36</v>
      </c>
      <c r="O59" s="83">
        <v>0.94</v>
      </c>
      <c r="P59" s="83">
        <f t="shared" si="11"/>
        <v>39.414200000000001</v>
      </c>
      <c r="W59" s="133">
        <v>42594</v>
      </c>
      <c r="X59" s="10">
        <v>36.68</v>
      </c>
      <c r="Y59" s="10">
        <v>36.74</v>
      </c>
      <c r="Z59" s="10">
        <v>36.26</v>
      </c>
      <c r="AA59" s="10">
        <v>36.35</v>
      </c>
      <c r="AB59" s="95">
        <v>7700600</v>
      </c>
      <c r="AC59" s="10">
        <v>36.35</v>
      </c>
      <c r="AD59" s="2">
        <f t="shared" si="0"/>
        <v>0.48000000000000398</v>
      </c>
      <c r="AE59" s="138">
        <f t="shared" si="1"/>
        <v>-9.5367847411444995E-3</v>
      </c>
    </row>
    <row r="60" spans="2:31" x14ac:dyDescent="0.25">
      <c r="B60" s="266">
        <v>42580</v>
      </c>
      <c r="C60" s="261">
        <v>350</v>
      </c>
      <c r="D60" s="262">
        <v>36.945300000000003</v>
      </c>
      <c r="E60" s="262">
        <v>38.75</v>
      </c>
      <c r="F60" s="262">
        <f t="shared" si="39"/>
        <v>631.64499999999884</v>
      </c>
      <c r="G60" s="262">
        <f t="shared" si="40"/>
        <v>12930.855000000001</v>
      </c>
      <c r="H60" s="276">
        <f t="shared" si="41"/>
        <v>4.8847891342065075E-2</v>
      </c>
      <c r="I60" s="262"/>
      <c r="O60" s="83">
        <v>0.93</v>
      </c>
      <c r="P60" s="83">
        <f t="shared" si="11"/>
        <v>38.994900000000001</v>
      </c>
      <c r="W60" s="133">
        <v>42593</v>
      </c>
      <c r="X60" s="10">
        <v>36.58</v>
      </c>
      <c r="Y60" s="10">
        <v>37.049999999999997</v>
      </c>
      <c r="Z60" s="10">
        <v>36.28</v>
      </c>
      <c r="AA60" s="10">
        <v>36.700000000000003</v>
      </c>
      <c r="AB60" s="95">
        <v>7537900</v>
      </c>
      <c r="AC60" s="10">
        <v>36.700000000000003</v>
      </c>
      <c r="AD60" s="2">
        <f t="shared" si="0"/>
        <v>0.76999999999999602</v>
      </c>
      <c r="AE60" s="138">
        <f t="shared" si="1"/>
        <v>6.0307017543861363E-3</v>
      </c>
    </row>
    <row r="61" spans="2:31" x14ac:dyDescent="0.25">
      <c r="B61" s="266">
        <v>42584</v>
      </c>
      <c r="C61" s="261">
        <v>400</v>
      </c>
      <c r="D61" s="262">
        <v>37.037100000000002</v>
      </c>
      <c r="E61" s="262">
        <v>36.39</v>
      </c>
      <c r="F61" s="262">
        <f t="shared" si="39"/>
        <v>-258.84000000000071</v>
      </c>
      <c r="G61" s="262">
        <f t="shared" si="40"/>
        <v>14814.84</v>
      </c>
      <c r="H61" s="276">
        <f t="shared" si="41"/>
        <v>-1.747167029816054E-2</v>
      </c>
      <c r="I61" s="262">
        <v>36.5</v>
      </c>
      <c r="O61" s="83">
        <v>0.92</v>
      </c>
      <c r="P61" s="83">
        <f t="shared" si="11"/>
        <v>38.575600000000001</v>
      </c>
      <c r="W61" s="133">
        <v>42592</v>
      </c>
      <c r="X61" s="10">
        <v>37</v>
      </c>
      <c r="Y61" s="10">
        <v>37.119999999999997</v>
      </c>
      <c r="Z61" s="10">
        <v>36.24</v>
      </c>
      <c r="AA61" s="10">
        <v>36.479999999999997</v>
      </c>
      <c r="AB61" s="95">
        <v>9604700</v>
      </c>
      <c r="AC61" s="10">
        <v>36.479999999999997</v>
      </c>
      <c r="AD61" s="2">
        <f t="shared" si="0"/>
        <v>0.87999999999999545</v>
      </c>
      <c r="AE61" s="138" t="e">
        <f t="shared" si="1"/>
        <v>#DIV/0!</v>
      </c>
    </row>
    <row r="62" spans="2:31" x14ac:dyDescent="0.25">
      <c r="B62" s="266">
        <v>42597</v>
      </c>
      <c r="C62" s="261">
        <v>400</v>
      </c>
      <c r="D62" s="262">
        <v>37.037100000000002</v>
      </c>
      <c r="E62" s="262">
        <v>36.92</v>
      </c>
      <c r="F62" s="262">
        <f t="shared" si="39"/>
        <v>-46.840000000000259</v>
      </c>
      <c r="G62" s="262">
        <f t="shared" si="40"/>
        <v>14814.84</v>
      </c>
      <c r="H62" s="276">
        <f t="shared" si="41"/>
        <v>-3.1616946251191544E-3</v>
      </c>
      <c r="I62" s="262"/>
      <c r="O62" s="83">
        <v>0.91</v>
      </c>
      <c r="P62" s="83">
        <f t="shared" si="11"/>
        <v>38.156300000000002</v>
      </c>
      <c r="W62" s="133">
        <v>42592</v>
      </c>
      <c r="X62" s="10" t="s">
        <v>297</v>
      </c>
      <c r="Y62" s="10"/>
      <c r="Z62" s="10"/>
      <c r="AA62" s="10"/>
      <c r="AB62" s="95"/>
      <c r="AC62" s="10"/>
      <c r="AD62" s="2">
        <f t="shared" si="0"/>
        <v>0</v>
      </c>
      <c r="AE62" s="138">
        <f t="shared" si="1"/>
        <v>-1</v>
      </c>
    </row>
    <row r="63" spans="2:31" x14ac:dyDescent="0.25">
      <c r="B63" s="266">
        <v>42599</v>
      </c>
      <c r="C63" s="261">
        <v>400</v>
      </c>
      <c r="D63" s="262">
        <v>37.037100000000002</v>
      </c>
      <c r="E63" s="262">
        <v>37.51</v>
      </c>
      <c r="F63" s="262">
        <f t="shared" ref="F63" si="42">C63*(E63-D63)</f>
        <v>189.15999999999826</v>
      </c>
      <c r="G63" s="262">
        <f t="shared" ref="G63" si="43">D63*C63</f>
        <v>14814.84</v>
      </c>
      <c r="H63" s="276">
        <f t="shared" ref="H63" si="44">(E63-D63)/D63</f>
        <v>1.2768278293926781E-2</v>
      </c>
      <c r="I63" s="262"/>
      <c r="O63" s="83">
        <v>0.9</v>
      </c>
      <c r="P63" s="83">
        <f t="shared" si="11"/>
        <v>37.737000000000002</v>
      </c>
      <c r="W63" s="133">
        <v>42591</v>
      </c>
      <c r="X63" s="10">
        <v>37.75</v>
      </c>
      <c r="Y63" s="10">
        <v>38.06</v>
      </c>
      <c r="Z63" s="10">
        <v>37.14</v>
      </c>
      <c r="AA63" s="10">
        <v>37.15</v>
      </c>
      <c r="AB63" s="95">
        <v>8392000</v>
      </c>
      <c r="AC63" s="10">
        <v>36.950000000000003</v>
      </c>
      <c r="AD63" s="2">
        <f t="shared" si="0"/>
        <v>0.92000000000000171</v>
      </c>
      <c r="AE63" s="138">
        <f t="shared" si="1"/>
        <v>-7.7873254564984062E-3</v>
      </c>
    </row>
    <row r="64" spans="2:31" x14ac:dyDescent="0.25">
      <c r="B64" s="266">
        <v>42600</v>
      </c>
      <c r="C64" s="261">
        <v>400</v>
      </c>
      <c r="D64" s="262">
        <v>37.037100000000002</v>
      </c>
      <c r="E64" s="262">
        <v>37.07</v>
      </c>
      <c r="F64" s="262">
        <f t="shared" ref="F64" si="45">C64*(E64-D64)</f>
        <v>13.159999999999172</v>
      </c>
      <c r="G64" s="262">
        <f t="shared" ref="G64" si="46">D64*C64</f>
        <v>14814.84</v>
      </c>
      <c r="H64" s="276">
        <f t="shared" ref="H64" si="47">(E64-D64)/D64</f>
        <v>8.8829848989251125E-4</v>
      </c>
      <c r="I64" s="262"/>
      <c r="W64" s="133">
        <v>42590</v>
      </c>
      <c r="X64" s="10">
        <v>37.46</v>
      </c>
      <c r="Y64" s="10">
        <v>38.24</v>
      </c>
      <c r="Z64" s="10">
        <v>37.36</v>
      </c>
      <c r="AA64" s="10">
        <v>37.44</v>
      </c>
      <c r="AB64" s="95">
        <v>10029100</v>
      </c>
      <c r="AC64" s="10">
        <v>37.24</v>
      </c>
      <c r="AD64" s="2">
        <f t="shared" si="0"/>
        <v>0.88000000000000256</v>
      </c>
      <c r="AE64" s="138">
        <f t="shared" si="1"/>
        <v>-5.8729311265349748E-3</v>
      </c>
    </row>
    <row r="65" spans="2:31" x14ac:dyDescent="0.25">
      <c r="B65" s="266">
        <v>42601</v>
      </c>
      <c r="C65" s="261">
        <v>400</v>
      </c>
      <c r="D65" s="262">
        <v>37.037100000000002</v>
      </c>
      <c r="E65" s="262">
        <v>36.770000000000003</v>
      </c>
      <c r="F65" s="262">
        <f t="shared" ref="F65" si="48">C65*(E65-D65)</f>
        <v>-106.83999999999969</v>
      </c>
      <c r="G65" s="262">
        <f t="shared" ref="G65" si="49">D65*C65</f>
        <v>14814.84</v>
      </c>
      <c r="H65" s="276">
        <f t="shared" ref="H65" si="50">(E65-D65)/D65</f>
        <v>-7.2116877401308208E-3</v>
      </c>
      <c r="I65" s="262"/>
      <c r="W65" s="133">
        <v>42587</v>
      </c>
      <c r="X65" s="10">
        <v>36.979999999999997</v>
      </c>
      <c r="Y65" s="10">
        <v>37.729999999999997</v>
      </c>
      <c r="Z65" s="10">
        <v>36.86</v>
      </c>
      <c r="AA65" s="10">
        <v>37.67</v>
      </c>
      <c r="AB65" s="95">
        <v>8097500</v>
      </c>
      <c r="AC65" s="10">
        <v>37.46</v>
      </c>
      <c r="AD65" s="2">
        <f t="shared" si="0"/>
        <v>0.86999999999999744</v>
      </c>
      <c r="AE65" s="138">
        <f t="shared" si="1"/>
        <v>3.0820033021463855E-2</v>
      </c>
    </row>
    <row r="66" spans="2:31" x14ac:dyDescent="0.25">
      <c r="B66" s="266">
        <v>42604</v>
      </c>
      <c r="C66" s="261">
        <v>400</v>
      </c>
      <c r="D66" s="262">
        <v>37.037100000000002</v>
      </c>
      <c r="E66" s="262">
        <v>36.61</v>
      </c>
      <c r="F66" s="262">
        <f t="shared" ref="F66" si="51">C66*(E66-D66)</f>
        <v>-170.84000000000117</v>
      </c>
      <c r="G66" s="262">
        <f t="shared" ref="G66" si="52">D66*C66</f>
        <v>14814.84</v>
      </c>
      <c r="H66" s="276">
        <f t="shared" ref="H66" si="53">(E66-D66)/D66</f>
        <v>-1.1531680396143405E-2</v>
      </c>
      <c r="I66" s="262"/>
      <c r="W66" s="133">
        <v>42586</v>
      </c>
      <c r="X66" s="10">
        <v>36.520000000000003</v>
      </c>
      <c r="Y66" s="10">
        <v>36.68</v>
      </c>
      <c r="Z66" s="10">
        <v>36.020000000000003</v>
      </c>
      <c r="AA66" s="10">
        <v>36.54</v>
      </c>
      <c r="AB66" s="95">
        <v>8825300</v>
      </c>
      <c r="AC66" s="10">
        <v>36.340000000000003</v>
      </c>
      <c r="AD66" s="2">
        <f t="shared" si="0"/>
        <v>0.65999999999999659</v>
      </c>
      <c r="AE66" s="138">
        <f t="shared" si="1"/>
        <v>1.6538037486217849E-3</v>
      </c>
    </row>
    <row r="67" spans="2:31" x14ac:dyDescent="0.25">
      <c r="B67" s="266">
        <v>42605</v>
      </c>
      <c r="C67" s="261">
        <v>400</v>
      </c>
      <c r="D67" s="262">
        <v>37.037100000000002</v>
      </c>
      <c r="E67" s="262">
        <v>36.69</v>
      </c>
      <c r="F67" s="262">
        <f t="shared" ref="F67" si="54">C67*(E67-D67)</f>
        <v>-138.84000000000185</v>
      </c>
      <c r="G67" s="262">
        <f t="shared" ref="G67" si="55">D67*C67</f>
        <v>14814.84</v>
      </c>
      <c r="H67" s="276">
        <f t="shared" ref="H67" si="56">(E67-D67)/D67</f>
        <v>-9.3716840681372093E-3</v>
      </c>
      <c r="I67" s="262"/>
      <c r="W67" s="133">
        <v>42585</v>
      </c>
      <c r="X67" s="10">
        <v>36.380000000000003</v>
      </c>
      <c r="Y67" s="10">
        <v>36.869999999999997</v>
      </c>
      <c r="Z67" s="10">
        <v>36.17</v>
      </c>
      <c r="AA67" s="10">
        <v>36.479999999999997</v>
      </c>
      <c r="AB67" s="95">
        <v>10994100</v>
      </c>
      <c r="AC67" s="10">
        <v>36.28</v>
      </c>
      <c r="AD67" s="2">
        <f>Y67-Z67</f>
        <v>0.69999999999999574</v>
      </c>
      <c r="AE67" s="138" t="e">
        <f>AC67/#REF!-1</f>
        <v>#REF!</v>
      </c>
    </row>
    <row r="68" spans="2:31" x14ac:dyDescent="0.25">
      <c r="B68" s="266">
        <v>42606</v>
      </c>
      <c r="C68" s="261">
        <v>400</v>
      </c>
      <c r="D68" s="262">
        <v>37.037100000000002</v>
      </c>
      <c r="E68" s="262">
        <v>36.770000000000003</v>
      </c>
      <c r="F68" s="262">
        <f t="shared" ref="F68" si="57">C68*(E68-D68)</f>
        <v>-106.83999999999969</v>
      </c>
      <c r="G68" s="262">
        <f t="shared" ref="G68" si="58">D68*C68</f>
        <v>14814.84</v>
      </c>
      <c r="H68" s="276">
        <f t="shared" ref="H68" si="59">(E68-D68)/D68</f>
        <v>-7.2116877401308208E-3</v>
      </c>
      <c r="I68" s="262"/>
      <c r="W68" s="133">
        <v>42584</v>
      </c>
      <c r="X68" s="10">
        <v>38.82</v>
      </c>
      <c r="Y68" s="10">
        <v>38.85</v>
      </c>
      <c r="Z68" s="10">
        <v>36.29</v>
      </c>
      <c r="AA68" s="10">
        <v>36.39</v>
      </c>
      <c r="AB68" s="95">
        <v>19993500</v>
      </c>
      <c r="AC68" s="10">
        <v>36.19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42607</v>
      </c>
      <c r="C69" s="261">
        <v>400</v>
      </c>
      <c r="D69" s="262">
        <v>37.037100000000002</v>
      </c>
      <c r="E69" s="262">
        <v>36.47</v>
      </c>
      <c r="F69" s="262">
        <f t="shared" ref="F69" si="60">C69*(E69-D69)</f>
        <v>-226.8400000000014</v>
      </c>
      <c r="G69" s="262">
        <f t="shared" ref="G69" si="61">D69*C69</f>
        <v>14814.84</v>
      </c>
      <c r="H69" s="276">
        <f t="shared" ref="H69" si="62">(E69-D69)/D69</f>
        <v>-1.5311673970154344E-2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42611</v>
      </c>
      <c r="C70" s="261">
        <v>400</v>
      </c>
      <c r="D70" s="262">
        <v>37.037100000000002</v>
      </c>
      <c r="E70" s="262">
        <v>36.549999999999997</v>
      </c>
      <c r="F70" s="262">
        <f t="shared" ref="F70" si="63">C70*(E70-D70)</f>
        <v>-194.84000000000208</v>
      </c>
      <c r="G70" s="262">
        <f t="shared" ref="G70" si="64">D70*C70</f>
        <v>14814.84</v>
      </c>
      <c r="H70" s="276">
        <f t="shared" ref="H70" si="65">(E70-D70)/D70</f>
        <v>-1.3151677642148148E-2</v>
      </c>
      <c r="I70" s="262"/>
    </row>
    <row r="71" spans="2:31" x14ac:dyDescent="0.25">
      <c r="B71" s="266">
        <v>42612</v>
      </c>
      <c r="C71" s="261">
        <v>400</v>
      </c>
      <c r="D71" s="262">
        <v>37.037100000000002</v>
      </c>
      <c r="E71" s="262">
        <v>37.159999999999997</v>
      </c>
      <c r="F71" s="262">
        <f t="shared" ref="F71" si="66">C71*(E71-D71)</f>
        <v>49.159999999997694</v>
      </c>
      <c r="G71" s="262">
        <f t="shared" ref="G71" si="67">D71*C71</f>
        <v>14814.84</v>
      </c>
      <c r="H71" s="276">
        <f t="shared" ref="H71" si="68">(E71-D71)/D71</f>
        <v>3.3182943588994339E-3</v>
      </c>
      <c r="I71" s="262"/>
    </row>
    <row r="72" spans="2:31" x14ac:dyDescent="0.25">
      <c r="B72" s="266">
        <v>42614</v>
      </c>
      <c r="C72" s="261">
        <v>400</v>
      </c>
      <c r="D72" s="262">
        <v>37.037100000000002</v>
      </c>
      <c r="E72" s="262">
        <v>36.82</v>
      </c>
      <c r="F72" s="262">
        <f t="shared" ref="F72" si="69">C72*(E72-D72)</f>
        <v>-86.840000000000828</v>
      </c>
      <c r="G72" s="262">
        <f t="shared" ref="G72" si="70">D72*C72</f>
        <v>14814.84</v>
      </c>
      <c r="H72" s="276">
        <f t="shared" ref="H72" si="71">(E72-D72)/D72</f>
        <v>-5.8616900351269961E-3</v>
      </c>
      <c r="I72" s="262"/>
    </row>
    <row r="73" spans="2:31" x14ac:dyDescent="0.25">
      <c r="B73" s="266">
        <v>42615</v>
      </c>
      <c r="C73" s="261">
        <v>400</v>
      </c>
      <c r="D73" s="262">
        <v>37.037100000000002</v>
      </c>
      <c r="E73" s="262">
        <v>37.17</v>
      </c>
      <c r="F73" s="262">
        <f t="shared" ref="F73:F74" si="72">C73*(E73-D73)</f>
        <v>53.159999999999741</v>
      </c>
      <c r="G73" s="262">
        <f t="shared" ref="G73:G74" si="73">D73*C73</f>
        <v>14814.84</v>
      </c>
      <c r="H73" s="276">
        <f t="shared" ref="H73:H74" si="74">(E73-D73)/D73</f>
        <v>3.5882938999003524E-3</v>
      </c>
      <c r="I73" s="262"/>
    </row>
    <row r="74" spans="2:31" x14ac:dyDescent="0.25">
      <c r="B74" s="266">
        <v>42615</v>
      </c>
      <c r="C74" s="261">
        <v>400</v>
      </c>
      <c r="D74" s="262">
        <v>36.834600000000002</v>
      </c>
      <c r="E74" s="262">
        <v>37.17</v>
      </c>
      <c r="F74" s="262">
        <f t="shared" si="72"/>
        <v>134.15999999999997</v>
      </c>
      <c r="G74" s="262">
        <f t="shared" si="73"/>
        <v>14733.84</v>
      </c>
      <c r="H74" s="276">
        <f t="shared" si="74"/>
        <v>9.1055692202440079E-3</v>
      </c>
      <c r="I74" s="262" t="s">
        <v>315</v>
      </c>
    </row>
    <row r="75" spans="2:31" x14ac:dyDescent="0.25">
      <c r="B75" s="266">
        <v>42619</v>
      </c>
      <c r="C75" s="261">
        <v>400</v>
      </c>
      <c r="D75" s="262">
        <v>36.834600000000002</v>
      </c>
      <c r="E75" s="262">
        <v>36.82</v>
      </c>
      <c r="F75" s="262">
        <f t="shared" ref="F75:F78" si="75">C75*(E75-D75)</f>
        <v>-5.8400000000006003</v>
      </c>
      <c r="G75" s="262">
        <f t="shared" ref="G75:G78" si="76">D75*C75</f>
        <v>14733.84</v>
      </c>
      <c r="H75" s="276">
        <f t="shared" ref="H75:H78" si="77">(E75-D75)/D75</f>
        <v>-3.9636645979599343E-4</v>
      </c>
      <c r="I75" s="262"/>
    </row>
    <row r="76" spans="2:31" x14ac:dyDescent="0.25">
      <c r="B76" s="266">
        <v>42620</v>
      </c>
      <c r="C76" s="261">
        <v>350</v>
      </c>
      <c r="D76" s="262">
        <v>36.642400000000002</v>
      </c>
      <c r="E76" s="262">
        <v>38.9</v>
      </c>
      <c r="F76" s="262">
        <f t="shared" si="75"/>
        <v>790.15999999999872</v>
      </c>
      <c r="G76" s="262">
        <f t="shared" si="76"/>
        <v>12824.84</v>
      </c>
      <c r="H76" s="276">
        <f t="shared" si="77"/>
        <v>6.1611684824138056E-2</v>
      </c>
      <c r="I76" s="262"/>
    </row>
    <row r="77" spans="2:31" x14ac:dyDescent="0.25">
      <c r="B77" s="266">
        <v>42620</v>
      </c>
      <c r="C77" s="261">
        <v>300</v>
      </c>
      <c r="D77" s="262">
        <v>36.269399999999997</v>
      </c>
      <c r="E77" s="262">
        <v>38.9</v>
      </c>
      <c r="F77" s="262">
        <f t="shared" si="75"/>
        <v>789.18000000000029</v>
      </c>
      <c r="G77" s="262">
        <f t="shared" si="76"/>
        <v>10880.82</v>
      </c>
      <c r="H77" s="276">
        <f t="shared" si="77"/>
        <v>7.2529460095838397E-2</v>
      </c>
      <c r="I77" s="262">
        <v>36</v>
      </c>
    </row>
    <row r="78" spans="2:31" x14ac:dyDescent="0.25">
      <c r="B78" s="266">
        <v>42620</v>
      </c>
      <c r="C78" s="261">
        <v>250</v>
      </c>
      <c r="D78" s="262">
        <v>35.705300000000001</v>
      </c>
      <c r="E78" s="262">
        <v>38.9</v>
      </c>
      <c r="F78" s="262">
        <f t="shared" si="75"/>
        <v>798.67499999999939</v>
      </c>
      <c r="G78" s="262">
        <f t="shared" si="76"/>
        <v>8926.3250000000007</v>
      </c>
      <c r="H78" s="276">
        <f t="shared" si="77"/>
        <v>8.9474111686500254E-2</v>
      </c>
      <c r="I78" s="262"/>
    </row>
    <row r="79" spans="2:31" x14ac:dyDescent="0.25">
      <c r="B79" s="266">
        <v>42622</v>
      </c>
      <c r="C79" s="261">
        <v>250</v>
      </c>
      <c r="D79" s="262">
        <v>35.705300000000001</v>
      </c>
      <c r="E79" s="262">
        <v>37.75</v>
      </c>
      <c r="F79" s="262">
        <f t="shared" ref="F79" si="78">C79*(E79-D79)</f>
        <v>511.17499999999973</v>
      </c>
      <c r="G79" s="262">
        <f t="shared" ref="G79" si="79">D79*C79</f>
        <v>8926.3250000000007</v>
      </c>
      <c r="H79" s="276">
        <f t="shared" ref="H79" si="80">(E79-D79)/D79</f>
        <v>5.7266008127644881E-2</v>
      </c>
      <c r="I79" s="262"/>
    </row>
    <row r="80" spans="2:31" x14ac:dyDescent="0.25">
      <c r="B80" s="266">
        <v>42625</v>
      </c>
      <c r="C80" s="261">
        <v>250</v>
      </c>
      <c r="D80" s="262">
        <v>35.705300000000001</v>
      </c>
      <c r="E80" s="262">
        <v>38.44</v>
      </c>
      <c r="F80" s="262">
        <f t="shared" ref="F80" si="81">C80*(E80-D80)</f>
        <v>683.67499999999916</v>
      </c>
      <c r="G80" s="262">
        <f t="shared" ref="G80" si="82">D80*C80</f>
        <v>8926.3250000000007</v>
      </c>
      <c r="H80" s="276">
        <f t="shared" ref="H80" si="83">(E80-D80)/D80</f>
        <v>7.6590870262958063E-2</v>
      </c>
      <c r="I80" s="262"/>
    </row>
    <row r="81" spans="2:9" x14ac:dyDescent="0.25">
      <c r="B81" s="266">
        <v>42627</v>
      </c>
      <c r="C81" s="261">
        <v>250</v>
      </c>
      <c r="D81" s="262">
        <v>35.705300000000001</v>
      </c>
      <c r="E81" s="262">
        <v>37.119999999999997</v>
      </c>
      <c r="F81" s="262">
        <f t="shared" ref="F81" si="84">C81*(E81-D81)</f>
        <v>353.67499999999905</v>
      </c>
      <c r="G81" s="262">
        <f t="shared" ref="G81" si="85">D81*C81</f>
        <v>8926.3250000000007</v>
      </c>
      <c r="H81" s="276">
        <f t="shared" ref="H81" si="86">(E81-D81)/D81</f>
        <v>3.9621568786706633E-2</v>
      </c>
      <c r="I81" s="262"/>
    </row>
    <row r="82" spans="2:9" x14ac:dyDescent="0.25">
      <c r="B82" s="266">
        <v>42629</v>
      </c>
      <c r="C82" s="261">
        <v>250</v>
      </c>
      <c r="D82" s="262">
        <v>35.705300000000001</v>
      </c>
      <c r="E82" s="262">
        <v>36.770000000000003</v>
      </c>
      <c r="F82" s="262">
        <f t="shared" ref="F82" si="87">C82*(E82-D82)</f>
        <v>266.17500000000052</v>
      </c>
      <c r="G82" s="262">
        <f t="shared" ref="G82" si="88">D82*C82</f>
        <v>8926.3250000000007</v>
      </c>
      <c r="H82" s="276">
        <f t="shared" ref="H82" si="89">(E82-D82)/D82</f>
        <v>2.9819102486185578E-2</v>
      </c>
      <c r="I82" s="262"/>
    </row>
    <row r="83" spans="2:9" x14ac:dyDescent="0.25">
      <c r="B83" s="266">
        <v>42632</v>
      </c>
      <c r="C83" s="261">
        <v>250</v>
      </c>
      <c r="D83" s="262">
        <v>35.705300000000001</v>
      </c>
      <c r="E83" s="262">
        <v>37.57</v>
      </c>
      <c r="F83" s="262">
        <f t="shared" ref="F83" si="90">C83*(E83-D83)</f>
        <v>466.17499999999978</v>
      </c>
      <c r="G83" s="262">
        <f t="shared" ref="G83" si="91">D83*C83</f>
        <v>8926.3250000000007</v>
      </c>
      <c r="H83" s="276">
        <f t="shared" ref="H83" si="92">(E83-D83)/D83</f>
        <v>5.2224739744519695E-2</v>
      </c>
      <c r="I83" s="262"/>
    </row>
    <row r="84" spans="2:9" x14ac:dyDescent="0.25">
      <c r="B84" s="266">
        <v>42633</v>
      </c>
      <c r="C84" s="261">
        <v>250</v>
      </c>
      <c r="D84" s="262">
        <v>35.705300000000001</v>
      </c>
      <c r="E84" s="262">
        <v>38.049999999999997</v>
      </c>
      <c r="F84" s="262">
        <f t="shared" ref="F84" si="93">C84*(E84-D84)</f>
        <v>586.17499999999905</v>
      </c>
      <c r="G84" s="262">
        <f t="shared" ref="G84" si="94">D84*C84</f>
        <v>8926.3250000000007</v>
      </c>
      <c r="H84" s="276">
        <f t="shared" ref="H84" si="95">(E84-D84)/D84</f>
        <v>6.5668122099520124E-2</v>
      </c>
      <c r="I84" s="262"/>
    </row>
    <row r="85" spans="2:9" x14ac:dyDescent="0.25">
      <c r="B85" s="266">
        <v>42635</v>
      </c>
      <c r="C85" s="261">
        <v>250</v>
      </c>
      <c r="D85" s="262">
        <v>35.705300000000001</v>
      </c>
      <c r="E85" s="262">
        <v>38.5</v>
      </c>
      <c r="F85" s="262">
        <f t="shared" ref="F85" si="96">C85*(E85-D85)</f>
        <v>698.67499999999973</v>
      </c>
      <c r="G85" s="262">
        <f t="shared" ref="G85" si="97">D85*C85</f>
        <v>8926.3250000000007</v>
      </c>
      <c r="H85" s="276">
        <f t="shared" ref="H85" si="98">(E85-D85)/D85</f>
        <v>7.8271293057333186E-2</v>
      </c>
      <c r="I85" s="262"/>
    </row>
    <row r="86" spans="2:9" x14ac:dyDescent="0.25">
      <c r="B86" s="266">
        <v>42636</v>
      </c>
      <c r="C86" s="261">
        <v>250</v>
      </c>
      <c r="D86" s="262">
        <v>35.705300000000001</v>
      </c>
      <c r="E86" s="262">
        <v>38.78</v>
      </c>
      <c r="F86" s="262">
        <f t="shared" ref="F86" si="99">C86*(E86-D86)</f>
        <v>768.67499999999995</v>
      </c>
      <c r="G86" s="262">
        <f t="shared" ref="G86" si="100">D86*C86</f>
        <v>8926.3250000000007</v>
      </c>
      <c r="H86" s="276">
        <f t="shared" ref="H86" si="101">(E86-D86)/D86</f>
        <v>8.6113266097750191E-2</v>
      </c>
      <c r="I86" s="262"/>
    </row>
    <row r="87" spans="2:9" x14ac:dyDescent="0.25">
      <c r="B87" s="266">
        <v>42639</v>
      </c>
      <c r="C87" s="261">
        <v>250</v>
      </c>
      <c r="D87" s="262">
        <v>35.705300000000001</v>
      </c>
      <c r="E87" s="262">
        <v>38.04</v>
      </c>
      <c r="F87" s="262">
        <f t="shared" ref="F87" si="102">C87*(E87-D87)</f>
        <v>583.6749999999995</v>
      </c>
      <c r="G87" s="262">
        <f t="shared" ref="G87" si="103">D87*C87</f>
        <v>8926.3250000000007</v>
      </c>
      <c r="H87" s="276">
        <f t="shared" ref="H87" si="104">(E87-D87)/D87</f>
        <v>6.5388051633791008E-2</v>
      </c>
      <c r="I87" s="262"/>
    </row>
    <row r="88" spans="2:9" x14ac:dyDescent="0.25">
      <c r="B88" s="266">
        <v>42640</v>
      </c>
      <c r="C88" s="261">
        <v>250</v>
      </c>
      <c r="D88" s="262">
        <v>35.705300000000001</v>
      </c>
      <c r="E88" s="262">
        <v>39.21</v>
      </c>
      <c r="F88" s="262">
        <f t="shared" ref="F88" si="105">C88*(E88-D88)</f>
        <v>876.17499999999995</v>
      </c>
      <c r="G88" s="262">
        <f t="shared" ref="G88" si="106">D88*C88</f>
        <v>8926.3250000000007</v>
      </c>
      <c r="H88" s="276">
        <f t="shared" ref="H88" si="107">(E88-D88)/D88</f>
        <v>9.8156296124104814E-2</v>
      </c>
      <c r="I88" s="262"/>
    </row>
    <row r="89" spans="2:9" x14ac:dyDescent="0.25">
      <c r="B89" s="266">
        <v>42641</v>
      </c>
      <c r="C89" s="261">
        <v>0</v>
      </c>
      <c r="D89" s="262"/>
      <c r="E89" s="262"/>
      <c r="F89" s="262">
        <v>993.45</v>
      </c>
      <c r="G89" s="262"/>
      <c r="H89" s="276"/>
      <c r="I89" s="262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575"/>
      <c r="C92" s="191"/>
      <c r="D92" s="192"/>
      <c r="E92" s="192"/>
      <c r="F92" s="192"/>
      <c r="G92" s="192"/>
      <c r="H92" s="576"/>
      <c r="I92" s="192"/>
    </row>
    <row r="93" spans="2:9" x14ac:dyDescent="0.25">
      <c r="B93" s="193"/>
      <c r="C93" s="10"/>
      <c r="D93" s="40"/>
      <c r="E93" s="40"/>
      <c r="F93" s="40"/>
      <c r="G93" s="40"/>
      <c r="H93" s="231"/>
      <c r="I93" s="40"/>
    </row>
    <row r="94" spans="2:9" x14ac:dyDescent="0.25">
      <c r="B94" s="193"/>
      <c r="C94" s="10"/>
      <c r="D94" s="40"/>
      <c r="E94" s="40"/>
      <c r="F94" s="40"/>
      <c r="G94" s="40"/>
      <c r="H94" s="231"/>
      <c r="I94" s="40"/>
    </row>
    <row r="95" spans="2:9" x14ac:dyDescent="0.25">
      <c r="B95" s="193"/>
      <c r="C95" s="10"/>
      <c r="D95" s="40"/>
      <c r="E95" s="40"/>
      <c r="F95" s="40"/>
      <c r="G95" s="40"/>
      <c r="H95" s="231"/>
      <c r="I95" s="40"/>
    </row>
    <row r="96" spans="2:9" x14ac:dyDescent="0.25">
      <c r="B96" s="193"/>
      <c r="C96" s="10"/>
      <c r="D96" s="40"/>
      <c r="E96" s="40"/>
      <c r="F96" s="40"/>
      <c r="G96" s="40"/>
      <c r="H96" s="231"/>
      <c r="I96" s="40"/>
    </row>
    <row r="97" spans="1:13" x14ac:dyDescent="0.25">
      <c r="B97" s="193"/>
      <c r="C97" s="10"/>
      <c r="D97" s="40"/>
      <c r="E97" s="40"/>
      <c r="F97" s="40"/>
      <c r="G97" s="40"/>
      <c r="H97" s="231"/>
      <c r="I97" s="40"/>
    </row>
    <row r="98" spans="1:13" x14ac:dyDescent="0.25">
      <c r="B98" s="193"/>
      <c r="C98" s="10"/>
      <c r="D98" s="40"/>
      <c r="E98" s="40"/>
      <c r="F98" s="40"/>
      <c r="G98" s="40"/>
      <c r="H98" s="231"/>
      <c r="I98" s="40"/>
    </row>
    <row r="99" spans="1:13" x14ac:dyDescent="0.25">
      <c r="B99" s="193"/>
      <c r="C99" s="10"/>
      <c r="D99" s="40"/>
      <c r="E99" s="40"/>
      <c r="F99" s="40"/>
      <c r="G99" s="40"/>
      <c r="H99" s="231"/>
      <c r="I99" s="40"/>
    </row>
    <row r="100" spans="1:13" x14ac:dyDescent="0.25">
      <c r="B100" s="193"/>
      <c r="C100" s="10"/>
      <c r="D100" s="40"/>
      <c r="E100" s="40"/>
      <c r="F100" s="40"/>
      <c r="G100" s="40"/>
      <c r="H100" s="231"/>
      <c r="I100" s="40"/>
    </row>
    <row r="101" spans="1:13" x14ac:dyDescent="0.25">
      <c r="B101" s="193"/>
      <c r="C101" s="10"/>
      <c r="D101" s="40"/>
      <c r="E101" s="40"/>
      <c r="F101" s="40"/>
      <c r="G101" s="40"/>
      <c r="H101" s="231"/>
      <c r="I101" s="40"/>
    </row>
    <row r="102" spans="1:13" x14ac:dyDescent="0.25">
      <c r="B102" s="193"/>
      <c r="C102" s="10"/>
      <c r="D102" s="40"/>
      <c r="E102" s="40"/>
      <c r="F102" s="40"/>
      <c r="G102" s="40"/>
      <c r="H102" s="231"/>
      <c r="I102" s="40"/>
    </row>
    <row r="104" spans="1:13" x14ac:dyDescent="0.25">
      <c r="L104" t="s">
        <v>218</v>
      </c>
      <c r="M104" s="467">
        <f>M122+K122-F122</f>
        <v>205.01999999999998</v>
      </c>
    </row>
    <row r="105" spans="1:13" x14ac:dyDescent="0.25">
      <c r="A105" s="263" t="s">
        <v>1</v>
      </c>
      <c r="B105" s="263" t="s">
        <v>2</v>
      </c>
      <c r="C105" s="263" t="s">
        <v>4</v>
      </c>
      <c r="D105" s="264" t="s">
        <v>5</v>
      </c>
      <c r="E105" s="264" t="s">
        <v>94</v>
      </c>
      <c r="F105" s="264" t="s">
        <v>60</v>
      </c>
      <c r="G105" s="263" t="s">
        <v>3</v>
      </c>
      <c r="H105" s="263" t="s">
        <v>6</v>
      </c>
      <c r="I105" s="264" t="s">
        <v>7</v>
      </c>
      <c r="J105" s="264" t="s">
        <v>95</v>
      </c>
      <c r="K105" s="264" t="s">
        <v>61</v>
      </c>
      <c r="L105" s="263" t="s">
        <v>37</v>
      </c>
      <c r="M105" s="263" t="s">
        <v>38</v>
      </c>
    </row>
    <row r="106" spans="1:13" x14ac:dyDescent="0.25">
      <c r="A106" s="265" t="s">
        <v>32</v>
      </c>
      <c r="B106" s="266">
        <v>42405</v>
      </c>
      <c r="C106" s="261">
        <v>30</v>
      </c>
      <c r="D106" s="262">
        <v>41.95</v>
      </c>
      <c r="E106" s="262">
        <v>0</v>
      </c>
      <c r="F106" s="262">
        <f t="shared" ref="F106" si="108">D106*C106+E106</f>
        <v>1258.5</v>
      </c>
      <c r="G106" s="266">
        <v>42445</v>
      </c>
      <c r="H106" s="267">
        <v>30</v>
      </c>
      <c r="I106" s="262">
        <v>48.65</v>
      </c>
      <c r="J106" s="262">
        <v>0.03</v>
      </c>
      <c r="K106" s="262">
        <f>H106*I106-J106</f>
        <v>1459.47</v>
      </c>
      <c r="L106" s="266">
        <v>42438</v>
      </c>
      <c r="M106" s="261">
        <v>4.05</v>
      </c>
    </row>
    <row r="107" spans="1:13" x14ac:dyDescent="0.25">
      <c r="A107" s="268" t="s">
        <v>71</v>
      </c>
      <c r="B107" s="266"/>
      <c r="C107" s="261"/>
      <c r="D107" s="262"/>
      <c r="E107" s="262"/>
      <c r="F107" s="262"/>
      <c r="G107" s="266"/>
      <c r="H107" s="267"/>
      <c r="I107" s="262"/>
      <c r="J107" s="262"/>
      <c r="K107" s="262"/>
      <c r="L107" s="266"/>
      <c r="M107" s="262"/>
    </row>
    <row r="108" spans="1:13" x14ac:dyDescent="0.25">
      <c r="A108" s="261"/>
      <c r="B108" s="266"/>
      <c r="C108" s="261"/>
      <c r="D108" s="262"/>
      <c r="E108" s="262"/>
      <c r="F108" s="262"/>
      <c r="G108" s="266"/>
      <c r="H108" s="267"/>
      <c r="I108" s="262"/>
      <c r="J108" s="262"/>
      <c r="K108" s="262"/>
      <c r="L108" s="261"/>
      <c r="M108" s="261"/>
    </row>
    <row r="109" spans="1:13" x14ac:dyDescent="0.25">
      <c r="A109" s="261"/>
      <c r="B109" s="266"/>
      <c r="C109" s="261"/>
      <c r="D109" s="262"/>
      <c r="E109" s="262"/>
      <c r="F109" s="262"/>
      <c r="G109" s="266"/>
      <c r="H109" s="267"/>
      <c r="I109" s="262"/>
      <c r="J109" s="262"/>
      <c r="K109" s="262"/>
      <c r="L109" s="261"/>
      <c r="M109" s="261"/>
    </row>
    <row r="110" spans="1:13" x14ac:dyDescent="0.25">
      <c r="A110" s="261"/>
      <c r="B110" s="266"/>
      <c r="C110" s="261"/>
      <c r="D110" s="262"/>
      <c r="E110" s="262"/>
      <c r="F110" s="262"/>
      <c r="G110" s="261"/>
      <c r="H110" s="267"/>
      <c r="I110" s="262"/>
      <c r="J110" s="262"/>
      <c r="K110" s="262"/>
      <c r="L110" s="261"/>
      <c r="M110" s="261"/>
    </row>
    <row r="111" spans="1:13" x14ac:dyDescent="0.25">
      <c r="A111" s="261"/>
      <c r="B111" s="266"/>
      <c r="C111" s="261"/>
      <c r="D111" s="262"/>
      <c r="E111" s="262"/>
      <c r="F111" s="262"/>
      <c r="G111" s="261"/>
      <c r="H111" s="267"/>
      <c r="I111" s="262"/>
      <c r="J111" s="262"/>
      <c r="K111" s="262"/>
      <c r="L111" s="261"/>
      <c r="M111" s="261"/>
    </row>
    <row r="112" spans="1:13" x14ac:dyDescent="0.25">
      <c r="A112" s="261"/>
      <c r="B112" s="266"/>
      <c r="C112" s="261"/>
      <c r="D112" s="262"/>
      <c r="E112" s="262"/>
      <c r="F112" s="262"/>
      <c r="G112" s="261"/>
      <c r="H112" s="267"/>
      <c r="I112" s="262"/>
      <c r="J112" s="262"/>
      <c r="K112" s="262"/>
      <c r="L112" s="261"/>
      <c r="M112" s="261"/>
    </row>
    <row r="113" spans="1:13" x14ac:dyDescent="0.25">
      <c r="A113" s="261"/>
      <c r="B113" s="266"/>
      <c r="C113" s="261"/>
      <c r="D113" s="262"/>
      <c r="E113" s="262"/>
      <c r="F113" s="262"/>
      <c r="G113" s="261"/>
      <c r="H113" s="267"/>
      <c r="I113" s="262"/>
      <c r="J113" s="262"/>
      <c r="K113" s="262"/>
      <c r="L113" s="261"/>
      <c r="M113" s="261"/>
    </row>
    <row r="114" spans="1:13" x14ac:dyDescent="0.25">
      <c r="A114" s="261"/>
      <c r="B114" s="261"/>
      <c r="C114" s="261"/>
      <c r="D114" s="262"/>
      <c r="E114" s="262"/>
      <c r="F114" s="262"/>
      <c r="G114" s="261"/>
      <c r="H114" s="261"/>
      <c r="I114" s="262"/>
      <c r="J114" s="262"/>
      <c r="K114" s="262"/>
      <c r="L114" s="261"/>
      <c r="M114" s="261"/>
    </row>
    <row r="115" spans="1:13" x14ac:dyDescent="0.25">
      <c r="A115" s="261"/>
      <c r="B115" s="261"/>
      <c r="C115" s="261"/>
      <c r="D115" s="262"/>
      <c r="E115" s="262"/>
      <c r="F115" s="262"/>
      <c r="G115" s="261"/>
      <c r="H115" s="261"/>
      <c r="I115" s="262"/>
      <c r="J115" s="262"/>
      <c r="K115" s="262"/>
      <c r="L115" s="261"/>
      <c r="M115" s="261"/>
    </row>
    <row r="116" spans="1:13" x14ac:dyDescent="0.25">
      <c r="A116" s="261"/>
      <c r="B116" s="261"/>
      <c r="C116" s="261"/>
      <c r="D116" s="262"/>
      <c r="E116" s="262"/>
      <c r="F116" s="262"/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1"/>
      <c r="C117" s="261"/>
      <c r="D117" s="262"/>
      <c r="E117" s="262"/>
      <c r="F117" s="262"/>
      <c r="G117" s="261"/>
      <c r="H117" s="261"/>
      <c r="I117" s="262"/>
      <c r="J117" s="262"/>
      <c r="K117" s="262"/>
      <c r="L117" s="261"/>
      <c r="M117" s="261"/>
    </row>
    <row r="118" spans="1:13" x14ac:dyDescent="0.25">
      <c r="A118" s="261"/>
      <c r="B118" s="261"/>
      <c r="C118" s="261"/>
      <c r="D118" s="262"/>
      <c r="E118" s="262"/>
      <c r="F118" s="262"/>
      <c r="G118" s="261"/>
      <c r="H118" s="261"/>
      <c r="I118" s="262"/>
      <c r="J118" s="262"/>
      <c r="K118" s="262"/>
      <c r="L118" s="261"/>
      <c r="M118" s="261"/>
    </row>
    <row r="119" spans="1:13" x14ac:dyDescent="0.25">
      <c r="A119" s="261"/>
      <c r="B119" s="261"/>
      <c r="C119" s="261"/>
      <c r="D119" s="262"/>
      <c r="E119" s="262"/>
      <c r="F119" s="262"/>
      <c r="G119" s="261"/>
      <c r="H119" s="261"/>
      <c r="I119" s="262"/>
      <c r="J119" s="262"/>
      <c r="K119" s="262"/>
      <c r="L119" s="261"/>
      <c r="M119" s="261"/>
    </row>
    <row r="120" spans="1:13" x14ac:dyDescent="0.25">
      <c r="A120" s="261"/>
      <c r="B120" s="261"/>
      <c r="C120" s="261"/>
      <c r="D120" s="262"/>
      <c r="E120" s="262"/>
      <c r="F120" s="262"/>
      <c r="G120" s="261"/>
      <c r="H120" s="261"/>
      <c r="I120" s="262"/>
      <c r="J120" s="262"/>
      <c r="K120" s="262"/>
      <c r="L120" s="261"/>
      <c r="M120" s="261"/>
    </row>
    <row r="121" spans="1:13" x14ac:dyDescent="0.25">
      <c r="A121" s="261"/>
      <c r="B121" s="261"/>
      <c r="C121" s="261"/>
      <c r="D121" s="262"/>
      <c r="E121" s="262"/>
      <c r="F121" s="262"/>
      <c r="G121" s="261"/>
      <c r="H121" s="267"/>
      <c r="I121" s="262"/>
      <c r="J121" s="262"/>
      <c r="K121" s="262"/>
      <c r="L121" s="261"/>
      <c r="M121" s="261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3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67">
        <f>M155+K155-F155</f>
        <v>993.44999999999709</v>
      </c>
    </row>
    <row r="127" spans="1:13" x14ac:dyDescent="0.25">
      <c r="A127" s="263" t="s">
        <v>1</v>
      </c>
      <c r="B127" s="263" t="s">
        <v>2</v>
      </c>
      <c r="C127" s="263" t="s">
        <v>4</v>
      </c>
      <c r="D127" s="264" t="s">
        <v>5</v>
      </c>
      <c r="E127" s="264" t="s">
        <v>94</v>
      </c>
      <c r="F127" s="264" t="s">
        <v>60</v>
      </c>
      <c r="G127" s="263" t="s">
        <v>3</v>
      </c>
      <c r="H127" s="263" t="s">
        <v>6</v>
      </c>
      <c r="I127" s="264" t="s">
        <v>7</v>
      </c>
      <c r="J127" s="264" t="s">
        <v>95</v>
      </c>
      <c r="K127" s="264" t="s">
        <v>61</v>
      </c>
      <c r="L127" s="263" t="s">
        <v>37</v>
      </c>
      <c r="M127" s="263" t="s">
        <v>38</v>
      </c>
    </row>
    <row r="128" spans="1:13" x14ac:dyDescent="0.25">
      <c r="A128" s="265" t="s">
        <v>32</v>
      </c>
      <c r="B128" s="266">
        <v>42467</v>
      </c>
      <c r="C128" s="261">
        <v>50</v>
      </c>
      <c r="D128" s="262">
        <v>45.5</v>
      </c>
      <c r="E128" s="262">
        <v>0</v>
      </c>
      <c r="F128" s="262">
        <f t="shared" ref="F128:F139" si="109">D128*C128+E128</f>
        <v>2275</v>
      </c>
      <c r="G128" s="261"/>
      <c r="H128" s="261"/>
      <c r="I128" s="262"/>
      <c r="J128" s="262"/>
      <c r="K128" s="262"/>
      <c r="L128" s="266">
        <v>42522</v>
      </c>
      <c r="M128" s="262">
        <v>33.75</v>
      </c>
    </row>
    <row r="129" spans="1:13" x14ac:dyDescent="0.25">
      <c r="A129" s="268" t="s">
        <v>71</v>
      </c>
      <c r="B129" s="266">
        <v>42482</v>
      </c>
      <c r="C129" s="261">
        <v>50</v>
      </c>
      <c r="D129" s="262">
        <v>43.65</v>
      </c>
      <c r="E129" s="262">
        <v>0</v>
      </c>
      <c r="F129" s="262">
        <f t="shared" si="109"/>
        <v>2182.5</v>
      </c>
      <c r="G129" s="266">
        <v>42507</v>
      </c>
      <c r="H129" s="267">
        <v>100</v>
      </c>
      <c r="I129" s="262">
        <v>43.59</v>
      </c>
      <c r="J129" s="262">
        <v>0.1</v>
      </c>
      <c r="K129" s="262">
        <f>H129*I129-J129</f>
        <v>4358.8999999999996</v>
      </c>
      <c r="L129" s="266">
        <v>42615</v>
      </c>
      <c r="M129" s="262">
        <v>81</v>
      </c>
    </row>
    <row r="130" spans="1:13" x14ac:dyDescent="0.25">
      <c r="A130" s="261"/>
      <c r="B130" s="266">
        <v>42486</v>
      </c>
      <c r="C130" s="261">
        <v>50</v>
      </c>
      <c r="D130" s="262">
        <v>43.25</v>
      </c>
      <c r="E130" s="262">
        <v>0</v>
      </c>
      <c r="F130" s="262">
        <f t="shared" si="109"/>
        <v>2162.5</v>
      </c>
      <c r="G130" s="266">
        <v>42509</v>
      </c>
      <c r="H130" s="267">
        <v>50</v>
      </c>
      <c r="I130" s="262">
        <v>43.12</v>
      </c>
      <c r="J130" s="262">
        <v>0.05</v>
      </c>
      <c r="K130" s="262">
        <f>H130*I130-J130</f>
        <v>2155.9499999999998</v>
      </c>
      <c r="L130" s="261"/>
      <c r="M130" s="261"/>
    </row>
    <row r="131" spans="1:13" x14ac:dyDescent="0.25">
      <c r="A131" s="261"/>
      <c r="B131" s="266">
        <v>42489</v>
      </c>
      <c r="C131" s="261">
        <v>50</v>
      </c>
      <c r="D131" s="262">
        <v>41.95</v>
      </c>
      <c r="E131" s="262">
        <v>0</v>
      </c>
      <c r="F131" s="262">
        <f t="shared" si="109"/>
        <v>2097.5</v>
      </c>
      <c r="G131" s="266">
        <v>42515</v>
      </c>
      <c r="H131" s="267">
        <v>50</v>
      </c>
      <c r="I131" s="262">
        <v>43.96</v>
      </c>
      <c r="J131" s="262">
        <v>0.05</v>
      </c>
      <c r="K131" s="262">
        <f>H131*I131-J131</f>
        <v>2197.9499999999998</v>
      </c>
      <c r="L131" s="261"/>
      <c r="M131" s="261"/>
    </row>
    <row r="132" spans="1:13" x14ac:dyDescent="0.25">
      <c r="A132" s="261"/>
      <c r="B132" s="266">
        <v>42489</v>
      </c>
      <c r="C132" s="261">
        <v>50</v>
      </c>
      <c r="D132" s="262">
        <v>41.39</v>
      </c>
      <c r="E132" s="262">
        <v>0</v>
      </c>
      <c r="F132" s="262">
        <f t="shared" si="109"/>
        <v>2069.5</v>
      </c>
      <c r="G132" s="261"/>
      <c r="H132" s="261"/>
      <c r="I132" s="262"/>
      <c r="J132" s="262"/>
      <c r="K132" s="262"/>
      <c r="L132" s="261"/>
      <c r="M132" s="261"/>
    </row>
    <row r="133" spans="1:13" x14ac:dyDescent="0.25">
      <c r="A133" s="261"/>
      <c r="B133" s="266">
        <v>42509</v>
      </c>
      <c r="C133" s="261">
        <v>50</v>
      </c>
      <c r="D133" s="262">
        <v>42.59</v>
      </c>
      <c r="E133" s="262">
        <v>0</v>
      </c>
      <c r="F133" s="262">
        <f t="shared" si="109"/>
        <v>2129.5</v>
      </c>
      <c r="G133" s="266">
        <v>42545</v>
      </c>
      <c r="H133" s="267">
        <v>100</v>
      </c>
      <c r="I133" s="262">
        <v>37.01</v>
      </c>
      <c r="J133" s="262">
        <v>0.57999999999999996</v>
      </c>
      <c r="K133" s="262">
        <f>H133*I133-J133</f>
        <v>3700.42</v>
      </c>
      <c r="L133" s="261"/>
      <c r="M133" s="261"/>
    </row>
    <row r="134" spans="1:13" x14ac:dyDescent="0.25">
      <c r="A134" s="261"/>
      <c r="B134" s="266">
        <v>42509</v>
      </c>
      <c r="C134" s="261">
        <v>50</v>
      </c>
      <c r="D134" s="262">
        <v>42.59</v>
      </c>
      <c r="E134" s="262">
        <v>0</v>
      </c>
      <c r="F134" s="262">
        <f t="shared" si="109"/>
        <v>2129.5</v>
      </c>
      <c r="G134" s="266">
        <v>42563</v>
      </c>
      <c r="H134" s="267">
        <v>100</v>
      </c>
      <c r="I134" s="262">
        <v>39.340000000000003</v>
      </c>
      <c r="J134" s="262">
        <v>0.09</v>
      </c>
      <c r="K134" s="262">
        <f>H134*I134-J134</f>
        <v>3933.9100000000003</v>
      </c>
      <c r="L134" s="261"/>
      <c r="M134" s="261"/>
    </row>
    <row r="135" spans="1:13" x14ac:dyDescent="0.25">
      <c r="A135" s="261"/>
      <c r="B135" s="266">
        <v>42515</v>
      </c>
      <c r="C135" s="261">
        <v>50</v>
      </c>
      <c r="D135" s="262">
        <v>43.45</v>
      </c>
      <c r="E135" s="262">
        <v>0</v>
      </c>
      <c r="F135" s="262">
        <f t="shared" si="109"/>
        <v>2172.5</v>
      </c>
      <c r="G135" s="573"/>
      <c r="H135" s="261"/>
      <c r="I135" s="262"/>
      <c r="J135" s="262"/>
      <c r="K135" s="262"/>
      <c r="L135" s="261"/>
      <c r="M135" s="261"/>
    </row>
    <row r="136" spans="1:13" x14ac:dyDescent="0.25">
      <c r="A136" s="261"/>
      <c r="B136" s="266">
        <v>42535</v>
      </c>
      <c r="C136" s="261">
        <v>100</v>
      </c>
      <c r="D136" s="262">
        <v>39.85</v>
      </c>
      <c r="E136" s="262">
        <v>0</v>
      </c>
      <c r="F136" s="262">
        <f t="shared" si="109"/>
        <v>3985</v>
      </c>
      <c r="G136" s="266">
        <v>42566</v>
      </c>
      <c r="H136" s="414">
        <v>100</v>
      </c>
      <c r="I136" s="373">
        <v>40.479999999999997</v>
      </c>
      <c r="J136" s="373">
        <v>0.09</v>
      </c>
      <c r="K136" s="373">
        <f t="shared" ref="K136:K142" si="110">H136*I136-J136</f>
        <v>4047.9099999999994</v>
      </c>
      <c r="L136" s="261"/>
      <c r="M136" s="261"/>
    </row>
    <row r="137" spans="1:13" x14ac:dyDescent="0.25">
      <c r="A137" s="261"/>
      <c r="B137" s="266">
        <v>42537</v>
      </c>
      <c r="C137" s="261">
        <v>100</v>
      </c>
      <c r="D137" s="262">
        <v>37.85</v>
      </c>
      <c r="E137" s="262">
        <v>0</v>
      </c>
      <c r="F137" s="262">
        <f t="shared" si="109"/>
        <v>3785</v>
      </c>
      <c r="G137" s="266">
        <v>42571</v>
      </c>
      <c r="H137" s="267">
        <v>100</v>
      </c>
      <c r="I137" s="262">
        <v>41.08</v>
      </c>
      <c r="J137" s="262">
        <v>0.09</v>
      </c>
      <c r="K137" s="373">
        <f t="shared" si="110"/>
        <v>4107.91</v>
      </c>
      <c r="L137" s="261"/>
      <c r="M137" s="261"/>
    </row>
    <row r="138" spans="1:13" x14ac:dyDescent="0.25">
      <c r="A138" s="261"/>
      <c r="B138" s="266">
        <v>42545</v>
      </c>
      <c r="C138" s="261">
        <v>50</v>
      </c>
      <c r="D138" s="262">
        <v>36.01</v>
      </c>
      <c r="E138" s="262">
        <v>0</v>
      </c>
      <c r="F138" s="262">
        <f t="shared" si="109"/>
        <v>1800.5</v>
      </c>
      <c r="G138" s="266">
        <v>42580</v>
      </c>
      <c r="H138" s="267">
        <v>50</v>
      </c>
      <c r="I138" s="262">
        <v>39.78</v>
      </c>
      <c r="J138" s="262">
        <v>0.04</v>
      </c>
      <c r="K138" s="262">
        <f t="shared" si="110"/>
        <v>1988.96</v>
      </c>
      <c r="L138" s="261"/>
      <c r="M138" s="261"/>
    </row>
    <row r="139" spans="1:13" x14ac:dyDescent="0.25">
      <c r="A139" s="261"/>
      <c r="B139" s="266">
        <v>42545</v>
      </c>
      <c r="C139" s="261">
        <v>50</v>
      </c>
      <c r="D139" s="262">
        <v>36.01</v>
      </c>
      <c r="E139" s="262">
        <v>0</v>
      </c>
      <c r="F139" s="262">
        <f t="shared" si="109"/>
        <v>1800.5</v>
      </c>
      <c r="G139" s="266">
        <v>42620</v>
      </c>
      <c r="H139" s="267">
        <v>50</v>
      </c>
      <c r="I139" s="262">
        <v>38.18</v>
      </c>
      <c r="J139" s="262">
        <v>0.04</v>
      </c>
      <c r="K139" s="262">
        <f t="shared" si="110"/>
        <v>1908.96</v>
      </c>
      <c r="L139" s="261"/>
      <c r="M139" s="261"/>
    </row>
    <row r="140" spans="1:13" x14ac:dyDescent="0.25">
      <c r="A140" s="261"/>
      <c r="B140" s="266">
        <v>42545</v>
      </c>
      <c r="C140" s="261">
        <v>100</v>
      </c>
      <c r="D140" s="262">
        <v>36.01</v>
      </c>
      <c r="E140" s="262">
        <v>0</v>
      </c>
      <c r="F140" s="262">
        <f>D140*C140+E140</f>
        <v>3601</v>
      </c>
      <c r="G140" s="266">
        <v>42620</v>
      </c>
      <c r="H140" s="267">
        <v>50</v>
      </c>
      <c r="I140" s="262">
        <v>38.880000000000003</v>
      </c>
      <c r="J140" s="262">
        <v>0.04</v>
      </c>
      <c r="K140" s="262">
        <f t="shared" si="110"/>
        <v>1943.9600000000003</v>
      </c>
      <c r="L140" s="261"/>
      <c r="M140" s="261"/>
    </row>
    <row r="141" spans="1:13" x14ac:dyDescent="0.25">
      <c r="A141" s="261"/>
      <c r="B141" s="266">
        <v>42548</v>
      </c>
      <c r="C141" s="261">
        <v>100</v>
      </c>
      <c r="D141" s="262">
        <v>33.880000000000003</v>
      </c>
      <c r="E141" s="262">
        <v>0</v>
      </c>
      <c r="F141" s="262">
        <f>D141*C141+E141</f>
        <v>3388.0000000000005</v>
      </c>
      <c r="G141" s="266">
        <v>42620</v>
      </c>
      <c r="H141" s="267">
        <v>50</v>
      </c>
      <c r="I141" s="262">
        <v>39.090000000000003</v>
      </c>
      <c r="J141" s="262">
        <v>-0.09</v>
      </c>
      <c r="K141" s="262">
        <f t="shared" si="110"/>
        <v>1954.5900000000001</v>
      </c>
      <c r="L141" s="261"/>
      <c r="M141" s="261"/>
    </row>
    <row r="142" spans="1:13" x14ac:dyDescent="0.25">
      <c r="A142" s="261"/>
      <c r="B142" s="266">
        <v>42572</v>
      </c>
      <c r="C142" s="261">
        <v>50</v>
      </c>
      <c r="D142" s="262">
        <v>38.58</v>
      </c>
      <c r="E142" s="262">
        <v>0</v>
      </c>
      <c r="F142" s="262">
        <f>D142*C142+E142</f>
        <v>1929</v>
      </c>
      <c r="G142" s="266">
        <v>42641</v>
      </c>
      <c r="H142" s="267">
        <v>250</v>
      </c>
      <c r="I142" s="262">
        <v>39.68</v>
      </c>
      <c r="J142" s="262">
        <v>0.22</v>
      </c>
      <c r="K142" s="262">
        <f t="shared" si="110"/>
        <v>9919.7800000000007</v>
      </c>
      <c r="L142" s="261"/>
      <c r="M142" s="261"/>
    </row>
    <row r="143" spans="1:13" x14ac:dyDescent="0.25">
      <c r="A143" s="261"/>
      <c r="B143" s="266">
        <v>42580</v>
      </c>
      <c r="C143" s="261">
        <v>50</v>
      </c>
      <c r="D143" s="262">
        <v>38.979999999999997</v>
      </c>
      <c r="E143" s="262">
        <v>0</v>
      </c>
      <c r="F143" s="262">
        <f>D143*C143+E143</f>
        <v>1948.9999999999998</v>
      </c>
      <c r="G143" s="261"/>
      <c r="H143" s="261"/>
      <c r="I143" s="262"/>
      <c r="J143" s="262"/>
      <c r="K143" s="262"/>
      <c r="L143" s="261"/>
      <c r="M143" s="261"/>
    </row>
    <row r="144" spans="1:13" x14ac:dyDescent="0.25">
      <c r="A144" s="261"/>
      <c r="B144" s="266">
        <v>42584</v>
      </c>
      <c r="C144" s="261">
        <v>50</v>
      </c>
      <c r="D144" s="262">
        <v>37.68</v>
      </c>
      <c r="E144" s="262">
        <v>0</v>
      </c>
      <c r="F144" s="262">
        <f>D144*C144+E144</f>
        <v>1884</v>
      </c>
      <c r="G144" s="261"/>
      <c r="H144" s="261"/>
      <c r="I144" s="262"/>
      <c r="J144" s="262"/>
      <c r="K144" s="262"/>
      <c r="L144" s="261"/>
      <c r="M144" s="261"/>
    </row>
    <row r="145" spans="1:13" x14ac:dyDescent="0.25">
      <c r="A145" s="261"/>
      <c r="B145" s="261"/>
      <c r="C145" s="261"/>
      <c r="D145" s="262"/>
      <c r="E145" s="262"/>
      <c r="F145" s="262"/>
      <c r="G145" s="261"/>
      <c r="H145" s="261"/>
      <c r="I145" s="262"/>
      <c r="J145" s="262"/>
      <c r="K145" s="262"/>
      <c r="L145" s="261"/>
      <c r="M145" s="261"/>
    </row>
    <row r="146" spans="1:13" x14ac:dyDescent="0.25">
      <c r="A146" s="261"/>
      <c r="B146" s="261"/>
      <c r="C146" s="261"/>
      <c r="D146" s="262"/>
      <c r="E146" s="262"/>
      <c r="F146" s="262"/>
      <c r="G146" s="261"/>
      <c r="H146" s="261"/>
      <c r="I146" s="262"/>
      <c r="J146" s="262"/>
      <c r="K146" s="262"/>
      <c r="L146" s="261"/>
      <c r="M146" s="261"/>
    </row>
    <row r="147" spans="1:13" x14ac:dyDescent="0.25">
      <c r="A147" s="261"/>
      <c r="B147" s="261"/>
      <c r="C147" s="261"/>
      <c r="D147" s="262"/>
      <c r="E147" s="262"/>
      <c r="F147" s="262"/>
      <c r="G147" s="261"/>
      <c r="H147" s="261"/>
      <c r="I147" s="262"/>
      <c r="J147" s="262"/>
      <c r="K147" s="262"/>
      <c r="L147" s="261"/>
      <c r="M147" s="261"/>
    </row>
    <row r="148" spans="1:13" x14ac:dyDescent="0.25">
      <c r="A148" s="261"/>
      <c r="B148" s="261"/>
      <c r="C148" s="261"/>
      <c r="D148" s="262"/>
      <c r="E148" s="262"/>
      <c r="F148" s="262"/>
      <c r="G148" s="261"/>
      <c r="H148" s="261"/>
      <c r="I148" s="262"/>
      <c r="J148" s="262"/>
      <c r="K148" s="262"/>
      <c r="L148" s="261"/>
      <c r="M148" s="261"/>
    </row>
    <row r="149" spans="1:13" x14ac:dyDescent="0.25">
      <c r="A149" s="261"/>
      <c r="B149" s="261"/>
      <c r="C149" s="261"/>
      <c r="D149" s="262"/>
      <c r="E149" s="262"/>
      <c r="F149" s="262"/>
      <c r="G149" s="261"/>
      <c r="H149" s="261"/>
      <c r="I149" s="262"/>
      <c r="J149" s="262"/>
      <c r="K149" s="262"/>
      <c r="L149" s="261"/>
      <c r="M149" s="261"/>
    </row>
    <row r="150" spans="1:13" x14ac:dyDescent="0.25">
      <c r="A150" s="261"/>
      <c r="B150" s="261"/>
      <c r="C150" s="261"/>
      <c r="D150" s="262"/>
      <c r="E150" s="262"/>
      <c r="F150" s="262"/>
      <c r="G150" s="261"/>
      <c r="H150" s="261"/>
      <c r="I150" s="262"/>
      <c r="J150" s="262"/>
      <c r="K150" s="262"/>
      <c r="L150" s="261"/>
      <c r="M150" s="261"/>
    </row>
    <row r="151" spans="1:13" x14ac:dyDescent="0.25">
      <c r="A151" s="261"/>
      <c r="B151" s="261"/>
      <c r="C151" s="261"/>
      <c r="D151" s="262"/>
      <c r="E151" s="262"/>
      <c r="F151" s="262"/>
      <c r="G151" s="261"/>
      <c r="H151" s="261"/>
      <c r="I151" s="262"/>
      <c r="J151" s="262"/>
      <c r="K151" s="262"/>
      <c r="L151" s="261"/>
      <c r="M151" s="261"/>
    </row>
    <row r="152" spans="1:13" x14ac:dyDescent="0.25">
      <c r="A152" s="261"/>
      <c r="B152" s="261"/>
      <c r="C152" s="261"/>
      <c r="D152" s="262"/>
      <c r="E152" s="262"/>
      <c r="F152" s="262"/>
      <c r="G152" s="261"/>
      <c r="H152" s="261"/>
      <c r="I152" s="262"/>
      <c r="J152" s="262"/>
      <c r="K152" s="262"/>
      <c r="L152" s="261"/>
      <c r="M152" s="261"/>
    </row>
    <row r="153" spans="1:13" x14ac:dyDescent="0.25">
      <c r="A153" s="261"/>
      <c r="B153" s="261"/>
      <c r="C153" s="261"/>
      <c r="D153" s="262"/>
      <c r="E153" s="262"/>
      <c r="F153" s="262"/>
      <c r="G153" s="261"/>
      <c r="H153" s="261"/>
      <c r="I153" s="262"/>
      <c r="J153" s="262"/>
      <c r="K153" s="262"/>
      <c r="L153" s="261"/>
      <c r="M153" s="261"/>
    </row>
    <row r="154" spans="1:13" x14ac:dyDescent="0.25">
      <c r="A154" s="261"/>
      <c r="B154" s="261"/>
      <c r="C154" s="261"/>
      <c r="D154" s="262"/>
      <c r="E154" s="262"/>
      <c r="F154" s="262"/>
      <c r="G154" s="261"/>
      <c r="H154" s="267"/>
      <c r="I154" s="262"/>
      <c r="J154" s="262"/>
      <c r="K154" s="262"/>
      <c r="L154" s="261"/>
      <c r="M154" s="261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3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84" t="s">
        <v>201</v>
      </c>
      <c r="B156" s="485"/>
      <c r="C156" s="486">
        <f>SumByColor($A$30,C128:C154)</f>
        <v>0</v>
      </c>
      <c r="D156" s="486"/>
      <c r="E156" s="486"/>
      <c r="F156" s="487">
        <f>SumByColor($A$30,F128:F154)</f>
        <v>0</v>
      </c>
      <c r="G156" s="486"/>
      <c r="H156" s="486">
        <f>SumByColor($A$30,H129:H154)</f>
        <v>0</v>
      </c>
      <c r="I156" s="486"/>
      <c r="J156" s="486"/>
      <c r="K156" s="487">
        <f>SumByColor($A$30,K129:K154)</f>
        <v>0</v>
      </c>
      <c r="L156" s="486"/>
      <c r="M156" s="487">
        <f>SumByColor($A$30,M128:M154)</f>
        <v>0</v>
      </c>
    </row>
  </sheetData>
  <mergeCells count="1">
    <mergeCell ref="O42:P42"/>
  </mergeCells>
  <conditionalFormatting sqref="F45:F59 F61:F91 F93:F102">
    <cfRule type="expression" dxfId="143" priority="31">
      <formula>F45&gt;0</formula>
    </cfRule>
    <cfRule type="expression" dxfId="142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41" priority="33">
      <formula>F40&gt;0</formula>
    </cfRule>
    <cfRule type="expression" dxfId="140" priority="34">
      <formula>F40&lt;0</formula>
    </cfRule>
  </conditionalFormatting>
  <conditionalFormatting sqref="F45:F59 F61:F91 F93:F102">
    <cfRule type="expression" dxfId="139" priority="29">
      <formula>F45&gt;0</formula>
    </cfRule>
    <cfRule type="expression" dxfId="138" priority="30">
      <formula>F45&lt;0</formula>
    </cfRule>
  </conditionalFormatting>
  <conditionalFormatting sqref="H40:H59 H61:H91 H93:H102">
    <cfRule type="expression" dxfId="137" priority="27">
      <formula>H40&gt;0</formula>
    </cfRule>
    <cfRule type="expression" dxfId="136" priority="28">
      <formula>H40&lt;0</formula>
    </cfRule>
  </conditionalFormatting>
  <conditionalFormatting sqref="F36:F39">
    <cfRule type="expression" dxfId="135" priority="25">
      <formula>F36&gt;0</formula>
    </cfRule>
    <cfRule type="expression" dxfId="134" priority="26">
      <formula>F36&lt;0</formula>
    </cfRule>
  </conditionalFormatting>
  <conditionalFormatting sqref="H36:H39">
    <cfRule type="expression" dxfId="133" priority="23">
      <formula>H36&gt;0</formula>
    </cfRule>
    <cfRule type="expression" dxfId="132" priority="24">
      <formula>H36&lt;0</formula>
    </cfRule>
  </conditionalFormatting>
  <conditionalFormatting sqref="Q7">
    <cfRule type="expression" dxfId="131" priority="17">
      <formula>Q7&gt;0</formula>
    </cfRule>
    <cfRule type="expression" dxfId="130" priority="18">
      <formula>Q7&lt;0</formula>
    </cfRule>
  </conditionalFormatting>
  <conditionalFormatting sqref="Q8">
    <cfRule type="expression" dxfId="129" priority="15">
      <formula>Q8&gt;0</formula>
    </cfRule>
    <cfRule type="expression" dxfId="128" priority="16">
      <formula>Q8&lt;0</formula>
    </cfRule>
  </conditionalFormatting>
  <conditionalFormatting sqref="Q10">
    <cfRule type="expression" dxfId="127" priority="13">
      <formula>Q10&gt;0</formula>
    </cfRule>
    <cfRule type="expression" dxfId="126" priority="14">
      <formula>Q10&lt;0</formula>
    </cfRule>
  </conditionalFormatting>
  <conditionalFormatting sqref="F60">
    <cfRule type="expression" dxfId="125" priority="11">
      <formula>F60&gt;0</formula>
    </cfRule>
    <cfRule type="expression" dxfId="124" priority="12">
      <formula>F60&lt;0</formula>
    </cfRule>
  </conditionalFormatting>
  <conditionalFormatting sqref="F60">
    <cfRule type="expression" dxfId="123" priority="9">
      <formula>F60&gt;0</formula>
    </cfRule>
    <cfRule type="expression" dxfId="122" priority="10">
      <formula>F60&lt;0</formula>
    </cfRule>
  </conditionalFormatting>
  <conditionalFormatting sqref="H60">
    <cfRule type="expression" dxfId="121" priority="7">
      <formula>H60&gt;0</formula>
    </cfRule>
    <cfRule type="expression" dxfId="120" priority="8">
      <formula>H60&lt;0</formula>
    </cfRule>
  </conditionalFormatting>
  <conditionalFormatting sqref="F92">
    <cfRule type="expression" dxfId="119" priority="5">
      <formula>F92&gt;0</formula>
    </cfRule>
    <cfRule type="expression" dxfId="118" priority="6">
      <formula>F92&lt;0</formula>
    </cfRule>
  </conditionalFormatting>
  <conditionalFormatting sqref="F92">
    <cfRule type="expression" dxfId="117" priority="3">
      <formula>F92&gt;0</formula>
    </cfRule>
    <cfRule type="expression" dxfId="116" priority="4">
      <formula>F92&lt;0</formula>
    </cfRule>
  </conditionalFormatting>
  <conditionalFormatting sqref="H92">
    <cfRule type="expression" dxfId="115" priority="1">
      <formula>H92&gt;0</formula>
    </cfRule>
    <cfRule type="expression" dxfId="114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473">
        <v>42226</v>
      </c>
      <c r="C2" s="7">
        <v>10</v>
      </c>
      <c r="D2" s="44">
        <v>113.72</v>
      </c>
      <c r="E2" s="44">
        <v>0</v>
      </c>
      <c r="F2" s="44">
        <f t="shared" ref="F2:F11" si="0">C2*D2</f>
        <v>1137.2</v>
      </c>
      <c r="G2" s="473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s="1">
        <v>42580</v>
      </c>
      <c r="M2" s="44">
        <v>10.65</v>
      </c>
      <c r="O2" s="11" t="s">
        <v>57</v>
      </c>
      <c r="Q2">
        <f>C18-H18</f>
        <v>70</v>
      </c>
      <c r="W2" s="133">
        <v>42676</v>
      </c>
      <c r="X2" s="10">
        <v>91.91</v>
      </c>
      <c r="Y2" s="10">
        <v>92.56</v>
      </c>
      <c r="Z2" s="10">
        <v>91.69</v>
      </c>
      <c r="AA2" s="10">
        <v>91.91</v>
      </c>
      <c r="AB2" s="95">
        <v>6657800</v>
      </c>
      <c r="AC2" s="10">
        <v>91.91</v>
      </c>
      <c r="AD2" s="2">
        <f>Y2-Z2</f>
        <v>0.87000000000000455</v>
      </c>
      <c r="AE2" s="138">
        <f>AC2/AC3-1</f>
        <v>-5.1953674640112801E-3</v>
      </c>
    </row>
    <row r="3" spans="1:31" x14ac:dyDescent="0.25">
      <c r="A3" s="23" t="s">
        <v>71</v>
      </c>
      <c r="B3" s="473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473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30">
        <f>IF(Q2=0, Q4, (F18-K18-M18)/Q2)</f>
        <v>93.310571428571421</v>
      </c>
      <c r="T3" s="1"/>
      <c r="W3" s="133">
        <v>42675</v>
      </c>
      <c r="X3" s="10">
        <v>92.78</v>
      </c>
      <c r="Y3" s="10">
        <v>92.99</v>
      </c>
      <c r="Z3" s="10">
        <v>91.66</v>
      </c>
      <c r="AA3" s="10">
        <v>92.39</v>
      </c>
      <c r="AB3" s="95">
        <v>6442300</v>
      </c>
      <c r="AC3" s="10">
        <v>92.39</v>
      </c>
      <c r="AD3" s="2">
        <f t="shared" ref="AD3:AD66" si="1">Y3-Z3</f>
        <v>1.3299999999999983</v>
      </c>
      <c r="AE3" s="138">
        <f t="shared" ref="AE3:AE66" si="2">AC3/AC4-1</f>
        <v>-3.2365951019527328E-3</v>
      </c>
    </row>
    <row r="4" spans="1:31" x14ac:dyDescent="0.25">
      <c r="B4" s="473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473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91.91</v>
      </c>
      <c r="R4" s="527">
        <v>-5.1999999999999998E-3</v>
      </c>
      <c r="T4" s="163"/>
      <c r="W4" s="133">
        <v>42674</v>
      </c>
      <c r="X4" s="10">
        <v>93.72</v>
      </c>
      <c r="Y4" s="10">
        <v>93.82</v>
      </c>
      <c r="Z4" s="10">
        <v>92.31</v>
      </c>
      <c r="AA4" s="10">
        <v>92.69</v>
      </c>
      <c r="AB4" s="95">
        <v>9957600</v>
      </c>
      <c r="AC4" s="10">
        <v>92.69</v>
      </c>
      <c r="AD4" s="2">
        <f t="shared" si="1"/>
        <v>1.5099999999999909</v>
      </c>
      <c r="AE4" s="138">
        <f t="shared" si="2"/>
        <v>-1.236014917421413E-2</v>
      </c>
    </row>
    <row r="5" spans="1:31" x14ac:dyDescent="0.25">
      <c r="B5" s="473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G5" s="473">
        <v>42592</v>
      </c>
      <c r="H5" s="82">
        <v>15</v>
      </c>
      <c r="I5" s="44">
        <v>97.88</v>
      </c>
      <c r="J5" s="44">
        <v>0.03</v>
      </c>
      <c r="K5" s="44">
        <f>I5*H5-J5</f>
        <v>1468.1699999999998</v>
      </c>
      <c r="O5" s="11" t="s">
        <v>67</v>
      </c>
      <c r="Q5" s="3">
        <f>Q4*Q2</f>
        <v>6433.7</v>
      </c>
      <c r="W5" s="133">
        <v>42671</v>
      </c>
      <c r="X5" s="10">
        <v>93.89</v>
      </c>
      <c r="Y5" s="10">
        <v>94.4</v>
      </c>
      <c r="Z5" s="10">
        <v>93.53</v>
      </c>
      <c r="AA5" s="10">
        <v>93.85</v>
      </c>
      <c r="AB5" s="95">
        <v>7309100</v>
      </c>
      <c r="AC5" s="10">
        <v>93.85</v>
      </c>
      <c r="AD5" s="2">
        <f t="shared" si="1"/>
        <v>0.87000000000000455</v>
      </c>
      <c r="AE5" s="138">
        <f t="shared" si="2"/>
        <v>-1.8081259306530484E-3</v>
      </c>
    </row>
    <row r="6" spans="1:31" x14ac:dyDescent="0.25">
      <c r="B6" s="473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6531.74</v>
      </c>
      <c r="W6" s="133">
        <v>42670</v>
      </c>
      <c r="X6" s="10">
        <v>93.8</v>
      </c>
      <c r="Y6" s="10">
        <v>94.34</v>
      </c>
      <c r="Z6" s="10">
        <v>93.31</v>
      </c>
      <c r="AA6" s="10">
        <v>94.02</v>
      </c>
      <c r="AB6" s="95">
        <v>6647000</v>
      </c>
      <c r="AC6" s="10">
        <v>94.02</v>
      </c>
      <c r="AD6" s="2">
        <f t="shared" si="1"/>
        <v>1.0300000000000011</v>
      </c>
      <c r="AE6" s="138">
        <f t="shared" si="2"/>
        <v>5.6690555139586873E-3</v>
      </c>
    </row>
    <row r="7" spans="1:31" x14ac:dyDescent="0.25">
      <c r="B7" s="473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184</v>
      </c>
      <c r="Q7" s="2">
        <f>Q10+Q8</f>
        <v>-98.039999999999964</v>
      </c>
      <c r="R7">
        <v>70</v>
      </c>
      <c r="W7" s="133">
        <v>42669</v>
      </c>
      <c r="X7" s="10">
        <v>92.39</v>
      </c>
      <c r="Y7" s="10">
        <v>93.72</v>
      </c>
      <c r="Z7" s="10">
        <v>91.9</v>
      </c>
      <c r="AA7" s="10">
        <v>93.49</v>
      </c>
      <c r="AB7" s="95">
        <v>7152800</v>
      </c>
      <c r="AC7" s="10">
        <v>93.49</v>
      </c>
      <c r="AD7" s="2">
        <f t="shared" si="1"/>
        <v>1.8199999999999932</v>
      </c>
      <c r="AE7" s="138">
        <f t="shared" si="2"/>
        <v>7.9784366576818311E-3</v>
      </c>
    </row>
    <row r="8" spans="1:31" x14ac:dyDescent="0.25">
      <c r="B8" s="74">
        <v>42586</v>
      </c>
      <c r="C8" s="7">
        <v>15</v>
      </c>
      <c r="D8" s="44">
        <v>94.88</v>
      </c>
      <c r="E8" s="44">
        <v>0</v>
      </c>
      <c r="F8" s="44">
        <f t="shared" si="0"/>
        <v>1423.1999999999998</v>
      </c>
      <c r="H8" s="72"/>
      <c r="O8" s="11" t="s">
        <v>187</v>
      </c>
      <c r="P8" s="34"/>
      <c r="Q8" s="2">
        <f>K18+M18-F18+Q2*Q4</f>
        <v>-98.039999999999964</v>
      </c>
      <c r="W8" s="133">
        <v>42668</v>
      </c>
      <c r="X8" s="10">
        <v>93.14</v>
      </c>
      <c r="Y8" s="10">
        <v>93.36</v>
      </c>
      <c r="Z8" s="10">
        <v>92.64</v>
      </c>
      <c r="AA8" s="10">
        <v>92.75</v>
      </c>
      <c r="AB8" s="95">
        <v>6380700</v>
      </c>
      <c r="AC8" s="10">
        <v>92.75</v>
      </c>
      <c r="AD8" s="2">
        <f t="shared" si="1"/>
        <v>0.71999999999999886</v>
      </c>
      <c r="AE8" s="138">
        <f t="shared" si="2"/>
        <v>-6.6402484738139478E-3</v>
      </c>
    </row>
    <row r="9" spans="1:31" x14ac:dyDescent="0.25">
      <c r="B9" s="74">
        <v>42594</v>
      </c>
      <c r="C9" s="4">
        <v>15</v>
      </c>
      <c r="D9" s="3">
        <v>96.85</v>
      </c>
      <c r="E9" s="3">
        <v>0</v>
      </c>
      <c r="F9" s="3">
        <f t="shared" si="0"/>
        <v>1452.75</v>
      </c>
      <c r="H9" s="72"/>
      <c r="O9" s="11" t="s">
        <v>219</v>
      </c>
      <c r="Q9" s="138">
        <f>IF(Q2=0, 0, Q8/Q6)</f>
        <v>-1.5009782998098511E-2</v>
      </c>
      <c r="W9" s="133">
        <v>42667</v>
      </c>
      <c r="X9" s="10">
        <v>93.49</v>
      </c>
      <c r="Y9" s="10">
        <v>94.15</v>
      </c>
      <c r="Z9" s="10">
        <v>92.8</v>
      </c>
      <c r="AA9" s="10">
        <v>93.37</v>
      </c>
      <c r="AB9" s="95">
        <v>7281000</v>
      </c>
      <c r="AC9" s="10">
        <v>93.37</v>
      </c>
      <c r="AD9" s="2">
        <f t="shared" si="1"/>
        <v>1.3500000000000085</v>
      </c>
      <c r="AE9" s="138">
        <f t="shared" si="2"/>
        <v>3.6547350317102101E-3</v>
      </c>
    </row>
    <row r="10" spans="1:31" x14ac:dyDescent="0.25">
      <c r="B10" s="74">
        <v>42611</v>
      </c>
      <c r="C10" s="4">
        <v>25</v>
      </c>
      <c r="D10" s="3">
        <v>94.58</v>
      </c>
      <c r="E10" s="3">
        <v>0</v>
      </c>
      <c r="F10" s="3">
        <f t="shared" si="0"/>
        <v>2364.5</v>
      </c>
      <c r="O10" s="11" t="s">
        <v>218</v>
      </c>
      <c r="P10" s="34"/>
      <c r="Q10" s="2">
        <f>M32</f>
        <v>0</v>
      </c>
      <c r="W10" s="133">
        <v>42664</v>
      </c>
      <c r="X10" s="10">
        <v>91.33</v>
      </c>
      <c r="Y10" s="10">
        <v>94.19</v>
      </c>
      <c r="Z10" s="10">
        <v>90.6</v>
      </c>
      <c r="AA10" s="10">
        <v>93.03</v>
      </c>
      <c r="AB10" s="95">
        <v>13814500</v>
      </c>
      <c r="AC10" s="10">
        <v>93.03</v>
      </c>
      <c r="AD10" s="2">
        <f t="shared" si="1"/>
        <v>3.5900000000000034</v>
      </c>
      <c r="AE10" s="138">
        <f t="shared" si="2"/>
        <v>1.0866021949364368E-2</v>
      </c>
    </row>
    <row r="11" spans="1:31" x14ac:dyDescent="0.25">
      <c r="B11" s="74">
        <v>42622</v>
      </c>
      <c r="C11" s="4">
        <v>15</v>
      </c>
      <c r="D11" s="2">
        <v>92.5</v>
      </c>
      <c r="E11" s="2">
        <v>0</v>
      </c>
      <c r="F11" s="2">
        <f t="shared" si="0"/>
        <v>1387.5</v>
      </c>
      <c r="O11" s="11" t="s">
        <v>181</v>
      </c>
      <c r="P11" s="34"/>
      <c r="Q11" s="138">
        <f>VALUE(TRIM(CLEAN(MID(U58, FIND("(", U58)+1, 5))))</f>
        <v>1.5100000000000001E-2</v>
      </c>
      <c r="W11" s="133">
        <v>42663</v>
      </c>
      <c r="X11" s="10">
        <v>91.66</v>
      </c>
      <c r="Y11" s="10">
        <v>92.32</v>
      </c>
      <c r="Z11" s="10">
        <v>91.44</v>
      </c>
      <c r="AA11" s="10">
        <v>92.03</v>
      </c>
      <c r="AB11" s="95">
        <v>6153200</v>
      </c>
      <c r="AC11" s="10">
        <v>92.03</v>
      </c>
      <c r="AD11" s="2">
        <f t="shared" si="1"/>
        <v>0.87999999999999545</v>
      </c>
      <c r="AE11" s="138">
        <f t="shared" si="2"/>
        <v>1.0877841836178792E-3</v>
      </c>
    </row>
    <row r="12" spans="1:31" x14ac:dyDescent="0.25">
      <c r="W12" s="133">
        <v>42662</v>
      </c>
      <c r="X12" s="10">
        <v>91.27</v>
      </c>
      <c r="Y12" s="10">
        <v>92.14</v>
      </c>
      <c r="Z12" s="10">
        <v>91</v>
      </c>
      <c r="AA12" s="10">
        <v>91.93</v>
      </c>
      <c r="AB12" s="95">
        <v>6140500</v>
      </c>
      <c r="AC12" s="10">
        <v>91.93</v>
      </c>
      <c r="AD12" s="2">
        <f t="shared" si="1"/>
        <v>1.1400000000000006</v>
      </c>
      <c r="AE12" s="138">
        <f t="shared" si="2"/>
        <v>8.3360754634200784E-3</v>
      </c>
    </row>
    <row r="13" spans="1:31" x14ac:dyDescent="0.25">
      <c r="W13" s="133">
        <v>42661</v>
      </c>
      <c r="X13" s="10">
        <v>91.4</v>
      </c>
      <c r="Y13" s="10">
        <v>91.74</v>
      </c>
      <c r="Z13" s="10">
        <v>90.98</v>
      </c>
      <c r="AA13" s="10">
        <v>91.17</v>
      </c>
      <c r="AB13" s="95">
        <v>4890800</v>
      </c>
      <c r="AC13" s="10">
        <v>91.17</v>
      </c>
      <c r="AD13" s="2">
        <f t="shared" si="1"/>
        <v>0.75999999999999091</v>
      </c>
      <c r="AE13" s="138">
        <f t="shared" si="2"/>
        <v>3.7432566332709083E-3</v>
      </c>
    </row>
    <row r="14" spans="1:31" x14ac:dyDescent="0.25">
      <c r="W14" s="133">
        <v>42660</v>
      </c>
      <c r="X14" s="10">
        <v>91.35</v>
      </c>
      <c r="Y14" s="10">
        <v>91.47</v>
      </c>
      <c r="Z14" s="10">
        <v>90.56</v>
      </c>
      <c r="AA14" s="10">
        <v>90.83</v>
      </c>
      <c r="AB14" s="95">
        <v>5134600</v>
      </c>
      <c r="AC14" s="10">
        <v>90.83</v>
      </c>
      <c r="AD14" s="2">
        <f t="shared" si="1"/>
        <v>0.90999999999999659</v>
      </c>
      <c r="AE14" s="138">
        <f t="shared" si="2"/>
        <v>-5.1478641840086992E-3</v>
      </c>
    </row>
    <row r="15" spans="1:31" x14ac:dyDescent="0.25">
      <c r="W15" s="133">
        <v>42657</v>
      </c>
      <c r="X15" s="10">
        <v>91.77</v>
      </c>
      <c r="Y15" s="10">
        <v>91.77</v>
      </c>
      <c r="Z15" s="10">
        <v>91.29</v>
      </c>
      <c r="AA15" s="10">
        <v>91.3</v>
      </c>
      <c r="AB15" s="95">
        <v>4345700</v>
      </c>
      <c r="AC15" s="10">
        <v>91.3</v>
      </c>
      <c r="AD15" s="2">
        <f t="shared" si="1"/>
        <v>0.47999999999998977</v>
      </c>
      <c r="AE15" s="138">
        <f t="shared" si="2"/>
        <v>1.9754170324846054E-3</v>
      </c>
    </row>
    <row r="16" spans="1:31" x14ac:dyDescent="0.25">
      <c r="W16" s="133">
        <v>42656</v>
      </c>
      <c r="X16" s="10">
        <v>90.95</v>
      </c>
      <c r="Y16" s="10">
        <v>91.36</v>
      </c>
      <c r="Z16" s="10">
        <v>90.32</v>
      </c>
      <c r="AA16" s="10">
        <v>91.12</v>
      </c>
      <c r="AB16" s="95">
        <v>5725200</v>
      </c>
      <c r="AC16" s="10">
        <v>91.12</v>
      </c>
      <c r="AD16" s="2">
        <f t="shared" si="1"/>
        <v>1.0400000000000063</v>
      </c>
      <c r="AE16" s="138">
        <f t="shared" si="2"/>
        <v>-3.1725194180066696E-3</v>
      </c>
    </row>
    <row r="17" spans="1:31" x14ac:dyDescent="0.25">
      <c r="W17" s="133">
        <v>42655</v>
      </c>
      <c r="X17" s="10">
        <v>91.88</v>
      </c>
      <c r="Y17" s="10">
        <v>92.08</v>
      </c>
      <c r="Z17" s="10">
        <v>91.39</v>
      </c>
      <c r="AA17" s="10">
        <v>91.41</v>
      </c>
      <c r="AB17" s="95">
        <v>6836600</v>
      </c>
      <c r="AC17" s="10">
        <v>91.41</v>
      </c>
      <c r="AD17" s="2">
        <f t="shared" si="1"/>
        <v>0.68999999999999773</v>
      </c>
      <c r="AE17" s="138">
        <f t="shared" si="2"/>
        <v>-4.8987589810581822E-3</v>
      </c>
    </row>
    <row r="18" spans="1:31" x14ac:dyDescent="0.25">
      <c r="A18" s="32" t="s">
        <v>81</v>
      </c>
      <c r="B18" s="14"/>
      <c r="C18" s="14">
        <f>SUM(C2:C11)</f>
        <v>140</v>
      </c>
      <c r="D18" s="18"/>
      <c r="E18" s="18"/>
      <c r="F18" s="18">
        <f>SUM(F2:F11)</f>
        <v>13780.8</v>
      </c>
      <c r="G18" s="14"/>
      <c r="H18" s="73">
        <f>SUM(H2:H5)</f>
        <v>70</v>
      </c>
      <c r="I18" s="18"/>
      <c r="J18" s="18"/>
      <c r="K18" s="18">
        <f>SUM(K2:K5)</f>
        <v>7238.41</v>
      </c>
      <c r="L18" s="14"/>
      <c r="M18" s="18">
        <f>SUM(M2:M5)</f>
        <v>10.65</v>
      </c>
      <c r="W18" s="133">
        <v>42654</v>
      </c>
      <c r="X18" s="10">
        <v>92.33</v>
      </c>
      <c r="Y18" s="10">
        <v>92.38</v>
      </c>
      <c r="Z18" s="10">
        <v>91.57</v>
      </c>
      <c r="AA18" s="10">
        <v>91.86</v>
      </c>
      <c r="AB18" s="95">
        <v>6651100</v>
      </c>
      <c r="AC18" s="10">
        <v>91.86</v>
      </c>
      <c r="AD18" s="2">
        <f t="shared" si="1"/>
        <v>0.81000000000000227</v>
      </c>
      <c r="AE18" s="138">
        <f t="shared" si="2"/>
        <v>-6.8115471942912231E-3</v>
      </c>
    </row>
    <row r="19" spans="1:31" ht="15.75" thickBot="1" x14ac:dyDescent="0.3">
      <c r="A19" s="359" t="s">
        <v>201</v>
      </c>
      <c r="B19" s="360"/>
      <c r="C19" s="361">
        <f>SumByColor($A$19,C2:C17)</f>
        <v>70</v>
      </c>
      <c r="D19" s="361"/>
      <c r="E19" s="361"/>
      <c r="F19" s="362">
        <f>SumByColor($A$19,F2:F17)</f>
        <v>6971</v>
      </c>
      <c r="G19" s="361"/>
      <c r="H19" s="361">
        <f>SumByColor($A$19,H2:H17)</f>
        <v>70</v>
      </c>
      <c r="I19" s="361"/>
      <c r="J19" s="361"/>
      <c r="K19" s="362">
        <f>SumByColor($A$19,K2:K17)</f>
        <v>7238</v>
      </c>
      <c r="L19" s="361"/>
      <c r="M19" s="362">
        <f t="shared" ref="M19" si="3">SumByColor($A$19,M2:M17)</f>
        <v>11</v>
      </c>
      <c r="W19" s="133">
        <v>42653</v>
      </c>
      <c r="X19" s="10">
        <v>92.7</v>
      </c>
      <c r="Y19" s="10">
        <v>93.21</v>
      </c>
      <c r="Z19" s="10">
        <v>92.4</v>
      </c>
      <c r="AA19" s="10">
        <v>92.49</v>
      </c>
      <c r="AB19" s="95">
        <v>4241000</v>
      </c>
      <c r="AC19" s="10">
        <v>92.49</v>
      </c>
      <c r="AD19" s="2">
        <f t="shared" si="1"/>
        <v>0.80999999999998806</v>
      </c>
      <c r="AE19" s="138">
        <f t="shared" si="2"/>
        <v>0</v>
      </c>
    </row>
    <row r="20" spans="1:31" x14ac:dyDescent="0.25">
      <c r="W20" s="133">
        <v>42650</v>
      </c>
      <c r="X20" s="10">
        <v>93.06</v>
      </c>
      <c r="Y20" s="10">
        <v>93.29</v>
      </c>
      <c r="Z20" s="10">
        <v>92.02</v>
      </c>
      <c r="AA20" s="10">
        <v>92.49</v>
      </c>
      <c r="AB20" s="95">
        <v>6144100</v>
      </c>
      <c r="AC20" s="10">
        <v>92.49</v>
      </c>
      <c r="AD20" s="2">
        <f t="shared" si="1"/>
        <v>1.2700000000000102</v>
      </c>
      <c r="AE20" s="138">
        <f t="shared" si="2"/>
        <v>-3.6626090703436587E-3</v>
      </c>
    </row>
    <row r="21" spans="1:31" x14ac:dyDescent="0.25">
      <c r="W21" s="133">
        <v>42649</v>
      </c>
      <c r="X21" s="10">
        <v>92.75</v>
      </c>
      <c r="Y21" s="10">
        <v>93.58</v>
      </c>
      <c r="Z21" s="10">
        <v>92.39</v>
      </c>
      <c r="AA21" s="10">
        <v>92.83</v>
      </c>
      <c r="AB21" s="95">
        <v>7484800</v>
      </c>
      <c r="AC21" s="10">
        <v>92.83</v>
      </c>
      <c r="AD21" s="2">
        <f t="shared" si="1"/>
        <v>1.1899999999999977</v>
      </c>
      <c r="AE21" s="138">
        <f t="shared" si="2"/>
        <v>4.1103299080582634E-3</v>
      </c>
    </row>
    <row r="22" spans="1:31" x14ac:dyDescent="0.25">
      <c r="W22" s="133">
        <v>42648</v>
      </c>
      <c r="X22" s="10">
        <v>92.94</v>
      </c>
      <c r="Y22" s="10">
        <v>93.28</v>
      </c>
      <c r="Z22" s="10">
        <v>92.38</v>
      </c>
      <c r="AA22" s="10">
        <v>92.45</v>
      </c>
      <c r="AB22" s="95">
        <v>5365000</v>
      </c>
      <c r="AC22" s="10">
        <v>92.45</v>
      </c>
      <c r="AD22" s="2">
        <f t="shared" si="1"/>
        <v>0.90000000000000568</v>
      </c>
      <c r="AE22" s="138">
        <f t="shared" si="2"/>
        <v>-1.512042337185493E-3</v>
      </c>
    </row>
    <row r="23" spans="1:31" x14ac:dyDescent="0.25">
      <c r="W23" s="133">
        <v>42647</v>
      </c>
      <c r="X23" s="10">
        <v>92.45</v>
      </c>
      <c r="Y23" s="10">
        <v>92.99</v>
      </c>
      <c r="Z23" s="10">
        <v>92.11</v>
      </c>
      <c r="AA23" s="10">
        <v>92.59</v>
      </c>
      <c r="AB23" s="95">
        <v>5903400</v>
      </c>
      <c r="AC23" s="10">
        <v>92.59</v>
      </c>
      <c r="AD23" s="2">
        <f t="shared" si="1"/>
        <v>0.87999999999999545</v>
      </c>
      <c r="AE23" s="138">
        <f t="shared" si="2"/>
        <v>1.0811979673479577E-3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42646</v>
      </c>
      <c r="X24" s="10">
        <v>92.47</v>
      </c>
      <c r="Y24" s="10">
        <v>92.72</v>
      </c>
      <c r="Z24" s="10">
        <v>92.05</v>
      </c>
      <c r="AA24" s="10">
        <v>92.49</v>
      </c>
      <c r="AB24" s="95">
        <v>5834700</v>
      </c>
      <c r="AC24" s="10">
        <v>92.49</v>
      </c>
      <c r="AD24" s="2">
        <f t="shared" si="1"/>
        <v>0.67000000000000171</v>
      </c>
      <c r="AE24" s="138">
        <f t="shared" si="2"/>
        <v>-3.9844927848374789E-3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42643</v>
      </c>
      <c r="X25" s="10">
        <v>92.28</v>
      </c>
      <c r="Y25" s="10">
        <v>93.49</v>
      </c>
      <c r="Z25" s="10">
        <v>92.21</v>
      </c>
      <c r="AA25" s="10">
        <v>92.86</v>
      </c>
      <c r="AB25" s="95">
        <v>8923700</v>
      </c>
      <c r="AC25" s="10">
        <v>92.86</v>
      </c>
      <c r="AD25" s="2">
        <f t="shared" si="1"/>
        <v>1.2800000000000011</v>
      </c>
      <c r="AE25" s="138">
        <f t="shared" si="2"/>
        <v>1.1546840958605697E-2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42642</v>
      </c>
      <c r="X26" s="10">
        <v>92.14</v>
      </c>
      <c r="Y26" s="10">
        <v>93.1</v>
      </c>
      <c r="Z26" s="10">
        <v>91.53</v>
      </c>
      <c r="AA26" s="10">
        <v>91.8</v>
      </c>
      <c r="AB26" s="95">
        <v>7476600</v>
      </c>
      <c r="AC26" s="10">
        <v>91.8</v>
      </c>
      <c r="AD26" s="2">
        <f t="shared" si="1"/>
        <v>1.5699999999999932</v>
      </c>
      <c r="AE26" s="138">
        <f t="shared" si="2"/>
        <v>-4.3383947939262812E-3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4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42641</v>
      </c>
      <c r="X27" s="10">
        <v>91.75</v>
      </c>
      <c r="Y27" s="10">
        <v>92.3</v>
      </c>
      <c r="Z27" s="10">
        <v>91.48</v>
      </c>
      <c r="AA27" s="10">
        <v>92.2</v>
      </c>
      <c r="AB27" s="95">
        <v>8272300</v>
      </c>
      <c r="AC27" s="10">
        <v>92.2</v>
      </c>
      <c r="AD27" s="2">
        <f t="shared" si="1"/>
        <v>0.81999999999999318</v>
      </c>
      <c r="AE27" s="138">
        <f t="shared" si="2"/>
        <v>5.2333187963367056E-3</v>
      </c>
    </row>
    <row r="28" spans="1:31" x14ac:dyDescent="0.25">
      <c r="B28" s="193">
        <v>42409</v>
      </c>
      <c r="C28" s="10">
        <v>40</v>
      </c>
      <c r="D28" s="40">
        <v>95.31</v>
      </c>
      <c r="E28" s="40">
        <v>92.12</v>
      </c>
      <c r="F28" s="40">
        <f t="shared" si="4"/>
        <v>-127.59999999999991</v>
      </c>
      <c r="G28" s="40">
        <f>D28*C28</f>
        <v>3812.4</v>
      </c>
      <c r="H28" s="231">
        <f t="shared" ref="H28:H36" si="5">(E28-D28)/D28</f>
        <v>-3.346973035358302E-2</v>
      </c>
      <c r="I28" s="40"/>
      <c r="W28" s="133">
        <v>42640</v>
      </c>
      <c r="X28" s="10">
        <v>91.93</v>
      </c>
      <c r="Y28" s="10">
        <v>92.18</v>
      </c>
      <c r="Z28" s="10">
        <v>91.5</v>
      </c>
      <c r="AA28" s="10">
        <v>91.72</v>
      </c>
      <c r="AB28" s="95">
        <v>9167400</v>
      </c>
      <c r="AC28" s="10">
        <v>91.72</v>
      </c>
      <c r="AD28" s="2">
        <f t="shared" si="1"/>
        <v>0.68000000000000682</v>
      </c>
      <c r="AE28" s="138">
        <f t="shared" si="2"/>
        <v>-2.6098303610264662E-3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4"/>
        <v>-111.19999999999983</v>
      </c>
      <c r="G29" s="40">
        <f t="shared" ref="G29:G36" si="6">D29*C29</f>
        <v>2419.6999999999998</v>
      </c>
      <c r="H29" s="231">
        <f t="shared" si="5"/>
        <v>-4.5956110261602609E-2</v>
      </c>
      <c r="I29" s="40"/>
      <c r="W29" s="133">
        <v>42639</v>
      </c>
      <c r="X29" s="10">
        <v>92.47</v>
      </c>
      <c r="Y29" s="10">
        <v>92.68</v>
      </c>
      <c r="Z29" s="10">
        <v>91.4</v>
      </c>
      <c r="AA29" s="10">
        <v>91.96</v>
      </c>
      <c r="AB29" s="95">
        <v>10449300</v>
      </c>
      <c r="AC29" s="10">
        <v>91.96</v>
      </c>
      <c r="AD29" s="2">
        <f t="shared" si="1"/>
        <v>1.2800000000000011</v>
      </c>
      <c r="AE29" s="138">
        <f t="shared" si="2"/>
        <v>-1.4045244987670236E-2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4"/>
        <v>-44.44999999999979</v>
      </c>
      <c r="G30" s="40">
        <f t="shared" si="6"/>
        <v>2419.6999999999998</v>
      </c>
      <c r="H30" s="231">
        <f t="shared" si="5"/>
        <v>-1.8370045873455299E-2</v>
      </c>
      <c r="I30" s="40"/>
      <c r="W30" s="133">
        <v>42636</v>
      </c>
      <c r="X30" s="10">
        <v>93.07</v>
      </c>
      <c r="Y30" s="10">
        <v>93.52</v>
      </c>
      <c r="Z30" s="10">
        <v>93</v>
      </c>
      <c r="AA30" s="10">
        <v>93.27</v>
      </c>
      <c r="AB30" s="95">
        <v>4407700</v>
      </c>
      <c r="AC30" s="10">
        <v>93.27</v>
      </c>
      <c r="AD30" s="2">
        <f t="shared" si="1"/>
        <v>0.51999999999999602</v>
      </c>
      <c r="AE30" s="138">
        <f t="shared" si="2"/>
        <v>-1.4987688684294787E-3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4"/>
        <v>21.550000000000225</v>
      </c>
      <c r="G31" s="40">
        <f t="shared" si="6"/>
        <v>2419.6999999999998</v>
      </c>
      <c r="H31" s="231">
        <f t="shared" si="5"/>
        <v>8.9060627350498918E-3</v>
      </c>
      <c r="I31" s="40"/>
      <c r="W31" s="133">
        <v>42635</v>
      </c>
      <c r="X31" s="10">
        <v>92.73</v>
      </c>
      <c r="Y31" s="10">
        <v>93.71</v>
      </c>
      <c r="Z31" s="10">
        <v>92.64</v>
      </c>
      <c r="AA31" s="10">
        <v>93.41</v>
      </c>
      <c r="AB31" s="95">
        <v>6470700</v>
      </c>
      <c r="AC31" s="10">
        <v>93.41</v>
      </c>
      <c r="AD31" s="2">
        <f t="shared" si="1"/>
        <v>1.0699999999999932</v>
      </c>
      <c r="AE31" s="138">
        <f t="shared" si="2"/>
        <v>1.1040155861023804E-2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4"/>
        <v>60.31000000000013</v>
      </c>
      <c r="G32" s="40">
        <f t="shared" si="6"/>
        <v>2419.69</v>
      </c>
      <c r="H32" s="231">
        <f t="shared" si="5"/>
        <v>2.4924680434270562E-2</v>
      </c>
      <c r="I32" s="40"/>
      <c r="W32" s="133">
        <v>42634</v>
      </c>
      <c r="X32" s="10">
        <v>93</v>
      </c>
      <c r="Y32" s="10">
        <v>93.08</v>
      </c>
      <c r="Z32" s="10">
        <v>91.7</v>
      </c>
      <c r="AA32" s="10">
        <v>92.39</v>
      </c>
      <c r="AB32" s="95">
        <v>12049500</v>
      </c>
      <c r="AC32" s="10">
        <v>92.39</v>
      </c>
      <c r="AD32" s="2">
        <f t="shared" si="1"/>
        <v>1.3799999999999955</v>
      </c>
      <c r="AE32" s="138">
        <f t="shared" si="2"/>
        <v>-6.0247444862829846E-3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4"/>
        <v>-12.94000000000004</v>
      </c>
      <c r="G33" s="40">
        <f t="shared" si="6"/>
        <v>2419.69</v>
      </c>
      <c r="H33" s="231">
        <f t="shared" si="5"/>
        <v>-5.3477924858143155E-3</v>
      </c>
      <c r="I33" s="40"/>
      <c r="W33" s="133">
        <v>42633</v>
      </c>
      <c r="X33" s="10">
        <v>92.7</v>
      </c>
      <c r="Y33" s="10">
        <v>93.3</v>
      </c>
      <c r="Z33" s="10">
        <v>92.68</v>
      </c>
      <c r="AA33" s="10">
        <v>92.95</v>
      </c>
      <c r="AB33" s="95">
        <v>6200100</v>
      </c>
      <c r="AC33" s="10">
        <v>92.95</v>
      </c>
      <c r="AD33" s="2">
        <f t="shared" si="1"/>
        <v>0.61999999999999034</v>
      </c>
      <c r="AE33" s="138">
        <f t="shared" si="2"/>
        <v>3.4546043398466786E-3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4"/>
        <v>173.03999999999979</v>
      </c>
      <c r="G34" s="40">
        <f t="shared" si="6"/>
        <v>1382.6100000000001</v>
      </c>
      <c r="H34" s="231">
        <f t="shared" si="5"/>
        <v>0.12515459891075559</v>
      </c>
      <c r="I34" s="40"/>
      <c r="W34" s="133">
        <v>42632</v>
      </c>
      <c r="X34" s="10">
        <v>92.8</v>
      </c>
      <c r="Y34" s="10">
        <v>93.32</v>
      </c>
      <c r="Z34" s="10">
        <v>92.34</v>
      </c>
      <c r="AA34" s="10">
        <v>92.63</v>
      </c>
      <c r="AB34" s="95">
        <v>5421500</v>
      </c>
      <c r="AC34" s="10">
        <v>92.63</v>
      </c>
      <c r="AD34" s="2">
        <f t="shared" si="1"/>
        <v>0.97999999999998977</v>
      </c>
      <c r="AE34" s="138">
        <f t="shared" si="2"/>
        <v>7.5626620570434788E-4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4"/>
        <v>200.49</v>
      </c>
      <c r="G35" s="40">
        <f t="shared" si="6"/>
        <v>1382.6100000000001</v>
      </c>
      <c r="H35" s="231">
        <f t="shared" si="5"/>
        <v>0.14500835376570398</v>
      </c>
      <c r="I35" s="40"/>
      <c r="W35" s="133">
        <v>42629</v>
      </c>
      <c r="X35" s="10">
        <v>92.27</v>
      </c>
      <c r="Y35" s="10">
        <v>92.74</v>
      </c>
      <c r="Z35" s="10">
        <v>91.8</v>
      </c>
      <c r="AA35" s="10">
        <v>92.56</v>
      </c>
      <c r="AB35" s="95">
        <v>10568600</v>
      </c>
      <c r="AC35" s="10">
        <v>92.56</v>
      </c>
      <c r="AD35" s="2">
        <f t="shared" si="1"/>
        <v>0.93999999999999773</v>
      </c>
      <c r="AE35" s="138">
        <f t="shared" si="2"/>
        <v>6.4864864864877525E-4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4"/>
        <v>143.03999999999979</v>
      </c>
      <c r="G36" s="40">
        <f t="shared" si="6"/>
        <v>1382.6100000000001</v>
      </c>
      <c r="H36" s="231">
        <f t="shared" si="5"/>
        <v>0.10345650617310724</v>
      </c>
      <c r="I36" s="40"/>
      <c r="W36" s="133">
        <v>42628</v>
      </c>
      <c r="X36" s="10">
        <v>92.12</v>
      </c>
      <c r="Y36" s="10">
        <v>92.75</v>
      </c>
      <c r="Z36" s="10">
        <v>91.19</v>
      </c>
      <c r="AA36" s="10">
        <v>92.5</v>
      </c>
      <c r="AB36" s="95">
        <v>7559400</v>
      </c>
      <c r="AC36" s="10">
        <v>92.5</v>
      </c>
      <c r="AD36" s="2">
        <f t="shared" si="1"/>
        <v>1.5600000000000023</v>
      </c>
      <c r="AE36" s="138">
        <f t="shared" si="2"/>
        <v>2.6013440277476985E-3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7">C37*(E37-D37)</f>
        <v>53.189999999999884</v>
      </c>
      <c r="G37" s="40">
        <f t="shared" ref="G37:G42" si="8">D37*C37</f>
        <v>1382.6100000000001</v>
      </c>
      <c r="H37" s="231">
        <f t="shared" ref="H37:H42" si="9">(E37-D37)/D37</f>
        <v>3.8470718423850456E-2</v>
      </c>
      <c r="I37" s="40"/>
      <c r="W37" s="133">
        <v>42627</v>
      </c>
      <c r="X37" s="10">
        <v>92.59</v>
      </c>
      <c r="Y37" s="10">
        <v>92.89</v>
      </c>
      <c r="Z37" s="10">
        <v>92.07</v>
      </c>
      <c r="AA37" s="10">
        <v>92.26</v>
      </c>
      <c r="AB37" s="95">
        <v>6386500</v>
      </c>
      <c r="AC37" s="10">
        <v>92.26</v>
      </c>
      <c r="AD37" s="2">
        <f t="shared" si="1"/>
        <v>0.82000000000000739</v>
      </c>
      <c r="AE37" s="138">
        <f t="shared" si="2"/>
        <v>-4.746494066882434E-3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7"/>
        <v>117.08999999999996</v>
      </c>
      <c r="G38" s="40">
        <f t="shared" si="8"/>
        <v>1382.6100000000001</v>
      </c>
      <c r="H38" s="231">
        <f t="shared" si="9"/>
        <v>8.4687655955041519E-2</v>
      </c>
      <c r="I38" s="40"/>
      <c r="W38" s="133">
        <v>42626</v>
      </c>
      <c r="X38" s="10">
        <v>93.04</v>
      </c>
      <c r="Y38" s="10">
        <v>93.3</v>
      </c>
      <c r="Z38" s="10">
        <v>92.45</v>
      </c>
      <c r="AA38" s="10">
        <v>92.7</v>
      </c>
      <c r="AB38" s="95">
        <v>7795200</v>
      </c>
      <c r="AC38" s="10">
        <v>92.7</v>
      </c>
      <c r="AD38" s="2">
        <f t="shared" si="1"/>
        <v>0.84999999999999432</v>
      </c>
      <c r="AE38" s="138">
        <f t="shared" si="2"/>
        <v>-1.0038445108927818E-2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7"/>
        <v>109.43999999999988</v>
      </c>
      <c r="G39" s="40">
        <f t="shared" si="8"/>
        <v>1382.6100000000001</v>
      </c>
      <c r="H39" s="231">
        <f t="shared" si="9"/>
        <v>7.9154642306941136E-2</v>
      </c>
      <c r="I39" s="40"/>
      <c r="W39" s="133">
        <v>42625</v>
      </c>
      <c r="X39" s="10">
        <v>91.96</v>
      </c>
      <c r="Y39" s="10">
        <v>93.86</v>
      </c>
      <c r="Z39" s="10">
        <v>91.95</v>
      </c>
      <c r="AA39" s="10">
        <v>93.64</v>
      </c>
      <c r="AB39" s="95">
        <v>9367300</v>
      </c>
      <c r="AC39" s="10">
        <v>93.64</v>
      </c>
      <c r="AD39" s="2">
        <f t="shared" si="1"/>
        <v>1.9099999999999966</v>
      </c>
      <c r="AE39" s="138">
        <f t="shared" si="2"/>
        <v>1.3200605929452491E-2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7"/>
        <v>90.689999999999884</v>
      </c>
      <c r="G40" s="40">
        <f t="shared" si="8"/>
        <v>1382.6100000000001</v>
      </c>
      <c r="H40" s="231">
        <f t="shared" si="9"/>
        <v>6.55933343459109E-2</v>
      </c>
      <c r="I40" s="40"/>
      <c r="O40" s="588" t="s">
        <v>78</v>
      </c>
      <c r="P40" s="588"/>
      <c r="W40" s="133">
        <v>42622</v>
      </c>
      <c r="X40" s="10">
        <v>93.51</v>
      </c>
      <c r="Y40" s="10">
        <v>93.74</v>
      </c>
      <c r="Z40" s="10">
        <v>92.39</v>
      </c>
      <c r="AA40" s="10">
        <v>92.42</v>
      </c>
      <c r="AB40" s="95">
        <v>10248400</v>
      </c>
      <c r="AC40" s="10">
        <v>92.42</v>
      </c>
      <c r="AD40" s="2">
        <f t="shared" si="1"/>
        <v>1.3499999999999943</v>
      </c>
      <c r="AE40" s="138">
        <f t="shared" si="2"/>
        <v>-1.7748963758103975E-2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7"/>
        <v>83.039999999999807</v>
      </c>
      <c r="G41" s="40">
        <f t="shared" si="8"/>
        <v>1382.6100000000001</v>
      </c>
      <c r="H41" s="231">
        <f t="shared" si="9"/>
        <v>6.0060320697810518E-2</v>
      </c>
      <c r="I41" s="40"/>
      <c r="O41" s="83">
        <v>1.1000000000000001</v>
      </c>
      <c r="P41" s="83">
        <f>O41*$Q$4</f>
        <v>101.101</v>
      </c>
      <c r="Q41" s="2"/>
      <c r="W41" s="133">
        <v>42621</v>
      </c>
      <c r="X41" s="10">
        <v>93.49</v>
      </c>
      <c r="Y41" s="10">
        <v>94.21</v>
      </c>
      <c r="Z41" s="10">
        <v>92.93</v>
      </c>
      <c r="AA41" s="10">
        <v>94.09</v>
      </c>
      <c r="AB41" s="95">
        <v>7438100</v>
      </c>
      <c r="AC41" s="10">
        <v>94.09</v>
      </c>
      <c r="AD41" s="2">
        <f t="shared" si="1"/>
        <v>1.2799999999999869</v>
      </c>
      <c r="AE41" s="138">
        <f t="shared" si="2"/>
        <v>4.0550634937575047E-3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7"/>
        <v>78.23999999999991</v>
      </c>
      <c r="G42" s="40">
        <f t="shared" si="8"/>
        <v>1382.6100000000001</v>
      </c>
      <c r="H42" s="231">
        <f t="shared" si="9"/>
        <v>5.6588625859786856E-2</v>
      </c>
      <c r="I42" s="40"/>
      <c r="O42" s="83">
        <v>1.0900000000000001</v>
      </c>
      <c r="P42" s="83">
        <f t="shared" ref="P42:P61" si="10">O42*$Q$4</f>
        <v>100.1819</v>
      </c>
      <c r="Q42" s="2"/>
      <c r="T42" s="91" t="s">
        <v>113</v>
      </c>
      <c r="W42" s="133">
        <v>42620</v>
      </c>
      <c r="X42" s="10">
        <v>93.98</v>
      </c>
      <c r="Y42" s="10">
        <v>94.03</v>
      </c>
      <c r="Z42" s="10">
        <v>93.33</v>
      </c>
      <c r="AA42" s="10">
        <v>93.71</v>
      </c>
      <c r="AB42" s="95">
        <v>6281500</v>
      </c>
      <c r="AC42" s="10">
        <v>93.71</v>
      </c>
      <c r="AD42" s="2">
        <f t="shared" si="1"/>
        <v>0.70000000000000284</v>
      </c>
      <c r="AE42" s="138">
        <f t="shared" si="2"/>
        <v>-9.5948827292113847E-4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1">C43*(E43-D43)</f>
        <v>67.739999999999867</v>
      </c>
      <c r="G43" s="40">
        <f t="shared" ref="G43" si="12">D43*C43</f>
        <v>1382.6100000000001</v>
      </c>
      <c r="H43" s="231">
        <f t="shared" ref="H43" si="13">(E43-D43)/D43</f>
        <v>4.8994293401609899E-2</v>
      </c>
      <c r="I43" s="40"/>
      <c r="O43" s="83">
        <v>1.08</v>
      </c>
      <c r="P43" s="83">
        <f t="shared" si="10"/>
        <v>99.262799999999999</v>
      </c>
      <c r="Q43" s="2"/>
      <c r="T43" s="128" t="s">
        <v>98</v>
      </c>
      <c r="U43" s="98">
        <v>92.39</v>
      </c>
      <c r="W43" s="133">
        <v>42619</v>
      </c>
      <c r="X43" s="10">
        <v>94.53</v>
      </c>
      <c r="Y43" s="10">
        <v>94.53</v>
      </c>
      <c r="Z43" s="10">
        <v>93.35</v>
      </c>
      <c r="AA43" s="10">
        <v>93.8</v>
      </c>
      <c r="AB43" s="95">
        <v>8463500</v>
      </c>
      <c r="AC43" s="10">
        <v>93.8</v>
      </c>
      <c r="AD43" s="2">
        <f t="shared" si="1"/>
        <v>1.1800000000000068</v>
      </c>
      <c r="AE43" s="138">
        <f t="shared" si="2"/>
        <v>-6.5664054225800239E-3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4">C44*(E44-D44)</f>
        <v>66.689999999999969</v>
      </c>
      <c r="G44" s="40">
        <f t="shared" ref="G44:G47" si="15">D44*C44</f>
        <v>1371.96</v>
      </c>
      <c r="H44" s="231">
        <f t="shared" ref="H44:H47" si="16">(E44-D44)/D44</f>
        <v>4.8609288900551016E-2</v>
      </c>
      <c r="I44" s="40" t="s">
        <v>192</v>
      </c>
      <c r="O44" s="83">
        <v>1.07</v>
      </c>
      <c r="P44" s="83">
        <f t="shared" si="10"/>
        <v>98.343699999999998</v>
      </c>
      <c r="Q44" s="2"/>
      <c r="T44" s="93" t="s">
        <v>99</v>
      </c>
      <c r="U44" s="88">
        <v>91.91</v>
      </c>
      <c r="W44" s="133">
        <v>42615</v>
      </c>
      <c r="X44" s="10">
        <v>94.75</v>
      </c>
      <c r="Y44" s="10">
        <v>94.96</v>
      </c>
      <c r="Z44" s="10">
        <v>94.13</v>
      </c>
      <c r="AA44" s="10">
        <v>94.42</v>
      </c>
      <c r="AB44" s="95">
        <v>5382000</v>
      </c>
      <c r="AC44" s="10">
        <v>94.42</v>
      </c>
      <c r="AD44" s="2">
        <f t="shared" si="1"/>
        <v>0.82999999999999829</v>
      </c>
      <c r="AE44" s="138">
        <f t="shared" si="2"/>
        <v>1.6974326331422596E-3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4"/>
        <v>59.639999999999986</v>
      </c>
      <c r="G45" s="40">
        <f t="shared" si="15"/>
        <v>2795.16</v>
      </c>
      <c r="H45" s="231">
        <f t="shared" si="16"/>
        <v>2.1336882325162062E-2</v>
      </c>
      <c r="I45" s="40"/>
      <c r="O45" s="83">
        <v>1.06</v>
      </c>
      <c r="P45" s="83">
        <f t="shared" si="10"/>
        <v>97.424599999999998</v>
      </c>
      <c r="Q45" s="2"/>
      <c r="T45" s="93" t="s">
        <v>100</v>
      </c>
      <c r="U45" s="88" t="s">
        <v>532</v>
      </c>
      <c r="W45" s="133">
        <v>42614</v>
      </c>
      <c r="X45" s="10">
        <v>94.73</v>
      </c>
      <c r="Y45" s="10">
        <v>94.87</v>
      </c>
      <c r="Z45" s="10">
        <v>93.91</v>
      </c>
      <c r="AA45" s="10">
        <v>94.26</v>
      </c>
      <c r="AB45" s="95">
        <v>6274200</v>
      </c>
      <c r="AC45" s="10">
        <v>94.26</v>
      </c>
      <c r="AD45" s="2">
        <f t="shared" si="1"/>
        <v>0.96000000000000796</v>
      </c>
      <c r="AE45" s="138">
        <f t="shared" si="2"/>
        <v>-2.117298327334205E-3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4"/>
        <v>140.91000000000008</v>
      </c>
      <c r="G46" s="40">
        <f t="shared" si="15"/>
        <v>1326.99</v>
      </c>
      <c r="H46" s="231">
        <f t="shared" si="16"/>
        <v>0.10618768792530471</v>
      </c>
      <c r="I46" s="40"/>
      <c r="O46" s="83">
        <v>1.05</v>
      </c>
      <c r="P46" s="83">
        <f t="shared" si="10"/>
        <v>96.505499999999998</v>
      </c>
      <c r="Q46" s="2"/>
      <c r="T46" s="93" t="s">
        <v>101</v>
      </c>
      <c r="U46" s="88" t="s">
        <v>533</v>
      </c>
      <c r="W46" s="133">
        <v>42613</v>
      </c>
      <c r="X46" s="10">
        <v>94.69</v>
      </c>
      <c r="Y46" s="10">
        <v>94.9</v>
      </c>
      <c r="Z46" s="10">
        <v>94.16</v>
      </c>
      <c r="AA46" s="10">
        <v>94.46</v>
      </c>
      <c r="AB46" s="95">
        <v>7375200</v>
      </c>
      <c r="AC46" s="10">
        <v>94.46</v>
      </c>
      <c r="AD46" s="2">
        <f t="shared" si="1"/>
        <v>0.74000000000000909</v>
      </c>
      <c r="AE46" s="138">
        <f t="shared" si="2"/>
        <v>-4.2167404596247238E-3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4"/>
        <v>133.25999999999979</v>
      </c>
      <c r="G47" s="40">
        <f t="shared" si="15"/>
        <v>2779.7400000000002</v>
      </c>
      <c r="H47" s="231">
        <f t="shared" si="16"/>
        <v>4.7939735370933899E-2</v>
      </c>
      <c r="I47" s="40"/>
      <c r="O47" s="83">
        <v>1.04</v>
      </c>
      <c r="P47" s="83">
        <f t="shared" si="10"/>
        <v>95.586399999999998</v>
      </c>
      <c r="Q47" s="2"/>
      <c r="T47" s="93" t="s">
        <v>102</v>
      </c>
      <c r="U47" s="88">
        <v>107.04</v>
      </c>
      <c r="W47" s="133">
        <v>42612</v>
      </c>
      <c r="X47" s="10">
        <v>94.77</v>
      </c>
      <c r="Y47" s="10">
        <v>95.29</v>
      </c>
      <c r="Z47" s="10">
        <v>94.77</v>
      </c>
      <c r="AA47" s="10">
        <v>94.86</v>
      </c>
      <c r="AB47" s="95">
        <v>6845000</v>
      </c>
      <c r="AC47" s="10">
        <v>94.86</v>
      </c>
      <c r="AD47" s="2">
        <f t="shared" si="1"/>
        <v>0.52000000000001023</v>
      </c>
      <c r="AE47" s="138">
        <f t="shared" si="2"/>
        <v>-1.0540739959952194E-4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7">C48*(E48-D48)</f>
        <v>119.76000000000013</v>
      </c>
      <c r="G48" s="40">
        <f t="shared" ref="G48" si="18">D48*C48</f>
        <v>2779.7400000000002</v>
      </c>
      <c r="H48" s="231">
        <f t="shared" ref="H48" si="19">(E48-D48)/D48</f>
        <v>4.3083166051501268E-2</v>
      </c>
      <c r="I48" s="40"/>
      <c r="O48" s="83">
        <v>1.03</v>
      </c>
      <c r="P48" s="83">
        <f t="shared" si="10"/>
        <v>94.667299999999997</v>
      </c>
      <c r="Q48" s="2"/>
      <c r="T48" s="93" t="s">
        <v>103</v>
      </c>
      <c r="U48" s="88">
        <v>1.4461900000000001</v>
      </c>
      <c r="W48" s="133">
        <v>42611</v>
      </c>
      <c r="X48" s="10">
        <v>95.07</v>
      </c>
      <c r="Y48" s="10">
        <v>95.32</v>
      </c>
      <c r="Z48" s="10">
        <v>94.46</v>
      </c>
      <c r="AA48" s="10">
        <v>94.87</v>
      </c>
      <c r="AB48" s="95">
        <v>7903000</v>
      </c>
      <c r="AC48" s="10">
        <v>94.87</v>
      </c>
      <c r="AD48" s="2">
        <f t="shared" si="1"/>
        <v>0.85999999999999943</v>
      </c>
      <c r="AE48" s="138">
        <f t="shared" si="2"/>
        <v>-3.5710534607708011E-3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20">C49*(E49-D49)</f>
        <v>96.360000000000099</v>
      </c>
      <c r="G49" s="40">
        <f t="shared" ref="G49" si="21">D49*C49</f>
        <v>2779.7400000000002</v>
      </c>
      <c r="H49" s="231">
        <f t="shared" ref="H49" si="22">(E49-D49)/D49</f>
        <v>3.4665112564484485E-2</v>
      </c>
      <c r="I49" s="40"/>
      <c r="O49" s="83">
        <v>1.02</v>
      </c>
      <c r="P49" s="83">
        <f t="shared" si="10"/>
        <v>93.748199999999997</v>
      </c>
      <c r="Q49" s="2"/>
      <c r="T49" s="93" t="s">
        <v>104</v>
      </c>
      <c r="U49" s="88" t="s">
        <v>327</v>
      </c>
      <c r="W49" s="133">
        <v>42608</v>
      </c>
      <c r="X49" s="10">
        <v>95.66</v>
      </c>
      <c r="Y49" s="10">
        <v>96.13</v>
      </c>
      <c r="Z49" s="10">
        <v>94.75</v>
      </c>
      <c r="AA49" s="10">
        <v>95.21</v>
      </c>
      <c r="AB49" s="95">
        <v>6019600</v>
      </c>
      <c r="AC49" s="10">
        <v>95.21</v>
      </c>
      <c r="AD49" s="2">
        <f t="shared" si="1"/>
        <v>1.3799999999999955</v>
      </c>
      <c r="AE49" s="138">
        <f t="shared" si="2"/>
        <v>-3.5583464154893552E-3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3">C50*(E50-D50)</f>
        <v>86.759999999999877</v>
      </c>
      <c r="G50" s="40">
        <f t="shared" ref="G50:G51" si="24">D50*C50</f>
        <v>2779.7400000000002</v>
      </c>
      <c r="H50" s="231">
        <f t="shared" ref="H50:H51" si="25">(E50-D50)/D50</f>
        <v>3.1211552159554446E-2</v>
      </c>
      <c r="I50" s="40"/>
      <c r="O50" s="83">
        <v>1.01</v>
      </c>
      <c r="P50" s="83">
        <f t="shared" si="10"/>
        <v>92.829099999999997</v>
      </c>
      <c r="Q50" s="2"/>
      <c r="T50" s="93"/>
      <c r="U50" s="88"/>
      <c r="W50" s="133">
        <v>42607</v>
      </c>
      <c r="X50" s="10">
        <v>95.62</v>
      </c>
      <c r="Y50" s="10">
        <v>95.82</v>
      </c>
      <c r="Z50" s="10">
        <v>95.41</v>
      </c>
      <c r="AA50" s="10">
        <v>95.55</v>
      </c>
      <c r="AB50" s="95">
        <v>4518700</v>
      </c>
      <c r="AC50" s="10">
        <v>95.55</v>
      </c>
      <c r="AD50" s="2">
        <f t="shared" si="1"/>
        <v>0.40999999999999659</v>
      </c>
      <c r="AE50" s="138">
        <f t="shared" si="2"/>
        <v>-2.8177833437694755E-3</v>
      </c>
    </row>
    <row r="51" spans="2:31" x14ac:dyDescent="0.25">
      <c r="B51" s="193">
        <v>42611</v>
      </c>
      <c r="C51" s="7">
        <v>55</v>
      </c>
      <c r="D51" s="44">
        <v>93.531599999999997</v>
      </c>
      <c r="E51" s="40">
        <v>94.87</v>
      </c>
      <c r="F51" s="40">
        <f t="shared" si="23"/>
        <v>73.612000000000393</v>
      </c>
      <c r="G51" s="40">
        <f t="shared" si="24"/>
        <v>5144.2380000000003</v>
      </c>
      <c r="H51" s="231">
        <f t="shared" si="25"/>
        <v>1.4309602316222615E-2</v>
      </c>
      <c r="I51" s="40"/>
      <c r="O51" s="83">
        <v>1</v>
      </c>
      <c r="P51" s="83">
        <f t="shared" si="10"/>
        <v>91.91</v>
      </c>
      <c r="Q51" s="2"/>
      <c r="T51" s="93" t="s">
        <v>105</v>
      </c>
      <c r="U51" s="88" t="s">
        <v>534</v>
      </c>
      <c r="W51" s="133">
        <v>42606</v>
      </c>
      <c r="X51" s="10">
        <v>96.01</v>
      </c>
      <c r="Y51" s="10">
        <v>96.22</v>
      </c>
      <c r="Z51" s="10">
        <v>95.51</v>
      </c>
      <c r="AA51" s="10">
        <v>95.82</v>
      </c>
      <c r="AB51" s="95">
        <v>5912500</v>
      </c>
      <c r="AC51" s="10">
        <v>95.82</v>
      </c>
      <c r="AD51" s="2">
        <f t="shared" si="1"/>
        <v>0.70999999999999375</v>
      </c>
      <c r="AE51" s="138">
        <f t="shared" si="2"/>
        <v>-1.5629884338856925E-3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6">C52*(E52-D52)</f>
        <v>48.862000000000236</v>
      </c>
      <c r="G52" s="40">
        <f t="shared" ref="G52" si="27">D52*C52</f>
        <v>5144.2380000000003</v>
      </c>
      <c r="H52" s="231">
        <f t="shared" ref="H52" si="28">(E52-D52)/D52</f>
        <v>9.4983941256217615E-3</v>
      </c>
      <c r="I52" s="40"/>
      <c r="O52" s="83">
        <v>0.99</v>
      </c>
      <c r="P52" s="83">
        <f t="shared" si="10"/>
        <v>90.990899999999996</v>
      </c>
      <c r="Q52" s="2"/>
      <c r="T52" s="93" t="s">
        <v>106</v>
      </c>
      <c r="U52" s="88" t="s">
        <v>293</v>
      </c>
      <c r="W52" s="133">
        <v>42605</v>
      </c>
      <c r="X52" s="10">
        <v>96.13</v>
      </c>
      <c r="Y52" s="10">
        <v>96.43</v>
      </c>
      <c r="Z52" s="10">
        <v>95.8</v>
      </c>
      <c r="AA52" s="10">
        <v>95.97</v>
      </c>
      <c r="AB52" s="95">
        <v>4996300</v>
      </c>
      <c r="AC52" s="10">
        <v>95.97</v>
      </c>
      <c r="AD52" s="2">
        <f t="shared" si="1"/>
        <v>0.63000000000000966</v>
      </c>
      <c r="AE52" s="138">
        <f t="shared" si="2"/>
        <v>1.0430791697089159E-3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9">C53*(E53-D53)</f>
        <v>14.761999999999986</v>
      </c>
      <c r="G53" s="40">
        <f t="shared" ref="G53" si="30">D53*C53</f>
        <v>5144.2380000000003</v>
      </c>
      <c r="H53" s="231">
        <f t="shared" ref="H53" si="31">(E53-D53)/D53</f>
        <v>2.8696183963494663E-3</v>
      </c>
      <c r="I53" s="40"/>
      <c r="O53" s="83">
        <v>0.98</v>
      </c>
      <c r="P53" s="83">
        <f t="shared" si="10"/>
        <v>90.071799999999996</v>
      </c>
      <c r="Q53" s="2"/>
      <c r="T53" s="93" t="s">
        <v>107</v>
      </c>
      <c r="U53" s="90">
        <v>6716247</v>
      </c>
      <c r="W53" s="133">
        <v>42604</v>
      </c>
      <c r="X53" s="10">
        <v>96.47</v>
      </c>
      <c r="Y53" s="10">
        <v>96.47</v>
      </c>
      <c r="Z53" s="10">
        <v>95.65</v>
      </c>
      <c r="AA53" s="10">
        <v>95.87</v>
      </c>
      <c r="AB53" s="95">
        <v>5495300</v>
      </c>
      <c r="AC53" s="10">
        <v>95.87</v>
      </c>
      <c r="AD53" s="2">
        <f t="shared" si="1"/>
        <v>0.81999999999999318</v>
      </c>
      <c r="AE53" s="138">
        <f t="shared" si="2"/>
        <v>-5.3947504927897016E-3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ref="F54" si="32">C54*(E54-D54)</f>
        <v>9.8119999999997987</v>
      </c>
      <c r="G54" s="40">
        <f t="shared" ref="G54" si="33">D54*C54</f>
        <v>5144.2380000000003</v>
      </c>
      <c r="H54" s="231">
        <f t="shared" ref="H54" si="34">(E54-D54)/D54</f>
        <v>1.9073767582292653E-3</v>
      </c>
      <c r="I54" s="40"/>
      <c r="O54" s="83">
        <v>0.97</v>
      </c>
      <c r="P54" s="83">
        <f t="shared" si="10"/>
        <v>89.152699999999996</v>
      </c>
      <c r="T54" s="93" t="s">
        <v>110</v>
      </c>
      <c r="U54" s="90">
        <v>7527840</v>
      </c>
      <c r="W54" s="133">
        <v>42601</v>
      </c>
      <c r="X54" s="10">
        <v>96.4</v>
      </c>
      <c r="Y54" s="10">
        <v>96.79</v>
      </c>
      <c r="Z54" s="10">
        <v>96.05</v>
      </c>
      <c r="AA54" s="10">
        <v>96.39</v>
      </c>
      <c r="AB54" s="95">
        <v>6362400</v>
      </c>
      <c r="AC54" s="10">
        <v>96.39</v>
      </c>
      <c r="AD54" s="2">
        <f t="shared" si="1"/>
        <v>0.74000000000000909</v>
      </c>
      <c r="AE54" s="138">
        <f t="shared" si="2"/>
        <v>-2.6901189860321084E-3</v>
      </c>
    </row>
    <row r="55" spans="2:31" x14ac:dyDescent="0.25">
      <c r="B55" s="193">
        <v>42621</v>
      </c>
      <c r="C55" s="10">
        <v>55</v>
      </c>
      <c r="D55" s="40">
        <v>93.531599999999997</v>
      </c>
      <c r="E55" s="40">
        <v>94.09</v>
      </c>
      <c r="F55" s="40">
        <f t="shared" ref="F55" si="35">C55*(E55-D55)</f>
        <v>30.71200000000033</v>
      </c>
      <c r="G55" s="40">
        <f t="shared" ref="G55" si="36">D55*C55</f>
        <v>5144.2380000000003</v>
      </c>
      <c r="H55" s="231">
        <f t="shared" ref="H55" si="37">(E55-D55)/D55</f>
        <v>5.9701747858478416E-3</v>
      </c>
      <c r="I55" s="40"/>
      <c r="O55" s="83">
        <v>0.96</v>
      </c>
      <c r="P55" s="83">
        <f t="shared" si="10"/>
        <v>88.233599999999996</v>
      </c>
      <c r="T55" s="93" t="s">
        <v>108</v>
      </c>
      <c r="U55" s="88" t="s">
        <v>535</v>
      </c>
      <c r="W55" s="133">
        <v>42600</v>
      </c>
      <c r="X55" s="10">
        <v>96.87</v>
      </c>
      <c r="Y55" s="10">
        <v>97.12</v>
      </c>
      <c r="Z55" s="10">
        <v>96.55</v>
      </c>
      <c r="AA55" s="10">
        <v>96.65</v>
      </c>
      <c r="AB55" s="95">
        <v>5250700</v>
      </c>
      <c r="AC55" s="10">
        <v>96.65</v>
      </c>
      <c r="AD55" s="2">
        <f t="shared" si="1"/>
        <v>0.57000000000000739</v>
      </c>
      <c r="AE55" s="138">
        <f t="shared" si="2"/>
        <v>-2.2710849592236793E-3</v>
      </c>
    </row>
    <row r="56" spans="2:31" x14ac:dyDescent="0.25">
      <c r="B56" s="193">
        <v>42622</v>
      </c>
      <c r="C56" s="10">
        <v>70</v>
      </c>
      <c r="D56" s="40">
        <v>93.310599999999994</v>
      </c>
      <c r="E56" s="40">
        <v>92.42</v>
      </c>
      <c r="F56" s="40">
        <f t="shared" ref="F56" si="38">C56*(E56-D56)</f>
        <v>-62.341999999999445</v>
      </c>
      <c r="G56" s="40">
        <f t="shared" ref="G56" si="39">D56*C56</f>
        <v>6531.7419999999993</v>
      </c>
      <c r="H56" s="231">
        <f t="shared" ref="H56" si="40">(E56-D56)/D56</f>
        <v>-9.5444676167551392E-3</v>
      </c>
      <c r="I56" s="40"/>
      <c r="O56" s="83">
        <v>0.95</v>
      </c>
      <c r="P56" s="83">
        <f t="shared" si="10"/>
        <v>87.314499999999995</v>
      </c>
      <c r="T56" s="93" t="s">
        <v>111</v>
      </c>
      <c r="U56" s="88">
        <v>16.52</v>
      </c>
      <c r="W56" s="133">
        <v>42599</v>
      </c>
      <c r="X56" s="10">
        <v>96.84</v>
      </c>
      <c r="Y56" s="10">
        <v>96.97</v>
      </c>
      <c r="Z56" s="10">
        <v>96.52</v>
      </c>
      <c r="AA56" s="10">
        <v>96.87</v>
      </c>
      <c r="AB56" s="95">
        <v>5697300</v>
      </c>
      <c r="AC56" s="10">
        <v>96.87</v>
      </c>
      <c r="AD56" s="2">
        <f t="shared" si="1"/>
        <v>0.45000000000000284</v>
      </c>
      <c r="AE56" s="138">
        <f t="shared" si="2"/>
        <v>-1.0322047894295583E-4</v>
      </c>
    </row>
    <row r="57" spans="2:31" x14ac:dyDescent="0.25">
      <c r="B57" s="193">
        <v>42627</v>
      </c>
      <c r="C57" s="10">
        <v>70</v>
      </c>
      <c r="D57" s="40">
        <v>93.310599999999994</v>
      </c>
      <c r="E57" s="40">
        <v>92.26</v>
      </c>
      <c r="F57" s="40">
        <f t="shared" ref="F57" si="41">C57*(E57-D57)</f>
        <v>-73.541999999999206</v>
      </c>
      <c r="G57" s="40">
        <f t="shared" ref="G57" si="42">D57*C57</f>
        <v>6531.7419999999993</v>
      </c>
      <c r="H57" s="231">
        <f t="shared" ref="H57" si="43">(E57-D57)/D57</f>
        <v>-1.1259170983789502E-2</v>
      </c>
      <c r="I57" s="40"/>
      <c r="O57" s="83">
        <v>0.94</v>
      </c>
      <c r="P57" s="83">
        <f t="shared" si="10"/>
        <v>86.395399999999995</v>
      </c>
      <c r="T57" s="93" t="s">
        <v>112</v>
      </c>
      <c r="U57" s="88">
        <v>5.56</v>
      </c>
      <c r="W57" s="133">
        <v>42598</v>
      </c>
      <c r="X57" s="10">
        <v>96.86</v>
      </c>
      <c r="Y57" s="10">
        <v>97.25</v>
      </c>
      <c r="Z57" s="10">
        <v>96.27</v>
      </c>
      <c r="AA57" s="10">
        <v>96.88</v>
      </c>
      <c r="AB57" s="95">
        <v>5777800</v>
      </c>
      <c r="AC57" s="10">
        <v>96.88</v>
      </c>
      <c r="AD57" s="2">
        <f t="shared" si="1"/>
        <v>0.98000000000000398</v>
      </c>
      <c r="AE57" s="138">
        <f t="shared" si="2"/>
        <v>-2.2657054582904124E-3</v>
      </c>
    </row>
    <row r="58" spans="2:31" x14ac:dyDescent="0.25">
      <c r="B58" s="193">
        <v>42635</v>
      </c>
      <c r="C58" s="10">
        <v>70</v>
      </c>
      <c r="D58" s="40">
        <v>93.310599999999994</v>
      </c>
      <c r="E58" s="40">
        <v>93.41</v>
      </c>
      <c r="F58" s="40">
        <f t="shared" ref="F58" si="44">C58*(E58-D58)</f>
        <v>6.9580000000001974</v>
      </c>
      <c r="G58" s="40">
        <f t="shared" ref="G58" si="45">D58*C58</f>
        <v>6531.7419999999993</v>
      </c>
      <c r="H58" s="231">
        <f t="shared" ref="H58" si="46">(E58-D58)/D58</f>
        <v>1.0652594667701508E-3</v>
      </c>
      <c r="I58" s="40"/>
      <c r="O58" s="83">
        <v>0.93</v>
      </c>
      <c r="P58" s="83">
        <f t="shared" si="10"/>
        <v>85.476299999999995</v>
      </c>
      <c r="T58" s="93" t="s">
        <v>109</v>
      </c>
      <c r="U58" s="88" t="s">
        <v>435</v>
      </c>
      <c r="W58" s="133">
        <v>42597</v>
      </c>
      <c r="X58" s="10">
        <v>97.35</v>
      </c>
      <c r="Y58" s="10">
        <v>97.61</v>
      </c>
      <c r="Z58" s="10">
        <v>96.92</v>
      </c>
      <c r="AA58" s="10">
        <v>97.1</v>
      </c>
      <c r="AB58" s="95">
        <v>5299600</v>
      </c>
      <c r="AC58" s="10">
        <v>97.1</v>
      </c>
      <c r="AD58" s="2">
        <f t="shared" si="1"/>
        <v>0.68999999999999773</v>
      </c>
      <c r="AE58" s="138">
        <f t="shared" si="2"/>
        <v>2.6848409748037039E-3</v>
      </c>
    </row>
    <row r="59" spans="2:31" x14ac:dyDescent="0.25">
      <c r="B59" s="193">
        <v>42639</v>
      </c>
      <c r="C59" s="10">
        <v>70</v>
      </c>
      <c r="D59" s="40">
        <v>93.310599999999994</v>
      </c>
      <c r="E59" s="40">
        <v>91.96</v>
      </c>
      <c r="F59" s="40">
        <f t="shared" ref="F59" si="47">C59*(E59-D59)</f>
        <v>-94.542000000000002</v>
      </c>
      <c r="G59" s="40">
        <f t="shared" ref="G59" si="48">D59*C59</f>
        <v>6531.7419999999993</v>
      </c>
      <c r="H59" s="231">
        <f t="shared" ref="H59" si="49">(E59-D59)/D59</f>
        <v>-1.4474239796979123E-2</v>
      </c>
      <c r="I59" s="40"/>
      <c r="O59" s="83">
        <v>0.92</v>
      </c>
      <c r="P59" s="83">
        <f t="shared" si="10"/>
        <v>84.557199999999995</v>
      </c>
      <c r="W59" s="133">
        <v>42594</v>
      </c>
      <c r="X59" s="10">
        <v>97.82</v>
      </c>
      <c r="Y59" s="10">
        <v>97.82</v>
      </c>
      <c r="Z59" s="10">
        <v>96.66</v>
      </c>
      <c r="AA59" s="10">
        <v>96.84</v>
      </c>
      <c r="AB59" s="95">
        <v>9360300</v>
      </c>
      <c r="AC59" s="10">
        <v>96.84</v>
      </c>
      <c r="AD59" s="2">
        <f t="shared" si="1"/>
        <v>1.1599999999999966</v>
      </c>
      <c r="AE59" s="138">
        <f t="shared" si="2"/>
        <v>-9.512120282295089E-3</v>
      </c>
    </row>
    <row r="60" spans="2:31" x14ac:dyDescent="0.25">
      <c r="B60" s="193">
        <v>42640</v>
      </c>
      <c r="C60" s="10">
        <v>70</v>
      </c>
      <c r="D60" s="40">
        <v>93.310599999999994</v>
      </c>
      <c r="E60" s="40">
        <v>91.72</v>
      </c>
      <c r="F60" s="40">
        <f t="shared" ref="F60" si="50">C60*(E60-D60)</f>
        <v>-111.34199999999964</v>
      </c>
      <c r="G60" s="40">
        <f t="shared" ref="G60" si="51">D60*C60</f>
        <v>6531.7419999999993</v>
      </c>
      <c r="H60" s="231">
        <f t="shared" ref="H60" si="52">(E60-D60)/D60</f>
        <v>-1.7046294847530667E-2</v>
      </c>
      <c r="I60" s="40"/>
      <c r="O60" s="83">
        <v>0.91</v>
      </c>
      <c r="P60" s="83">
        <f t="shared" si="10"/>
        <v>83.638099999999994</v>
      </c>
      <c r="W60" s="133">
        <v>42593</v>
      </c>
      <c r="X60" s="10">
        <v>98.2</v>
      </c>
      <c r="Y60" s="10">
        <v>98.39</v>
      </c>
      <c r="Z60" s="10">
        <v>97.15</v>
      </c>
      <c r="AA60" s="10">
        <v>97.77</v>
      </c>
      <c r="AB60" s="95">
        <v>9233900</v>
      </c>
      <c r="AC60" s="10">
        <v>97.77</v>
      </c>
      <c r="AD60" s="2">
        <f t="shared" si="1"/>
        <v>1.2399999999999949</v>
      </c>
      <c r="AE60" s="138">
        <f t="shared" si="2"/>
        <v>-9.1968117719198883E-4</v>
      </c>
    </row>
    <row r="61" spans="2:31" x14ac:dyDescent="0.25">
      <c r="B61" s="193">
        <v>42641</v>
      </c>
      <c r="C61" s="10">
        <v>70</v>
      </c>
      <c r="D61" s="40">
        <v>93.310599999999994</v>
      </c>
      <c r="E61" s="40">
        <v>92.2</v>
      </c>
      <c r="F61" s="40">
        <f t="shared" ref="F61" si="53">C61*(E61-D61)</f>
        <v>-77.741999999999365</v>
      </c>
      <c r="G61" s="40">
        <f t="shared" ref="G61" si="54">D61*C61</f>
        <v>6531.7419999999993</v>
      </c>
      <c r="H61" s="231">
        <f t="shared" ref="H61" si="55">(E61-D61)/D61</f>
        <v>-1.1902184746427426E-2</v>
      </c>
      <c r="I61" s="40"/>
      <c r="O61" s="83">
        <v>0.9</v>
      </c>
      <c r="P61" s="83">
        <f t="shared" si="10"/>
        <v>82.718999999999994</v>
      </c>
      <c r="W61" s="133">
        <v>42592</v>
      </c>
      <c r="X61" s="10">
        <v>96.7</v>
      </c>
      <c r="Y61" s="10">
        <v>99.27</v>
      </c>
      <c r="Z61" s="10">
        <v>95.85</v>
      </c>
      <c r="AA61" s="10">
        <v>97.86</v>
      </c>
      <c r="AB61" s="95">
        <v>27181300</v>
      </c>
      <c r="AC61" s="10">
        <v>97.86</v>
      </c>
      <c r="AD61" s="2">
        <f t="shared" si="1"/>
        <v>3.4200000000000017</v>
      </c>
      <c r="AE61" s="138">
        <f t="shared" si="2"/>
        <v>1.2309920347574277E-2</v>
      </c>
    </row>
    <row r="62" spans="2:31" x14ac:dyDescent="0.25">
      <c r="B62" s="193">
        <v>42642</v>
      </c>
      <c r="C62" s="10">
        <v>70</v>
      </c>
      <c r="D62" s="40">
        <v>93.310599999999994</v>
      </c>
      <c r="E62" s="40">
        <v>92.86</v>
      </c>
      <c r="F62" s="40">
        <f t="shared" ref="F62" si="56">C62*(E62-D62)</f>
        <v>-31.541999999999604</v>
      </c>
      <c r="G62" s="40">
        <f t="shared" ref="G62" si="57">D62*C62</f>
        <v>6531.7419999999993</v>
      </c>
      <c r="H62" s="231">
        <f t="shared" ref="H62" si="58">(E62-D62)/D62</f>
        <v>-4.8290333574105664E-3</v>
      </c>
      <c r="I62" s="40"/>
      <c r="W62" s="133">
        <v>42591</v>
      </c>
      <c r="X62" s="10">
        <v>95.61</v>
      </c>
      <c r="Y62" s="10">
        <v>96.85</v>
      </c>
      <c r="Z62" s="10">
        <v>95.3</v>
      </c>
      <c r="AA62" s="10">
        <v>96.67</v>
      </c>
      <c r="AB62" s="95">
        <v>15548700</v>
      </c>
      <c r="AC62" s="10">
        <v>96.67</v>
      </c>
      <c r="AD62" s="2">
        <f t="shared" si="1"/>
        <v>1.5499999999999972</v>
      </c>
      <c r="AE62" s="138">
        <f t="shared" si="2"/>
        <v>9.6083550913839133E-3</v>
      </c>
    </row>
    <row r="63" spans="2:31" x14ac:dyDescent="0.25">
      <c r="B63" s="193">
        <v>42651</v>
      </c>
      <c r="C63" s="10">
        <v>70</v>
      </c>
      <c r="D63" s="40">
        <v>93.310599999999994</v>
      </c>
      <c r="E63" s="40">
        <v>92.49</v>
      </c>
      <c r="F63" s="40">
        <f t="shared" ref="F63" si="59">C63*(E63-D63)</f>
        <v>-57.441999999999922</v>
      </c>
      <c r="G63" s="40">
        <f t="shared" ref="G63" si="60">D63*C63</f>
        <v>6531.7419999999993</v>
      </c>
      <c r="H63" s="231">
        <f t="shared" ref="H63" si="61">(E63-D63)/D63</f>
        <v>-8.7942848936776626E-3</v>
      </c>
      <c r="I63" s="40"/>
      <c r="W63" s="133">
        <v>42590</v>
      </c>
      <c r="X63" s="10">
        <v>96.11</v>
      </c>
      <c r="Y63" s="10">
        <v>96.29</v>
      </c>
      <c r="Z63" s="10">
        <v>95.58</v>
      </c>
      <c r="AA63" s="10">
        <v>95.75</v>
      </c>
      <c r="AB63" s="95">
        <v>7792000</v>
      </c>
      <c r="AC63" s="10">
        <v>95.75</v>
      </c>
      <c r="AD63" s="2">
        <f t="shared" si="1"/>
        <v>0.71000000000000796</v>
      </c>
      <c r="AE63" s="138">
        <f t="shared" si="2"/>
        <v>-8.3481164562249077E-4</v>
      </c>
    </row>
    <row r="64" spans="2:31" x14ac:dyDescent="0.25">
      <c r="B64" s="193">
        <v>42664</v>
      </c>
      <c r="C64" s="10">
        <v>70</v>
      </c>
      <c r="D64" s="40">
        <v>93.310599999999994</v>
      </c>
      <c r="E64" s="40">
        <v>93.03</v>
      </c>
      <c r="F64" s="40">
        <f t="shared" ref="F64" si="62">C64*(E64-D64)</f>
        <v>-19.641999999999484</v>
      </c>
      <c r="G64" s="40">
        <f t="shared" ref="G64" si="63">D64*C64</f>
        <v>6531.7419999999993</v>
      </c>
      <c r="H64" s="231">
        <f t="shared" ref="H64" si="64">(E64-D64)/D64</f>
        <v>-3.0071610299364985E-3</v>
      </c>
      <c r="I64" s="40"/>
      <c r="W64" s="133">
        <v>42587</v>
      </c>
      <c r="X64" s="10">
        <v>95.4</v>
      </c>
      <c r="Y64" s="10">
        <v>96</v>
      </c>
      <c r="Z64" s="10">
        <v>95.35</v>
      </c>
      <c r="AA64" s="10">
        <v>95.83</v>
      </c>
      <c r="AB64" s="95">
        <v>6528500</v>
      </c>
      <c r="AC64" s="10">
        <v>95.83</v>
      </c>
      <c r="AD64" s="2">
        <f t="shared" si="1"/>
        <v>0.65000000000000568</v>
      </c>
      <c r="AE64" s="138">
        <f t="shared" si="2"/>
        <v>7.0407734342161632E-3</v>
      </c>
    </row>
    <row r="65" spans="2:31" x14ac:dyDescent="0.25">
      <c r="B65" s="193">
        <v>42674</v>
      </c>
      <c r="C65" s="10">
        <v>70</v>
      </c>
      <c r="D65" s="40">
        <v>93.310599999999994</v>
      </c>
      <c r="E65" s="40">
        <v>92.69</v>
      </c>
      <c r="F65" s="40">
        <f t="shared" ref="F65" si="65">C65*(E65-D65)</f>
        <v>-43.441999999999723</v>
      </c>
      <c r="G65" s="40">
        <f t="shared" ref="G65" si="66">D65*C65</f>
        <v>6531.7419999999993</v>
      </c>
      <c r="H65" s="231">
        <f t="shared" ref="H65" si="67">(E65-D65)/D65</f>
        <v>-6.6509056848846337E-3</v>
      </c>
      <c r="I65" s="40"/>
      <c r="W65" s="133">
        <v>42586</v>
      </c>
      <c r="X65" s="10">
        <v>95.53</v>
      </c>
      <c r="Y65" s="10">
        <v>95.98</v>
      </c>
      <c r="Z65" s="10">
        <v>94.71</v>
      </c>
      <c r="AA65" s="10">
        <v>95.16</v>
      </c>
      <c r="AB65" s="95">
        <v>10038300</v>
      </c>
      <c r="AC65" s="10">
        <v>95.16</v>
      </c>
      <c r="AD65" s="2">
        <f t="shared" si="1"/>
        <v>1.2700000000000102</v>
      </c>
      <c r="AE65" s="138">
        <f t="shared" si="2"/>
        <v>-9.6784264751795801E-3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42585</v>
      </c>
      <c r="X66" s="10">
        <v>95.06</v>
      </c>
      <c r="Y66" s="10">
        <v>96.43</v>
      </c>
      <c r="Z66" s="10">
        <v>95</v>
      </c>
      <c r="AA66" s="10">
        <v>96.09</v>
      </c>
      <c r="AB66" s="95">
        <v>9068700</v>
      </c>
      <c r="AC66" s="10">
        <v>96.09</v>
      </c>
      <c r="AD66" s="2">
        <f t="shared" si="1"/>
        <v>1.4300000000000068</v>
      </c>
      <c r="AE66" s="138">
        <f t="shared" si="2"/>
        <v>1.1367224502683904E-2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42584</v>
      </c>
      <c r="X67" s="10">
        <v>95.35</v>
      </c>
      <c r="Y67" s="10">
        <v>95.75</v>
      </c>
      <c r="Z67" s="10">
        <v>94.56</v>
      </c>
      <c r="AA67" s="10">
        <v>95.01</v>
      </c>
      <c r="AB67" s="95">
        <v>7644100</v>
      </c>
      <c r="AC67" s="10">
        <v>95.01</v>
      </c>
      <c r="AD67" s="2">
        <f>Y67-Z67</f>
        <v>1.1899999999999977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AD69" s="2">
        <f>Y68-Z68</f>
        <v>0</v>
      </c>
      <c r="AE69" s="138" t="e">
        <f>AC68/AC69-1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3" priority="15">
      <formula>F25&gt;0</formula>
    </cfRule>
    <cfRule type="expression" dxfId="112" priority="16">
      <formula>F25&lt;0</formula>
    </cfRule>
  </conditionalFormatting>
  <conditionalFormatting sqref="F32:F70">
    <cfRule type="expression" dxfId="111" priority="11">
      <formula>F32&gt;0</formula>
    </cfRule>
    <cfRule type="expression" dxfId="110" priority="12">
      <formula>F32&lt;0</formula>
    </cfRule>
  </conditionalFormatting>
  <conditionalFormatting sqref="F32:F70">
    <cfRule type="expression" dxfId="109" priority="13">
      <formula>F32&gt;0</formula>
    </cfRule>
    <cfRule type="expression" dxfId="108" priority="14">
      <formula>F32&lt;0</formula>
    </cfRule>
  </conditionalFormatting>
  <conditionalFormatting sqref="H25 H30:H70">
    <cfRule type="expression" dxfId="107" priority="9">
      <formula>H25&gt;0</formula>
    </cfRule>
    <cfRule type="expression" dxfId="106" priority="10">
      <formula>H25&lt;0</formula>
    </cfRule>
  </conditionalFormatting>
  <conditionalFormatting sqref="F26:F29">
    <cfRule type="expression" dxfId="105" priority="7">
      <formula>F26&gt;0</formula>
    </cfRule>
    <cfRule type="expression" dxfId="104" priority="8">
      <formula>F26&lt;0</formula>
    </cfRule>
  </conditionalFormatting>
  <conditionalFormatting sqref="H26:H29">
    <cfRule type="expression" dxfId="103" priority="5">
      <formula>H26&gt;0</formula>
    </cfRule>
    <cfRule type="expression" dxfId="102" priority="6">
      <formula>H26&lt;0</formula>
    </cfRule>
  </conditionalFormatting>
  <conditionalFormatting sqref="Q7">
    <cfRule type="expression" dxfId="101" priority="3">
      <formula>Q7&gt;0</formula>
    </cfRule>
    <cfRule type="expression" dxfId="100" priority="4">
      <formula>Q7&lt;0</formula>
    </cfRule>
  </conditionalFormatting>
  <conditionalFormatting sqref="Q8">
    <cfRule type="expression" dxfId="99" priority="1">
      <formula>Q8&gt;0</formula>
    </cfRule>
    <cfRule type="expression" dxfId="98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9</v>
      </c>
      <c r="B2" s="473">
        <v>42629</v>
      </c>
      <c r="C2" s="7">
        <v>400</v>
      </c>
      <c r="D2" s="44">
        <v>4.28</v>
      </c>
      <c r="E2" s="44">
        <v>0</v>
      </c>
      <c r="F2" s="44">
        <f>C2*D2+E2</f>
        <v>1712</v>
      </c>
      <c r="G2" s="473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O2" s="11" t="s">
        <v>57</v>
      </c>
      <c r="Q2">
        <f>C18-H18</f>
        <v>1100</v>
      </c>
      <c r="T2" s="1"/>
      <c r="W2" s="110">
        <v>42676</v>
      </c>
      <c r="X2" s="9">
        <v>3.8</v>
      </c>
      <c r="Y2" s="9">
        <v>3.8</v>
      </c>
      <c r="Z2" s="9">
        <v>3.38</v>
      </c>
      <c r="AA2" s="9">
        <v>3.39</v>
      </c>
      <c r="AB2" s="104">
        <v>85812900</v>
      </c>
      <c r="AC2" s="9">
        <v>3.39</v>
      </c>
      <c r="AD2" s="40">
        <f>Y2-Z2</f>
        <v>0.41999999999999993</v>
      </c>
      <c r="AE2" s="162">
        <f>AC2/AC3-1</f>
        <v>-0.13740458015267176</v>
      </c>
    </row>
    <row r="3" spans="1:31" x14ac:dyDescent="0.25">
      <c r="A3" s="23" t="s">
        <v>71</v>
      </c>
      <c r="B3" s="473">
        <v>42634</v>
      </c>
      <c r="C3" s="7">
        <v>400</v>
      </c>
      <c r="D3" s="44">
        <v>4.08</v>
      </c>
      <c r="E3" s="44">
        <v>0</v>
      </c>
      <c r="F3" s="44">
        <f>C3*D3+E3</f>
        <v>1632</v>
      </c>
      <c r="G3" s="473">
        <v>42670</v>
      </c>
      <c r="H3" s="82">
        <v>200</v>
      </c>
      <c r="I3" s="44">
        <v>4.18</v>
      </c>
      <c r="J3" s="44">
        <v>0.02</v>
      </c>
      <c r="K3" s="44">
        <f t="shared" ref="K3:K4" si="0">H3*I3-J3</f>
        <v>835.98</v>
      </c>
      <c r="O3" s="11" t="s">
        <v>58</v>
      </c>
      <c r="Q3" s="515">
        <f>IF(Q2=0, Q4, (F18-K18)/Q2)</f>
        <v>3.8882545454545454</v>
      </c>
      <c r="T3" s="1"/>
      <c r="W3" s="110">
        <v>42675</v>
      </c>
      <c r="X3" s="9">
        <v>4.04</v>
      </c>
      <c r="Y3" s="9">
        <v>4.07</v>
      </c>
      <c r="Z3" s="9">
        <v>3.9</v>
      </c>
      <c r="AA3" s="9">
        <v>3.93</v>
      </c>
      <c r="AB3" s="104">
        <v>19097900</v>
      </c>
      <c r="AC3" s="9">
        <v>3.93</v>
      </c>
      <c r="AD3" s="40">
        <f t="shared" ref="AD3:AD66" si="1">Y3-Z3</f>
        <v>0.17000000000000037</v>
      </c>
      <c r="AE3" s="162">
        <f t="shared" ref="AE3:AE66" si="2">AC3/AC4-1</f>
        <v>-2.238805970149238E-2</v>
      </c>
    </row>
    <row r="4" spans="1:31" x14ac:dyDescent="0.25">
      <c r="B4" s="525">
        <v>42648</v>
      </c>
      <c r="C4" s="4">
        <v>400</v>
      </c>
      <c r="D4" s="3">
        <v>4.0199999999999996</v>
      </c>
      <c r="E4" s="3">
        <v>0</v>
      </c>
      <c r="F4" s="3">
        <f>C4*D4+E4</f>
        <v>1607.9999999999998</v>
      </c>
      <c r="G4" s="473">
        <v>42670</v>
      </c>
      <c r="H4" s="82">
        <v>200</v>
      </c>
      <c r="I4" s="44">
        <v>4.22</v>
      </c>
      <c r="J4" s="44">
        <v>0.02</v>
      </c>
      <c r="K4" s="44">
        <f t="shared" si="0"/>
        <v>843.98</v>
      </c>
      <c r="O4" s="11" t="s">
        <v>66</v>
      </c>
      <c r="Q4" s="55">
        <v>3.39</v>
      </c>
      <c r="R4" s="527">
        <v>-0.13739999999999999</v>
      </c>
      <c r="T4" s="163"/>
      <c r="W4" s="110">
        <v>42674</v>
      </c>
      <c r="X4" s="9">
        <v>4.05</v>
      </c>
      <c r="Y4" s="9">
        <v>4.09</v>
      </c>
      <c r="Z4" s="9">
        <v>4</v>
      </c>
      <c r="AA4" s="9">
        <v>4.0199999999999996</v>
      </c>
      <c r="AB4" s="104">
        <v>23321700</v>
      </c>
      <c r="AC4" s="9">
        <v>4.0199999999999996</v>
      </c>
      <c r="AD4" s="40">
        <f t="shared" si="1"/>
        <v>8.9999999999999858E-2</v>
      </c>
      <c r="AE4" s="162">
        <f t="shared" si="2"/>
        <v>-2.4813895781639062E-3</v>
      </c>
    </row>
    <row r="5" spans="1:31" x14ac:dyDescent="0.25">
      <c r="B5" s="525">
        <v>42674</v>
      </c>
      <c r="C5" s="4">
        <v>400</v>
      </c>
      <c r="D5" s="3">
        <v>4.0199999999999996</v>
      </c>
      <c r="E5" s="3">
        <v>0</v>
      </c>
      <c r="F5" s="3">
        <f>C5*D5+E5</f>
        <v>1607.9999999999998</v>
      </c>
      <c r="G5" s="4"/>
      <c r="H5" s="185"/>
      <c r="I5" s="3"/>
      <c r="J5" s="3"/>
      <c r="K5" s="3"/>
      <c r="O5" s="11" t="s">
        <v>67</v>
      </c>
      <c r="Q5" s="3">
        <f>Q4*Q2</f>
        <v>3729</v>
      </c>
      <c r="W5" s="110">
        <v>42671</v>
      </c>
      <c r="X5" s="9">
        <v>4.16</v>
      </c>
      <c r="Y5" s="9">
        <v>4.24</v>
      </c>
      <c r="Z5" s="9">
        <v>4.03</v>
      </c>
      <c r="AA5" s="9">
        <v>4.03</v>
      </c>
      <c r="AB5" s="104">
        <v>20753500</v>
      </c>
      <c r="AC5" s="9">
        <v>4.03</v>
      </c>
      <c r="AD5" s="40">
        <f t="shared" si="1"/>
        <v>0.20999999999999996</v>
      </c>
      <c r="AE5" s="162">
        <f t="shared" si="2"/>
        <v>-3.3573141486810454E-2</v>
      </c>
    </row>
    <row r="6" spans="1:31" x14ac:dyDescent="0.25">
      <c r="B6" s="525">
        <v>42676</v>
      </c>
      <c r="C6" s="4">
        <v>300</v>
      </c>
      <c r="D6" s="3">
        <v>3.59</v>
      </c>
      <c r="E6" s="3">
        <v>0</v>
      </c>
      <c r="F6" s="3">
        <f>C6*D6+E6</f>
        <v>1077</v>
      </c>
      <c r="G6" s="4"/>
      <c r="H6" s="185"/>
      <c r="I6" s="3"/>
      <c r="J6" s="3"/>
      <c r="K6" s="3"/>
      <c r="O6" s="11" t="s">
        <v>64</v>
      </c>
      <c r="Q6" s="2">
        <f>Q3*Q2</f>
        <v>4277.08</v>
      </c>
      <c r="W6" s="110">
        <v>42670</v>
      </c>
      <c r="X6" s="9">
        <v>4.0999999999999996</v>
      </c>
      <c r="Y6" s="9">
        <v>4.26</v>
      </c>
      <c r="Z6" s="9">
        <v>4.0199999999999996</v>
      </c>
      <c r="AA6" s="9">
        <v>4.17</v>
      </c>
      <c r="AB6" s="104">
        <v>24739300</v>
      </c>
      <c r="AC6" s="9">
        <v>4.17</v>
      </c>
      <c r="AD6" s="40">
        <f t="shared" si="1"/>
        <v>0.24000000000000021</v>
      </c>
      <c r="AE6" s="162">
        <f t="shared" si="2"/>
        <v>1.9559902200489088E-2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184</v>
      </c>
      <c r="Q7" s="2">
        <f>Q10+Q8</f>
        <v>-113.14999999999964</v>
      </c>
      <c r="R7" s="30">
        <v>42681</v>
      </c>
      <c r="W7" s="110">
        <v>42669</v>
      </c>
      <c r="X7" s="9">
        <v>4.1100000000000003</v>
      </c>
      <c r="Y7" s="9">
        <v>4.13</v>
      </c>
      <c r="Z7" s="9">
        <v>4.05</v>
      </c>
      <c r="AA7" s="9">
        <v>4.09</v>
      </c>
      <c r="AB7" s="104">
        <v>7883700</v>
      </c>
      <c r="AC7" s="9">
        <v>4.09</v>
      </c>
      <c r="AD7" s="40">
        <f t="shared" si="1"/>
        <v>8.0000000000000071E-2</v>
      </c>
      <c r="AE7" s="162">
        <f t="shared" si="2"/>
        <v>-4.8661800486619056E-3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O8" s="11" t="s">
        <v>187</v>
      </c>
      <c r="P8" s="34"/>
      <c r="Q8" s="2">
        <f>K18+M18-F18+Q2*Q4</f>
        <v>-548.07999999999993</v>
      </c>
      <c r="W8" s="110">
        <v>42668</v>
      </c>
      <c r="X8" s="9">
        <v>4.0999999999999996</v>
      </c>
      <c r="Y8" s="9">
        <v>4.1399999999999997</v>
      </c>
      <c r="Z8" s="9">
        <v>4.07</v>
      </c>
      <c r="AA8" s="9">
        <v>4.1100000000000003</v>
      </c>
      <c r="AB8" s="104">
        <v>8635300</v>
      </c>
      <c r="AC8" s="9">
        <v>4.1100000000000003</v>
      </c>
      <c r="AD8" s="40">
        <f t="shared" si="1"/>
        <v>6.9999999999999396E-2</v>
      </c>
      <c r="AE8" s="162">
        <f t="shared" si="2"/>
        <v>2.4390243902441266E-3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219</v>
      </c>
      <c r="Q9" s="138">
        <f>IF(Q2=0, 0, Q8/Q6)</f>
        <v>-0.12814349977087169</v>
      </c>
      <c r="W9" s="110">
        <v>42667</v>
      </c>
      <c r="X9" s="9">
        <v>4.09</v>
      </c>
      <c r="Y9" s="9">
        <v>4.12</v>
      </c>
      <c r="Z9" s="9">
        <v>4.05</v>
      </c>
      <c r="AA9" s="9">
        <v>4.0999999999999996</v>
      </c>
      <c r="AB9" s="104">
        <v>5841100</v>
      </c>
      <c r="AC9" s="9">
        <v>4.0999999999999996</v>
      </c>
      <c r="AD9" s="40">
        <f t="shared" si="1"/>
        <v>7.0000000000000284E-2</v>
      </c>
      <c r="AE9" s="162">
        <f t="shared" si="2"/>
        <v>7.3710073710071544E-3</v>
      </c>
    </row>
    <row r="10" spans="1:31" x14ac:dyDescent="0.25">
      <c r="O10" s="11" t="s">
        <v>218</v>
      </c>
      <c r="P10" s="34"/>
      <c r="Q10" s="2">
        <f>M57</f>
        <v>434.93000000000029</v>
      </c>
      <c r="W10" s="110">
        <v>42664</v>
      </c>
      <c r="X10" s="9">
        <v>4.0599999999999996</v>
      </c>
      <c r="Y10" s="9">
        <v>4.13</v>
      </c>
      <c r="Z10" s="9">
        <v>4.0599999999999996</v>
      </c>
      <c r="AA10" s="9">
        <v>4.07</v>
      </c>
      <c r="AB10" s="104">
        <v>11225900</v>
      </c>
      <c r="AC10" s="9">
        <v>4.07</v>
      </c>
      <c r="AD10" s="40">
        <f t="shared" si="1"/>
        <v>7.0000000000000284E-2</v>
      </c>
      <c r="AE10" s="162">
        <f t="shared" si="2"/>
        <v>-4.8899755501221609E-3</v>
      </c>
    </row>
    <row r="11" spans="1:31" x14ac:dyDescent="0.25">
      <c r="O11" s="11" t="s">
        <v>181</v>
      </c>
      <c r="P11" s="34"/>
      <c r="Q11" s="138">
        <f>VALUE(TRIM(CLEAN(MID(U58, FIND("(", U58)+1, 6))))</f>
        <v>0.1042</v>
      </c>
      <c r="W11" s="110">
        <v>42663</v>
      </c>
      <c r="X11" s="9">
        <v>4.0999999999999996</v>
      </c>
      <c r="Y11" s="9">
        <v>4.12</v>
      </c>
      <c r="Z11" s="9">
        <v>4.04</v>
      </c>
      <c r="AA11" s="9">
        <v>4.09</v>
      </c>
      <c r="AB11" s="104">
        <v>10307200</v>
      </c>
      <c r="AC11" s="9">
        <v>4.09</v>
      </c>
      <c r="AD11" s="40">
        <f t="shared" si="1"/>
        <v>8.0000000000000071E-2</v>
      </c>
      <c r="AE11" s="162">
        <f t="shared" si="2"/>
        <v>0</v>
      </c>
    </row>
    <row r="12" spans="1:31" x14ac:dyDescent="0.25">
      <c r="W12" s="110">
        <v>42662</v>
      </c>
      <c r="X12" s="9">
        <v>4.12</v>
      </c>
      <c r="Y12" s="9">
        <v>4.13</v>
      </c>
      <c r="Z12" s="9">
        <v>4.04</v>
      </c>
      <c r="AA12" s="9">
        <v>4.09</v>
      </c>
      <c r="AB12" s="104">
        <v>14172600</v>
      </c>
      <c r="AC12" s="9">
        <v>4.09</v>
      </c>
      <c r="AD12" s="40">
        <f t="shared" si="1"/>
        <v>8.9999999999999858E-2</v>
      </c>
      <c r="AE12" s="162">
        <f t="shared" si="2"/>
        <v>2.450980392156854E-3</v>
      </c>
    </row>
    <row r="13" spans="1:31" x14ac:dyDescent="0.25">
      <c r="W13" s="110">
        <v>42661</v>
      </c>
      <c r="X13" s="9">
        <v>3.95</v>
      </c>
      <c r="Y13" s="9">
        <v>4.09</v>
      </c>
      <c r="Z13" s="9">
        <v>3.93</v>
      </c>
      <c r="AA13" s="9">
        <v>4.08</v>
      </c>
      <c r="AB13" s="104">
        <v>20453700</v>
      </c>
      <c r="AC13" s="9">
        <v>4.08</v>
      </c>
      <c r="AD13" s="40">
        <f t="shared" si="1"/>
        <v>0.1599999999999997</v>
      </c>
      <c r="AE13" s="162">
        <f t="shared" si="2"/>
        <v>4.6153846153846212E-2</v>
      </c>
    </row>
    <row r="14" spans="1:31" x14ac:dyDescent="0.25">
      <c r="W14" s="110">
        <v>42660</v>
      </c>
      <c r="X14" s="9">
        <v>3.96</v>
      </c>
      <c r="Y14" s="9">
        <v>3.99</v>
      </c>
      <c r="Z14" s="9">
        <v>3.88</v>
      </c>
      <c r="AA14" s="9">
        <v>3.9</v>
      </c>
      <c r="AB14" s="104">
        <v>11834900</v>
      </c>
      <c r="AC14" s="9">
        <v>3.9</v>
      </c>
      <c r="AD14" s="40">
        <f t="shared" si="1"/>
        <v>0.11000000000000032</v>
      </c>
      <c r="AE14" s="162">
        <f t="shared" si="2"/>
        <v>-1.0152284263959421E-2</v>
      </c>
    </row>
    <row r="15" spans="1:31" x14ac:dyDescent="0.25">
      <c r="W15" s="110">
        <v>42657</v>
      </c>
      <c r="X15" s="9">
        <v>4.01</v>
      </c>
      <c r="Y15" s="9">
        <v>4.04</v>
      </c>
      <c r="Z15" s="9">
        <v>3.93</v>
      </c>
      <c r="AA15" s="9">
        <v>3.94</v>
      </c>
      <c r="AB15" s="104">
        <v>11454800</v>
      </c>
      <c r="AC15" s="9">
        <v>3.94</v>
      </c>
      <c r="AD15" s="40">
        <f t="shared" si="1"/>
        <v>0.10999999999999988</v>
      </c>
      <c r="AE15" s="162">
        <f t="shared" si="2"/>
        <v>-1.5000000000000013E-2</v>
      </c>
    </row>
    <row r="16" spans="1:31" x14ac:dyDescent="0.25">
      <c r="W16" s="110">
        <v>42656</v>
      </c>
      <c r="X16" s="9">
        <v>4</v>
      </c>
      <c r="Y16" s="9">
        <v>4.03</v>
      </c>
      <c r="Z16" s="9">
        <v>3.94</v>
      </c>
      <c r="AA16" s="9">
        <v>4</v>
      </c>
      <c r="AB16" s="104">
        <v>14406500</v>
      </c>
      <c r="AC16" s="9">
        <v>4</v>
      </c>
      <c r="AD16" s="40">
        <f t="shared" si="1"/>
        <v>9.0000000000000302E-2</v>
      </c>
      <c r="AE16" s="162">
        <f t="shared" si="2"/>
        <v>-4.9751243781093191E-3</v>
      </c>
    </row>
    <row r="17" spans="1:31" x14ac:dyDescent="0.25">
      <c r="H17" s="72"/>
      <c r="W17" s="110">
        <v>42655</v>
      </c>
      <c r="X17" s="9">
        <v>4.16</v>
      </c>
      <c r="Y17" s="9">
        <v>4.1900000000000004</v>
      </c>
      <c r="Z17" s="9">
        <v>4.01</v>
      </c>
      <c r="AA17" s="9">
        <v>4.0199999999999996</v>
      </c>
      <c r="AB17" s="104">
        <v>12999800</v>
      </c>
      <c r="AC17" s="9">
        <v>4.0199999999999996</v>
      </c>
      <c r="AD17" s="40">
        <f t="shared" si="1"/>
        <v>0.1800000000000006</v>
      </c>
      <c r="AE17" s="162">
        <f t="shared" si="2"/>
        <v>-3.1325301204819467E-2</v>
      </c>
    </row>
    <row r="18" spans="1:31" x14ac:dyDescent="0.25">
      <c r="A18" s="32" t="s">
        <v>81</v>
      </c>
      <c r="B18" s="14"/>
      <c r="C18" s="14">
        <f>SUM(C2:C17)</f>
        <v>1900</v>
      </c>
      <c r="D18" s="18"/>
      <c r="E18" s="18"/>
      <c r="F18" s="18">
        <f>SUM(F2:F17)</f>
        <v>7637</v>
      </c>
      <c r="G18" s="14"/>
      <c r="H18" s="14">
        <f>SUM(H2:H5)</f>
        <v>800</v>
      </c>
      <c r="I18" s="18"/>
      <c r="J18" s="18"/>
      <c r="K18" s="18">
        <f>SUM(K2:K5)</f>
        <v>3359.92</v>
      </c>
      <c r="L18" s="14"/>
      <c r="M18" s="18">
        <f>SUM(M2:M5)</f>
        <v>0</v>
      </c>
      <c r="W18" s="110">
        <v>42654</v>
      </c>
      <c r="X18" s="9">
        <v>4.0999999999999996</v>
      </c>
      <c r="Y18" s="9">
        <v>4.1900000000000004</v>
      </c>
      <c r="Z18" s="9">
        <v>4.0999999999999996</v>
      </c>
      <c r="AA18" s="9">
        <v>4.1500000000000004</v>
      </c>
      <c r="AB18" s="104">
        <v>17771000</v>
      </c>
      <c r="AC18" s="9">
        <v>4.1500000000000004</v>
      </c>
      <c r="AD18" s="40">
        <f t="shared" si="1"/>
        <v>9.0000000000000746E-2</v>
      </c>
      <c r="AE18" s="162">
        <f t="shared" si="2"/>
        <v>0</v>
      </c>
    </row>
    <row r="19" spans="1:31" x14ac:dyDescent="0.25">
      <c r="W19" s="110">
        <v>42653</v>
      </c>
      <c r="X19" s="9">
        <v>4.25</v>
      </c>
      <c r="Y19" s="9">
        <v>4.29</v>
      </c>
      <c r="Z19" s="9">
        <v>4.1399999999999997</v>
      </c>
      <c r="AA19" s="9">
        <v>4.1500000000000004</v>
      </c>
      <c r="AB19" s="104">
        <v>17634600</v>
      </c>
      <c r="AC19" s="9">
        <v>4.1500000000000004</v>
      </c>
      <c r="AD19" s="40">
        <f t="shared" si="1"/>
        <v>0.15000000000000036</v>
      </c>
      <c r="AE19" s="162">
        <f t="shared" si="2"/>
        <v>-1.891252955082745E-2</v>
      </c>
    </row>
    <row r="20" spans="1:31" x14ac:dyDescent="0.25">
      <c r="W20" s="110">
        <v>42650</v>
      </c>
      <c r="X20" s="9">
        <v>3.99</v>
      </c>
      <c r="Y20" s="9">
        <v>4.3600000000000003</v>
      </c>
      <c r="Z20" s="9">
        <v>3.94</v>
      </c>
      <c r="AA20" s="9">
        <v>4.2300000000000004</v>
      </c>
      <c r="AB20" s="104">
        <v>73382200</v>
      </c>
      <c r="AC20" s="9">
        <v>4.2300000000000004</v>
      </c>
      <c r="AD20" s="40">
        <f t="shared" si="1"/>
        <v>0.42000000000000037</v>
      </c>
      <c r="AE20" s="162">
        <f t="shared" si="2"/>
        <v>6.0150375939849621E-2</v>
      </c>
    </row>
    <row r="21" spans="1:31" x14ac:dyDescent="0.25">
      <c r="B21" s="551" t="s">
        <v>114</v>
      </c>
      <c r="C21" s="551" t="s">
        <v>149</v>
      </c>
      <c r="D21" s="552" t="s">
        <v>148</v>
      </c>
      <c r="E21" s="553" t="s">
        <v>150</v>
      </c>
      <c r="F21" s="554" t="s">
        <v>65</v>
      </c>
      <c r="G21" s="555" t="s">
        <v>154</v>
      </c>
      <c r="H21" s="554" t="s">
        <v>88</v>
      </c>
      <c r="I21" s="555" t="s">
        <v>158</v>
      </c>
      <c r="W21" s="110">
        <v>42649</v>
      </c>
      <c r="X21" s="9">
        <v>4</v>
      </c>
      <c r="Y21" s="9">
        <v>4.03</v>
      </c>
      <c r="Z21" s="9">
        <v>3.9</v>
      </c>
      <c r="AA21" s="9">
        <v>3.99</v>
      </c>
      <c r="AB21" s="104">
        <v>29323000</v>
      </c>
      <c r="AC21" s="9">
        <v>3.99</v>
      </c>
      <c r="AD21" s="40">
        <f t="shared" si="1"/>
        <v>0.13000000000000034</v>
      </c>
      <c r="AE21" s="162">
        <f t="shared" si="2"/>
        <v>-9.9255583126550695E-3</v>
      </c>
    </row>
    <row r="22" spans="1:31" x14ac:dyDescent="0.25">
      <c r="B22" s="383">
        <v>42353</v>
      </c>
      <c r="C22" s="384">
        <v>250</v>
      </c>
      <c r="D22" s="556">
        <v>4.45</v>
      </c>
      <c r="E22" s="385">
        <v>4.45</v>
      </c>
      <c r="F22" s="385">
        <f>C22*(E22-D22)</f>
        <v>0</v>
      </c>
      <c r="G22" s="385">
        <f>D22*C22</f>
        <v>1112.5</v>
      </c>
      <c r="H22" s="387">
        <f>(E22-D22)/D22</f>
        <v>0</v>
      </c>
      <c r="I22" s="385"/>
      <c r="W22" s="110">
        <v>42648</v>
      </c>
      <c r="X22" s="9">
        <v>4.07</v>
      </c>
      <c r="Y22" s="9">
        <v>4.0999999999999996</v>
      </c>
      <c r="Z22" s="9">
        <v>4.01</v>
      </c>
      <c r="AA22" s="9">
        <v>4.03</v>
      </c>
      <c r="AB22" s="104">
        <v>33544800</v>
      </c>
      <c r="AC22" s="9">
        <v>4.03</v>
      </c>
      <c r="AD22" s="40">
        <f t="shared" si="1"/>
        <v>8.9999999999999858E-2</v>
      </c>
      <c r="AE22" s="162">
        <f t="shared" si="2"/>
        <v>-1.7073170731707221E-2</v>
      </c>
    </row>
    <row r="23" spans="1:31" x14ac:dyDescent="0.25">
      <c r="B23" s="383">
        <v>42356</v>
      </c>
      <c r="C23" s="384">
        <v>250</v>
      </c>
      <c r="D23" s="556">
        <v>4.45</v>
      </c>
      <c r="E23" s="385">
        <v>4.79</v>
      </c>
      <c r="F23" s="385">
        <f>C23*(E23-D23)</f>
        <v>84.999999999999972</v>
      </c>
      <c r="G23" s="385">
        <f>D23*C23</f>
        <v>1112.5</v>
      </c>
      <c r="H23" s="387">
        <f>(E23-D23)/D23</f>
        <v>7.6404494382022431E-2</v>
      </c>
      <c r="I23" s="385"/>
      <c r="W23" s="110">
        <v>42647</v>
      </c>
      <c r="X23" s="9">
        <v>4.1500000000000004</v>
      </c>
      <c r="Y23" s="9">
        <v>4.16</v>
      </c>
      <c r="Z23" s="9">
        <v>4.03</v>
      </c>
      <c r="AA23" s="9">
        <v>4.0999999999999996</v>
      </c>
      <c r="AB23" s="104">
        <v>27830100</v>
      </c>
      <c r="AC23" s="9">
        <v>4.0999999999999996</v>
      </c>
      <c r="AD23" s="40">
        <f t="shared" si="1"/>
        <v>0.12999999999999989</v>
      </c>
      <c r="AE23" s="162">
        <f t="shared" si="2"/>
        <v>-9.6618357487923134E-3</v>
      </c>
    </row>
    <row r="24" spans="1:31" x14ac:dyDescent="0.25">
      <c r="B24" s="383">
        <v>42382</v>
      </c>
      <c r="C24" s="384">
        <v>500</v>
      </c>
      <c r="D24" s="556">
        <v>4.3499999999999996</v>
      </c>
      <c r="E24" s="385">
        <v>4.17</v>
      </c>
      <c r="F24" s="385">
        <f t="shared" ref="F24:F32" si="3">C24*(E24-D24)</f>
        <v>-89.999999999999858</v>
      </c>
      <c r="G24" s="385">
        <f t="shared" ref="G24:G32" si="4">D24*C24</f>
        <v>2175</v>
      </c>
      <c r="H24" s="387">
        <f t="shared" ref="H24:H32" si="5">(E24-D24)/D24</f>
        <v>-4.1379310344827523E-2</v>
      </c>
      <c r="I24" s="385"/>
      <c r="W24" s="110">
        <v>42646</v>
      </c>
      <c r="X24" s="9">
        <v>4.16</v>
      </c>
      <c r="Y24" s="9">
        <v>4.25</v>
      </c>
      <c r="Z24" s="9">
        <v>4.1399999999999997</v>
      </c>
      <c r="AA24" s="9">
        <v>4.1399999999999997</v>
      </c>
      <c r="AB24" s="104">
        <v>16728900</v>
      </c>
      <c r="AC24" s="9">
        <v>4.1399999999999997</v>
      </c>
      <c r="AD24" s="40">
        <f t="shared" si="1"/>
        <v>0.11000000000000032</v>
      </c>
      <c r="AE24" s="162">
        <f t="shared" si="2"/>
        <v>-4.8076923076924016E-3</v>
      </c>
    </row>
    <row r="25" spans="1:31" x14ac:dyDescent="0.25">
      <c r="B25" s="383">
        <v>42398</v>
      </c>
      <c r="C25" s="384">
        <v>250</v>
      </c>
      <c r="D25" s="556">
        <v>4.18</v>
      </c>
      <c r="E25" s="385">
        <v>4.5199999999999996</v>
      </c>
      <c r="F25" s="385">
        <f t="shared" si="3"/>
        <v>84.999999999999972</v>
      </c>
      <c r="G25" s="385">
        <f t="shared" si="4"/>
        <v>1045</v>
      </c>
      <c r="H25" s="387">
        <f t="shared" si="5"/>
        <v>8.1339712918660254E-2</v>
      </c>
      <c r="I25" s="385"/>
      <c r="W25" s="110">
        <v>42643</v>
      </c>
      <c r="X25" s="9">
        <v>4.3099999999999996</v>
      </c>
      <c r="Y25" s="9">
        <v>4.3099999999999996</v>
      </c>
      <c r="Z25" s="9">
        <v>4.1500000000000004</v>
      </c>
      <c r="AA25" s="9">
        <v>4.16</v>
      </c>
      <c r="AB25" s="104">
        <v>20358300</v>
      </c>
      <c r="AC25" s="9">
        <v>4.16</v>
      </c>
      <c r="AD25" s="40">
        <f t="shared" si="1"/>
        <v>0.15999999999999925</v>
      </c>
      <c r="AE25" s="162">
        <f t="shared" si="2"/>
        <v>-2.1176470588235241E-2</v>
      </c>
    </row>
    <row r="26" spans="1:31" x14ac:dyDescent="0.25">
      <c r="B26" s="383">
        <v>42402</v>
      </c>
      <c r="C26" s="384">
        <v>500</v>
      </c>
      <c r="D26" s="556">
        <v>4.2699999999999996</v>
      </c>
      <c r="E26" s="385">
        <v>4.3499999999999996</v>
      </c>
      <c r="F26" s="385">
        <f t="shared" si="3"/>
        <v>40.000000000000036</v>
      </c>
      <c r="G26" s="385">
        <f t="shared" si="4"/>
        <v>2135</v>
      </c>
      <c r="H26" s="387">
        <f t="shared" si="5"/>
        <v>1.8735362997658097E-2</v>
      </c>
      <c r="I26" s="385"/>
      <c r="W26" s="110">
        <v>42642</v>
      </c>
      <c r="X26" s="9">
        <v>4.32</v>
      </c>
      <c r="Y26" s="9">
        <v>4.3899999999999997</v>
      </c>
      <c r="Z26" s="9">
        <v>4.22</v>
      </c>
      <c r="AA26" s="9">
        <v>4.25</v>
      </c>
      <c r="AB26" s="104">
        <v>15052300</v>
      </c>
      <c r="AC26" s="9">
        <v>4.25</v>
      </c>
      <c r="AD26" s="40">
        <f t="shared" si="1"/>
        <v>0.16999999999999993</v>
      </c>
      <c r="AE26" s="162">
        <f t="shared" si="2"/>
        <v>-2.0737327188940058E-2</v>
      </c>
    </row>
    <row r="27" spans="1:31" x14ac:dyDescent="0.25">
      <c r="B27" s="383">
        <v>42403</v>
      </c>
      <c r="C27" s="384">
        <v>500</v>
      </c>
      <c r="D27" s="556">
        <v>4.2699999999999996</v>
      </c>
      <c r="E27" s="385">
        <v>4.5999999999999996</v>
      </c>
      <c r="F27" s="385">
        <f t="shared" si="3"/>
        <v>165.00000000000003</v>
      </c>
      <c r="G27" s="385">
        <f t="shared" si="4"/>
        <v>2135</v>
      </c>
      <c r="H27" s="387">
        <f t="shared" si="5"/>
        <v>7.7283372365339609E-2</v>
      </c>
      <c r="I27" s="385"/>
      <c r="W27" s="110">
        <v>42641</v>
      </c>
      <c r="X27" s="9">
        <v>4.3499999999999996</v>
      </c>
      <c r="Y27" s="9">
        <v>4.38</v>
      </c>
      <c r="Z27" s="9">
        <v>4.25</v>
      </c>
      <c r="AA27" s="9">
        <v>4.34</v>
      </c>
      <c r="AB27" s="104">
        <v>17621300</v>
      </c>
      <c r="AC27" s="9">
        <v>4.34</v>
      </c>
      <c r="AD27" s="40">
        <f t="shared" si="1"/>
        <v>0.12999999999999989</v>
      </c>
      <c r="AE27" s="162">
        <f t="shared" si="2"/>
        <v>0</v>
      </c>
    </row>
    <row r="28" spans="1:31" x14ac:dyDescent="0.25">
      <c r="B28" s="383">
        <v>42418</v>
      </c>
      <c r="C28" s="384">
        <v>250</v>
      </c>
      <c r="D28" s="556">
        <v>4.09</v>
      </c>
      <c r="E28" s="385">
        <v>4.25</v>
      </c>
      <c r="F28" s="385">
        <f t="shared" si="3"/>
        <v>40.000000000000036</v>
      </c>
      <c r="G28" s="385">
        <f t="shared" si="4"/>
        <v>1022.5</v>
      </c>
      <c r="H28" s="387">
        <f t="shared" si="5"/>
        <v>3.911980440097803E-2</v>
      </c>
      <c r="I28" s="385"/>
      <c r="W28" s="110">
        <v>42640</v>
      </c>
      <c r="X28" s="9">
        <v>4.37</v>
      </c>
      <c r="Y28" s="9">
        <v>4.4000000000000004</v>
      </c>
      <c r="Z28" s="9">
        <v>4.3099999999999996</v>
      </c>
      <c r="AA28" s="9">
        <v>4.34</v>
      </c>
      <c r="AB28" s="104">
        <v>13581800</v>
      </c>
      <c r="AC28" s="9">
        <v>4.34</v>
      </c>
      <c r="AD28" s="40">
        <f t="shared" si="1"/>
        <v>9.0000000000000746E-2</v>
      </c>
      <c r="AE28" s="162">
        <f t="shared" si="2"/>
        <v>-4.5871559633028358E-3</v>
      </c>
    </row>
    <row r="29" spans="1:31" x14ac:dyDescent="0.25">
      <c r="B29" s="383">
        <v>42421</v>
      </c>
      <c r="C29" s="384">
        <v>250</v>
      </c>
      <c r="D29" s="556">
        <v>4.09</v>
      </c>
      <c r="E29" s="385">
        <v>4.4400000000000004</v>
      </c>
      <c r="F29" s="385">
        <f t="shared" si="3"/>
        <v>87.500000000000128</v>
      </c>
      <c r="G29" s="385">
        <f t="shared" si="4"/>
        <v>1022.5</v>
      </c>
      <c r="H29" s="387">
        <f t="shared" si="5"/>
        <v>8.5574572127139495E-2</v>
      </c>
      <c r="I29" s="385"/>
      <c r="W29" s="110">
        <v>42639</v>
      </c>
      <c r="X29" s="9">
        <v>4.3</v>
      </c>
      <c r="Y29" s="9">
        <v>4.4000000000000004</v>
      </c>
      <c r="Z29" s="9">
        <v>4.29</v>
      </c>
      <c r="AA29" s="9">
        <v>4.3600000000000003</v>
      </c>
      <c r="AB29" s="104">
        <v>11918800</v>
      </c>
      <c r="AC29" s="9">
        <v>4.3600000000000003</v>
      </c>
      <c r="AD29" s="40">
        <f t="shared" si="1"/>
        <v>0.11000000000000032</v>
      </c>
      <c r="AE29" s="162">
        <f t="shared" si="2"/>
        <v>6.9284064665127154E-3</v>
      </c>
    </row>
    <row r="30" spans="1:31" x14ac:dyDescent="0.25">
      <c r="B30" s="383">
        <v>42424</v>
      </c>
      <c r="C30" s="384">
        <v>250</v>
      </c>
      <c r="D30" s="556">
        <v>4.09</v>
      </c>
      <c r="E30" s="385">
        <v>5.3</v>
      </c>
      <c r="F30" s="385">
        <f t="shared" si="3"/>
        <v>302.5</v>
      </c>
      <c r="G30" s="385">
        <f t="shared" si="4"/>
        <v>1022.5</v>
      </c>
      <c r="H30" s="387">
        <f t="shared" si="5"/>
        <v>0.29584352078239606</v>
      </c>
      <c r="I30" s="385"/>
      <c r="W30" s="110">
        <v>42636</v>
      </c>
      <c r="X30" s="9">
        <v>4.38</v>
      </c>
      <c r="Y30" s="9">
        <v>4.3899999999999997</v>
      </c>
      <c r="Z30" s="9">
        <v>4.28</v>
      </c>
      <c r="AA30" s="9">
        <v>4.33</v>
      </c>
      <c r="AB30" s="104">
        <v>19247400</v>
      </c>
      <c r="AC30" s="9">
        <v>4.33</v>
      </c>
      <c r="AD30" s="40">
        <f t="shared" si="1"/>
        <v>0.10999999999999943</v>
      </c>
      <c r="AE30" s="162">
        <f t="shared" si="2"/>
        <v>0</v>
      </c>
    </row>
    <row r="31" spans="1:31" x14ac:dyDescent="0.25">
      <c r="B31" s="383">
        <v>42430</v>
      </c>
      <c r="C31" s="384">
        <v>250</v>
      </c>
      <c r="D31" s="556">
        <v>4.09</v>
      </c>
      <c r="E31" s="385">
        <v>5.47</v>
      </c>
      <c r="F31" s="488">
        <f t="shared" si="3"/>
        <v>345</v>
      </c>
      <c r="G31" s="385">
        <f t="shared" si="4"/>
        <v>1022.5</v>
      </c>
      <c r="H31" s="387">
        <f t="shared" si="5"/>
        <v>0.33740831295843521</v>
      </c>
      <c r="I31" s="385"/>
      <c r="W31" s="110">
        <v>42635</v>
      </c>
      <c r="X31" s="9">
        <v>4.18</v>
      </c>
      <c r="Y31" s="9">
        <v>4.37</v>
      </c>
      <c r="Z31" s="9">
        <v>4.1100000000000003</v>
      </c>
      <c r="AA31" s="9">
        <v>4.33</v>
      </c>
      <c r="AB31" s="104">
        <v>44037400</v>
      </c>
      <c r="AC31" s="9">
        <v>4.33</v>
      </c>
      <c r="AD31" s="40">
        <f t="shared" si="1"/>
        <v>0.25999999999999979</v>
      </c>
      <c r="AE31" s="162">
        <f t="shared" si="2"/>
        <v>4.8426150121065437E-2</v>
      </c>
    </row>
    <row r="32" spans="1:31" x14ac:dyDescent="0.25">
      <c r="B32" s="383">
        <v>42431</v>
      </c>
      <c r="C32" s="384">
        <v>250</v>
      </c>
      <c r="D32" s="556">
        <v>4.09</v>
      </c>
      <c r="E32" s="385">
        <v>5.63</v>
      </c>
      <c r="F32" s="488">
        <f t="shared" si="3"/>
        <v>385</v>
      </c>
      <c r="G32" s="385">
        <f t="shared" si="4"/>
        <v>1022.5</v>
      </c>
      <c r="H32" s="387">
        <f t="shared" si="5"/>
        <v>0.37652811735941322</v>
      </c>
      <c r="I32" s="385"/>
      <c r="W32" s="110">
        <v>42634</v>
      </c>
      <c r="X32" s="9">
        <v>4.21</v>
      </c>
      <c r="Y32" s="9">
        <v>4.29</v>
      </c>
      <c r="Z32" s="9">
        <v>4.07</v>
      </c>
      <c r="AA32" s="9">
        <v>4.13</v>
      </c>
      <c r="AB32" s="104">
        <v>45243600</v>
      </c>
      <c r="AC32" s="9">
        <v>4.13</v>
      </c>
      <c r="AD32" s="40">
        <f t="shared" si="1"/>
        <v>0.21999999999999975</v>
      </c>
      <c r="AE32" s="162">
        <f t="shared" si="2"/>
        <v>-1.9002375296912177E-2</v>
      </c>
    </row>
    <row r="33" spans="2:31" x14ac:dyDescent="0.25">
      <c r="B33" s="383">
        <v>42436</v>
      </c>
      <c r="C33" s="384">
        <v>0</v>
      </c>
      <c r="D33" s="556"/>
      <c r="E33" s="385">
        <v>5.79</v>
      </c>
      <c r="F33" s="488">
        <v>434.93</v>
      </c>
      <c r="G33" s="385"/>
      <c r="H33" s="387"/>
      <c r="I33" s="385"/>
      <c r="W33" s="110">
        <v>42633</v>
      </c>
      <c r="X33" s="9">
        <v>4.3099999999999996</v>
      </c>
      <c r="Y33" s="9">
        <v>4.33</v>
      </c>
      <c r="Z33" s="9">
        <v>4.21</v>
      </c>
      <c r="AA33" s="9">
        <v>4.21</v>
      </c>
      <c r="AB33" s="104">
        <v>21813100</v>
      </c>
      <c r="AC33" s="9">
        <v>4.21</v>
      </c>
      <c r="AD33" s="40">
        <f t="shared" si="1"/>
        <v>0.12000000000000011</v>
      </c>
      <c r="AE33" s="162">
        <f t="shared" si="2"/>
        <v>-2.0930232558139528E-2</v>
      </c>
    </row>
    <row r="34" spans="2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42632</v>
      </c>
      <c r="X34" s="9">
        <v>4.28</v>
      </c>
      <c r="Y34" s="9">
        <v>4.3099999999999996</v>
      </c>
      <c r="Z34" s="9">
        <v>4.21</v>
      </c>
      <c r="AA34" s="9">
        <v>4.3</v>
      </c>
      <c r="AB34" s="104">
        <v>21542400</v>
      </c>
      <c r="AC34" s="9">
        <v>4.3</v>
      </c>
      <c r="AD34" s="40">
        <f t="shared" si="1"/>
        <v>9.9999999999999645E-2</v>
      </c>
      <c r="AE34" s="162">
        <f t="shared" si="2"/>
        <v>4.6728971962615162E-3</v>
      </c>
    </row>
    <row r="35" spans="2:31" x14ac:dyDescent="0.25">
      <c r="B35" s="191" t="s">
        <v>114</v>
      </c>
      <c r="C35" s="191" t="s">
        <v>149</v>
      </c>
      <c r="D35" s="192" t="s">
        <v>148</v>
      </c>
      <c r="E35" s="194" t="s">
        <v>150</v>
      </c>
      <c r="F35" s="195" t="s">
        <v>65</v>
      </c>
      <c r="G35" s="229" t="s">
        <v>154</v>
      </c>
      <c r="H35" s="195" t="s">
        <v>88</v>
      </c>
      <c r="I35" s="229" t="s">
        <v>158</v>
      </c>
      <c r="W35" s="110">
        <v>42629</v>
      </c>
      <c r="X35" s="9">
        <v>4.3</v>
      </c>
      <c r="Y35" s="9">
        <v>4.33</v>
      </c>
      <c r="Z35" s="9">
        <v>4.0999999999999996</v>
      </c>
      <c r="AA35" s="9">
        <v>4.28</v>
      </c>
      <c r="AB35" s="104">
        <v>53904700</v>
      </c>
      <c r="AC35" s="9">
        <v>4.28</v>
      </c>
      <c r="AD35" s="40">
        <f t="shared" si="1"/>
        <v>0.23000000000000043</v>
      </c>
      <c r="AE35" s="162">
        <f t="shared" si="2"/>
        <v>-1.6091954022988353E-2</v>
      </c>
    </row>
    <row r="36" spans="2:31" x14ac:dyDescent="0.25">
      <c r="B36" s="193">
        <v>42629</v>
      </c>
      <c r="C36" s="237">
        <v>400</v>
      </c>
      <c r="D36" s="585">
        <v>4.28</v>
      </c>
      <c r="E36" s="40">
        <v>4.28</v>
      </c>
      <c r="F36" s="40">
        <f t="shared" ref="F36:F42" si="6">C36*(E36-D36)</f>
        <v>0</v>
      </c>
      <c r="G36" s="40">
        <f t="shared" ref="G36:G42" si="7">D36*C36</f>
        <v>1712</v>
      </c>
      <c r="H36" s="232">
        <f t="shared" ref="H36:H42" si="8">(E36-D36)/D36</f>
        <v>0</v>
      </c>
      <c r="I36" s="40"/>
      <c r="W36" s="110">
        <v>42628</v>
      </c>
      <c r="X36" s="9">
        <v>4.4000000000000004</v>
      </c>
      <c r="Y36" s="9">
        <v>4.4400000000000004</v>
      </c>
      <c r="Z36" s="9">
        <v>4.33</v>
      </c>
      <c r="AA36" s="9">
        <v>4.3499999999999996</v>
      </c>
      <c r="AB36" s="104">
        <v>18543200</v>
      </c>
      <c r="AC36" s="9">
        <v>4.3499999999999996</v>
      </c>
      <c r="AD36" s="40">
        <f t="shared" si="1"/>
        <v>0.11000000000000032</v>
      </c>
      <c r="AE36" s="162">
        <f t="shared" si="2"/>
        <v>-9.1116173120728838E-3</v>
      </c>
    </row>
    <row r="37" spans="2:31" x14ac:dyDescent="0.25">
      <c r="B37" s="193">
        <v>42632</v>
      </c>
      <c r="C37" s="10">
        <v>400</v>
      </c>
      <c r="D37" s="202">
        <v>4.28</v>
      </c>
      <c r="E37" s="40">
        <v>4.3</v>
      </c>
      <c r="F37" s="40">
        <f t="shared" si="6"/>
        <v>7.9999999999998295</v>
      </c>
      <c r="G37" s="40">
        <f t="shared" si="7"/>
        <v>1712</v>
      </c>
      <c r="H37" s="232">
        <f t="shared" si="8"/>
        <v>4.6728971962615821E-3</v>
      </c>
      <c r="I37" s="40"/>
      <c r="W37" s="110">
        <v>42627</v>
      </c>
      <c r="X37" s="9">
        <v>4.49</v>
      </c>
      <c r="Y37" s="9">
        <v>4.51</v>
      </c>
      <c r="Z37" s="9">
        <v>4.3899999999999997</v>
      </c>
      <c r="AA37" s="9">
        <v>4.3899999999999997</v>
      </c>
      <c r="AB37" s="104">
        <v>18932400</v>
      </c>
      <c r="AC37" s="9">
        <v>4.3899999999999997</v>
      </c>
      <c r="AD37" s="40">
        <f t="shared" si="1"/>
        <v>0.12000000000000011</v>
      </c>
      <c r="AE37" s="162">
        <f t="shared" si="2"/>
        <v>-2.008928571428592E-2</v>
      </c>
    </row>
    <row r="38" spans="2:31" x14ac:dyDescent="0.25">
      <c r="B38" s="193">
        <v>42633</v>
      </c>
      <c r="C38" s="10">
        <v>400</v>
      </c>
      <c r="D38" s="202">
        <v>4.28</v>
      </c>
      <c r="E38" s="40">
        <v>4.21</v>
      </c>
      <c r="F38" s="40">
        <f t="shared" si="6"/>
        <v>-28.000000000000114</v>
      </c>
      <c r="G38" s="40">
        <f t="shared" si="7"/>
        <v>1712</v>
      </c>
      <c r="H38" s="232">
        <f t="shared" si="8"/>
        <v>-1.6355140186915952E-2</v>
      </c>
      <c r="I38" s="40"/>
      <c r="W38" s="110">
        <v>42626</v>
      </c>
      <c r="X38" s="9">
        <v>4.54</v>
      </c>
      <c r="Y38" s="9">
        <v>4.5599999999999996</v>
      </c>
      <c r="Z38" s="9">
        <v>4.34</v>
      </c>
      <c r="AA38" s="9">
        <v>4.4800000000000004</v>
      </c>
      <c r="AB38" s="104">
        <v>30774300</v>
      </c>
      <c r="AC38" s="9">
        <v>4.4800000000000004</v>
      </c>
      <c r="AD38" s="40">
        <f t="shared" si="1"/>
        <v>0.21999999999999975</v>
      </c>
      <c r="AE38" s="162" t="e">
        <f t="shared" si="2"/>
        <v>#DIV/0!</v>
      </c>
    </row>
    <row r="39" spans="2:31" x14ac:dyDescent="0.25">
      <c r="B39" s="193">
        <v>42634</v>
      </c>
      <c r="C39" s="7">
        <v>800</v>
      </c>
      <c r="D39" s="582">
        <v>4.18</v>
      </c>
      <c r="E39" s="40">
        <v>4.13</v>
      </c>
      <c r="F39" s="40">
        <f t="shared" si="6"/>
        <v>-39.999999999999858</v>
      </c>
      <c r="G39" s="40">
        <f t="shared" si="7"/>
        <v>3344</v>
      </c>
      <c r="H39" s="232">
        <f t="shared" si="8"/>
        <v>-1.1961722488038236E-2</v>
      </c>
      <c r="I39" s="40"/>
      <c r="W39" s="110">
        <v>42626</v>
      </c>
      <c r="X39" s="9" t="s">
        <v>174</v>
      </c>
      <c r="Y39" s="9"/>
      <c r="Z39" s="9"/>
      <c r="AA39" s="9"/>
      <c r="AB39" s="104"/>
      <c r="AC39" s="9"/>
      <c r="AD39" s="40">
        <f t="shared" si="1"/>
        <v>0</v>
      </c>
      <c r="AE39" s="162">
        <f t="shared" si="2"/>
        <v>-1</v>
      </c>
    </row>
    <row r="40" spans="2:31" ht="20.25" thickBot="1" x14ac:dyDescent="0.35">
      <c r="B40" s="193">
        <v>42635</v>
      </c>
      <c r="C40" s="10">
        <v>400</v>
      </c>
      <c r="D40" s="202">
        <v>4.1600999999999999</v>
      </c>
      <c r="E40" s="40">
        <v>4.33</v>
      </c>
      <c r="F40" s="236">
        <f t="shared" si="6"/>
        <v>67.960000000000065</v>
      </c>
      <c r="G40" s="40">
        <f t="shared" si="7"/>
        <v>1664.04</v>
      </c>
      <c r="H40" s="232">
        <f t="shared" si="8"/>
        <v>4.0840364414317001E-2</v>
      </c>
      <c r="I40" s="40"/>
      <c r="O40" s="588" t="s">
        <v>78</v>
      </c>
      <c r="P40" s="588"/>
      <c r="W40" s="110">
        <v>42625</v>
      </c>
      <c r="X40" s="9">
        <v>4.55</v>
      </c>
      <c r="Y40" s="9">
        <v>4.6500000000000004</v>
      </c>
      <c r="Z40" s="9">
        <v>4.5</v>
      </c>
      <c r="AA40" s="9">
        <v>4.6399999999999997</v>
      </c>
      <c r="AB40" s="104">
        <v>24529400</v>
      </c>
      <c r="AC40" s="9">
        <v>4.54</v>
      </c>
      <c r="AD40" s="40">
        <f t="shared" si="1"/>
        <v>0.15000000000000036</v>
      </c>
      <c r="AE40" s="162">
        <f t="shared" si="2"/>
        <v>1.7937219730941756E-2</v>
      </c>
    </row>
    <row r="41" spans="2:31" ht="15.75" thickTop="1" x14ac:dyDescent="0.25">
      <c r="B41" s="193">
        <v>42643</v>
      </c>
      <c r="C41" s="10">
        <v>400</v>
      </c>
      <c r="D41" s="202">
        <v>4.1600999999999999</v>
      </c>
      <c r="E41" s="40">
        <v>4.16</v>
      </c>
      <c r="F41" s="236">
        <f t="shared" si="6"/>
        <v>-3.9999999999906777E-2</v>
      </c>
      <c r="G41" s="40">
        <f t="shared" si="7"/>
        <v>1664.04</v>
      </c>
      <c r="H41" s="232">
        <f t="shared" si="8"/>
        <v>-2.4037883704662615E-5</v>
      </c>
      <c r="I41" s="40"/>
      <c r="O41" s="83">
        <v>1.1000000000000001</v>
      </c>
      <c r="P41" s="83">
        <f>O41*$Q$4</f>
        <v>3.7290000000000005</v>
      </c>
      <c r="Q41" s="2"/>
      <c r="W41" s="110">
        <v>42622</v>
      </c>
      <c r="X41" s="9">
        <v>4.75</v>
      </c>
      <c r="Y41" s="9">
        <v>4.8</v>
      </c>
      <c r="Z41" s="9">
        <v>4.55</v>
      </c>
      <c r="AA41" s="9">
        <v>4.5599999999999996</v>
      </c>
      <c r="AB41" s="104">
        <v>26578600</v>
      </c>
      <c r="AC41" s="9">
        <v>4.46</v>
      </c>
      <c r="AD41" s="40">
        <f t="shared" si="1"/>
        <v>0.25</v>
      </c>
      <c r="AE41" s="162">
        <f t="shared" si="2"/>
        <v>-4.2918454935622408E-2</v>
      </c>
    </row>
    <row r="42" spans="2:31" ht="20.25" thickBot="1" x14ac:dyDescent="0.35">
      <c r="B42" s="193">
        <v>42648</v>
      </c>
      <c r="C42" s="7">
        <v>800</v>
      </c>
      <c r="D42" s="582">
        <v>4.0900499999999997</v>
      </c>
      <c r="E42" s="40">
        <v>4.03</v>
      </c>
      <c r="F42" s="236">
        <f t="shared" si="6"/>
        <v>-48.039999999999594</v>
      </c>
      <c r="G42" s="40">
        <f t="shared" si="7"/>
        <v>3272.04</v>
      </c>
      <c r="H42" s="232">
        <f t="shared" si="8"/>
        <v>-1.4681972103030402E-2</v>
      </c>
      <c r="I42" s="582">
        <v>4</v>
      </c>
      <c r="O42" s="83">
        <v>1.0900000000000001</v>
      </c>
      <c r="P42" s="83">
        <f t="shared" ref="P42:P61" si="9">O42*$Q$4</f>
        <v>3.6951000000000005</v>
      </c>
      <c r="Q42" s="2"/>
      <c r="T42" s="91" t="s">
        <v>113</v>
      </c>
      <c r="W42" s="110">
        <v>42621</v>
      </c>
      <c r="X42" s="9">
        <v>4.75</v>
      </c>
      <c r="Y42" s="9">
        <v>4.8</v>
      </c>
      <c r="Z42" s="9">
        <v>4.71</v>
      </c>
      <c r="AA42" s="9">
        <v>4.7699999999999996</v>
      </c>
      <c r="AB42" s="104">
        <v>15791200</v>
      </c>
      <c r="AC42" s="9">
        <v>4.66</v>
      </c>
      <c r="AD42" s="40">
        <f t="shared" si="1"/>
        <v>8.9999999999999858E-2</v>
      </c>
      <c r="AE42" s="162">
        <f t="shared" si="2"/>
        <v>8.6580086580085869E-3</v>
      </c>
    </row>
    <row r="43" spans="2:31" ht="15.75" thickTop="1" x14ac:dyDescent="0.25">
      <c r="B43" s="193">
        <v>42649</v>
      </c>
      <c r="C43" s="10">
        <v>800</v>
      </c>
      <c r="D43" s="202">
        <v>4.0900499999999997</v>
      </c>
      <c r="E43" s="40">
        <v>3.99</v>
      </c>
      <c r="F43" s="236">
        <f t="shared" ref="F43" si="10">C43*(E43-D43)</f>
        <v>-80.039999999999623</v>
      </c>
      <c r="G43" s="40">
        <f t="shared" ref="G43" si="11">D43*C43</f>
        <v>3272.04</v>
      </c>
      <c r="H43" s="232">
        <f t="shared" ref="H43" si="12">(E43-D43)/D43</f>
        <v>-2.4461803645432094E-2</v>
      </c>
      <c r="I43" s="40"/>
      <c r="O43" s="83">
        <v>1.08</v>
      </c>
      <c r="P43" s="83">
        <f t="shared" si="9"/>
        <v>3.6612000000000005</v>
      </c>
      <c r="Q43" s="2"/>
      <c r="T43" s="128" t="s">
        <v>98</v>
      </c>
      <c r="U43" s="98">
        <v>3.93</v>
      </c>
      <c r="W43" s="110">
        <v>42620</v>
      </c>
      <c r="X43" s="9">
        <v>4.7</v>
      </c>
      <c r="Y43" s="9">
        <v>4.78</v>
      </c>
      <c r="Z43" s="9">
        <v>4.68</v>
      </c>
      <c r="AA43" s="9">
        <v>4.7300000000000004</v>
      </c>
      <c r="AB43" s="104">
        <v>21574600</v>
      </c>
      <c r="AC43" s="9">
        <v>4.62</v>
      </c>
      <c r="AD43" s="40">
        <f t="shared" si="1"/>
        <v>0.10000000000000053</v>
      </c>
      <c r="AE43" s="162">
        <f t="shared" si="2"/>
        <v>1.0940919037199182E-2</v>
      </c>
    </row>
    <row r="44" spans="2:31" x14ac:dyDescent="0.25">
      <c r="B44" s="193">
        <v>42650</v>
      </c>
      <c r="C44" s="10">
        <v>800</v>
      </c>
      <c r="D44" s="202">
        <v>4.0900499999999997</v>
      </c>
      <c r="E44" s="40">
        <v>4.2300000000000004</v>
      </c>
      <c r="F44" s="236">
        <f t="shared" ref="F44" si="13">C44*(E44-D44)</f>
        <v>111.96000000000055</v>
      </c>
      <c r="G44" s="40">
        <f t="shared" ref="G44" si="14">D44*C44</f>
        <v>3272.04</v>
      </c>
      <c r="H44" s="232">
        <f t="shared" ref="H44" si="15">(E44-D44)/D44</f>
        <v>3.4217185608978053E-2</v>
      </c>
      <c r="I44" s="202" t="s">
        <v>379</v>
      </c>
      <c r="O44" s="83">
        <v>1.07</v>
      </c>
      <c r="P44" s="83">
        <f t="shared" si="9"/>
        <v>3.6273000000000004</v>
      </c>
      <c r="Q44" s="2"/>
      <c r="T44" s="93" t="s">
        <v>99</v>
      </c>
      <c r="U44" s="88">
        <v>3.8</v>
      </c>
      <c r="W44" s="110">
        <v>42619</v>
      </c>
      <c r="X44" s="9">
        <v>4.62</v>
      </c>
      <c r="Y44" s="9">
        <v>4.71</v>
      </c>
      <c r="Z44" s="9">
        <v>4.5599999999999996</v>
      </c>
      <c r="AA44" s="9">
        <v>4.68</v>
      </c>
      <c r="AB44" s="104">
        <v>19632700</v>
      </c>
      <c r="AC44" s="9">
        <v>4.57</v>
      </c>
      <c r="AD44" s="40">
        <f t="shared" si="1"/>
        <v>0.15000000000000036</v>
      </c>
      <c r="AE44" s="162">
        <f t="shared" si="2"/>
        <v>2.4663677130045025E-2</v>
      </c>
    </row>
    <row r="45" spans="2:31" x14ac:dyDescent="0.25">
      <c r="B45" s="193">
        <v>42661</v>
      </c>
      <c r="C45" s="10">
        <v>800</v>
      </c>
      <c r="D45" s="202">
        <v>4.0900499999999997</v>
      </c>
      <c r="E45" s="40">
        <v>4.08</v>
      </c>
      <c r="F45" s="236">
        <f t="shared" ref="F45:F48" si="16">C45*(E45-D45)</f>
        <v>-8.0399999999997362</v>
      </c>
      <c r="G45" s="40">
        <f t="shared" ref="G45:G48" si="17">D45*C45</f>
        <v>3272.04</v>
      </c>
      <c r="H45" s="232">
        <f t="shared" ref="H45:H48" si="18">(E45-D45)/D45</f>
        <v>-2.4571826750283423E-3</v>
      </c>
      <c r="I45" s="40"/>
      <c r="O45" s="83">
        <v>1.06</v>
      </c>
      <c r="P45" s="83">
        <f t="shared" si="9"/>
        <v>3.5934000000000004</v>
      </c>
      <c r="Q45" s="2"/>
      <c r="T45" s="93" t="s">
        <v>100</v>
      </c>
      <c r="U45" s="88" t="s">
        <v>536</v>
      </c>
      <c r="W45" s="110">
        <v>42615</v>
      </c>
      <c r="X45" s="9">
        <v>4.57</v>
      </c>
      <c r="Y45" s="9">
        <v>4.63</v>
      </c>
      <c r="Z45" s="9">
        <v>4.5</v>
      </c>
      <c r="AA45" s="9">
        <v>4.5599999999999996</v>
      </c>
      <c r="AB45" s="104">
        <v>15957400</v>
      </c>
      <c r="AC45" s="9">
        <v>4.46</v>
      </c>
      <c r="AD45" s="40">
        <f t="shared" si="1"/>
        <v>0.12999999999999989</v>
      </c>
      <c r="AE45" s="162">
        <f t="shared" si="2"/>
        <v>4.5045045045044585E-3</v>
      </c>
    </row>
    <row r="46" spans="2:31" x14ac:dyDescent="0.25">
      <c r="B46" s="193">
        <v>42670</v>
      </c>
      <c r="C46" s="237">
        <v>400</v>
      </c>
      <c r="D46" s="585">
        <v>3.9802</v>
      </c>
      <c r="E46" s="40">
        <v>4.17</v>
      </c>
      <c r="F46" s="236">
        <f t="shared" si="16"/>
        <v>75.919999999999987</v>
      </c>
      <c r="G46" s="40">
        <f t="shared" si="17"/>
        <v>1592.08</v>
      </c>
      <c r="H46" s="232">
        <f t="shared" si="18"/>
        <v>4.7686045927340326E-2</v>
      </c>
      <c r="I46" s="585">
        <v>3.9</v>
      </c>
      <c r="O46" s="83">
        <v>1.05</v>
      </c>
      <c r="P46" s="83">
        <f t="shared" si="9"/>
        <v>3.5595000000000003</v>
      </c>
      <c r="Q46" s="2"/>
      <c r="T46" s="93" t="s">
        <v>101</v>
      </c>
      <c r="U46" s="88" t="s">
        <v>537</v>
      </c>
      <c r="W46" s="110">
        <v>42614</v>
      </c>
      <c r="X46" s="9">
        <v>4.62</v>
      </c>
      <c r="Y46" s="9">
        <v>4.6399999999999997</v>
      </c>
      <c r="Z46" s="9">
        <v>4.5199999999999996</v>
      </c>
      <c r="AA46" s="9">
        <v>4.54</v>
      </c>
      <c r="AB46" s="104">
        <v>19165700</v>
      </c>
      <c r="AC46" s="9">
        <v>4.4400000000000004</v>
      </c>
      <c r="AD46" s="40">
        <f t="shared" si="1"/>
        <v>0.12000000000000011</v>
      </c>
      <c r="AE46" s="162">
        <f t="shared" si="2"/>
        <v>-1.3333333333333197E-2</v>
      </c>
    </row>
    <row r="47" spans="2:31" x14ac:dyDescent="0.25">
      <c r="B47" s="193">
        <v>42674</v>
      </c>
      <c r="C47" s="7">
        <v>800</v>
      </c>
      <c r="D47" s="582">
        <v>4.0000999999999998</v>
      </c>
      <c r="E47" s="40">
        <v>4.0199999999999996</v>
      </c>
      <c r="F47" s="236">
        <f t="shared" si="16"/>
        <v>15.919999999999845</v>
      </c>
      <c r="G47" s="40">
        <f t="shared" si="17"/>
        <v>3200.08</v>
      </c>
      <c r="H47" s="232">
        <f t="shared" si="18"/>
        <v>4.9748756281092496E-3</v>
      </c>
      <c r="I47" s="582" t="s">
        <v>456</v>
      </c>
      <c r="O47" s="83">
        <v>1.04</v>
      </c>
      <c r="P47" s="83">
        <f t="shared" si="9"/>
        <v>3.5256000000000003</v>
      </c>
      <c r="Q47" s="2"/>
      <c r="T47" s="93" t="s">
        <v>102</v>
      </c>
      <c r="U47" s="88">
        <v>5.58</v>
      </c>
      <c r="W47" s="110">
        <v>42613</v>
      </c>
      <c r="X47" s="9">
        <v>4.58</v>
      </c>
      <c r="Y47" s="9">
        <v>4.66</v>
      </c>
      <c r="Z47" s="9">
        <v>4.58</v>
      </c>
      <c r="AA47" s="9">
        <v>4.5999999999999996</v>
      </c>
      <c r="AB47" s="104">
        <v>11228100</v>
      </c>
      <c r="AC47" s="9">
        <v>4.5</v>
      </c>
      <c r="AD47" s="40">
        <f t="shared" si="1"/>
        <v>8.0000000000000071E-2</v>
      </c>
      <c r="AE47" s="162">
        <f t="shared" si="2"/>
        <v>-6.6225165562914245E-3</v>
      </c>
    </row>
    <row r="48" spans="2:31" x14ac:dyDescent="0.25">
      <c r="B48" s="193">
        <v>42676</v>
      </c>
      <c r="C48" s="10">
        <v>1100</v>
      </c>
      <c r="D48" s="202">
        <v>3.8882500000000002</v>
      </c>
      <c r="E48" s="40">
        <v>3.39</v>
      </c>
      <c r="F48" s="236">
        <f t="shared" si="16"/>
        <v>-548.07500000000005</v>
      </c>
      <c r="G48" s="40">
        <f t="shared" si="17"/>
        <v>4277.0749999999998</v>
      </c>
      <c r="H48" s="232">
        <f t="shared" si="18"/>
        <v>-0.12814248055037614</v>
      </c>
      <c r="I48" s="40"/>
      <c r="O48" s="83">
        <v>1.03</v>
      </c>
      <c r="P48" s="83">
        <f t="shared" si="9"/>
        <v>3.4917000000000002</v>
      </c>
      <c r="Q48" s="2"/>
      <c r="T48" s="93" t="s">
        <v>103</v>
      </c>
      <c r="U48" s="88">
        <v>0.74428399999999995</v>
      </c>
      <c r="W48" s="110">
        <v>42612</v>
      </c>
      <c r="X48" s="9">
        <v>4.6500000000000004</v>
      </c>
      <c r="Y48" s="9">
        <v>4.71</v>
      </c>
      <c r="Z48" s="9">
        <v>4.62</v>
      </c>
      <c r="AA48" s="9">
        <v>4.63</v>
      </c>
      <c r="AB48" s="104">
        <v>12559700</v>
      </c>
      <c r="AC48" s="9">
        <v>4.53</v>
      </c>
      <c r="AD48" s="40">
        <f t="shared" si="1"/>
        <v>8.9999999999999858E-2</v>
      </c>
      <c r="AE48" s="162">
        <f t="shared" si="2"/>
        <v>-4.395604395604269E-3</v>
      </c>
    </row>
    <row r="49" spans="1:31" x14ac:dyDescent="0.25">
      <c r="B49" s="193"/>
      <c r="C49" s="10"/>
      <c r="D49" s="202"/>
      <c r="E49" s="40"/>
      <c r="F49" s="236"/>
      <c r="G49" s="40"/>
      <c r="H49" s="232"/>
      <c r="I49" s="40"/>
      <c r="O49" s="83">
        <v>1.02</v>
      </c>
      <c r="P49" s="83">
        <f t="shared" si="9"/>
        <v>3.4578000000000002</v>
      </c>
      <c r="Q49" s="2"/>
      <c r="T49" s="93" t="s">
        <v>104</v>
      </c>
      <c r="U49" s="88" t="s">
        <v>129</v>
      </c>
      <c r="W49" s="110">
        <v>42611</v>
      </c>
      <c r="X49" s="9">
        <v>4.6399999999999997</v>
      </c>
      <c r="Y49" s="9">
        <v>4.71</v>
      </c>
      <c r="Z49" s="9">
        <v>4.62</v>
      </c>
      <c r="AA49" s="9">
        <v>4.66</v>
      </c>
      <c r="AB49" s="104">
        <v>13947700</v>
      </c>
      <c r="AC49" s="9">
        <v>4.55</v>
      </c>
      <c r="AD49" s="40">
        <f t="shared" si="1"/>
        <v>8.9999999999999858E-2</v>
      </c>
      <c r="AE49" s="162">
        <f t="shared" si="2"/>
        <v>8.8691796008868451E-3</v>
      </c>
    </row>
    <row r="50" spans="1:31" x14ac:dyDescent="0.25">
      <c r="B50" s="193"/>
      <c r="C50" s="10"/>
      <c r="D50" s="202"/>
      <c r="E50" s="40"/>
      <c r="F50" s="236"/>
      <c r="G50" s="40"/>
      <c r="H50" s="232"/>
      <c r="I50" s="40"/>
      <c r="O50" s="83">
        <v>1.01</v>
      </c>
      <c r="P50" s="83">
        <f t="shared" si="9"/>
        <v>3.4239000000000002</v>
      </c>
      <c r="Q50" s="2"/>
      <c r="T50" s="93"/>
      <c r="U50" s="88"/>
      <c r="W50" s="110">
        <v>42608</v>
      </c>
      <c r="X50" s="9">
        <v>4.6500000000000004</v>
      </c>
      <c r="Y50" s="9">
        <v>4.67</v>
      </c>
      <c r="Z50" s="9">
        <v>4.5999999999999996</v>
      </c>
      <c r="AA50" s="9">
        <v>4.6100000000000003</v>
      </c>
      <c r="AB50" s="104">
        <v>14266700</v>
      </c>
      <c r="AC50" s="9">
        <v>4.51</v>
      </c>
      <c r="AD50" s="40">
        <f t="shared" si="1"/>
        <v>7.0000000000000284E-2</v>
      </c>
      <c r="AE50" s="162">
        <f t="shared" si="2"/>
        <v>-2.2123893805309214E-3</v>
      </c>
    </row>
    <row r="51" spans="1:31" x14ac:dyDescent="0.25">
      <c r="B51" s="193"/>
      <c r="C51" s="10"/>
      <c r="D51" s="202"/>
      <c r="E51" s="40"/>
      <c r="F51" s="236"/>
      <c r="G51" s="40"/>
      <c r="H51" s="232"/>
      <c r="I51" s="40"/>
      <c r="O51" s="83">
        <v>1</v>
      </c>
      <c r="P51" s="83">
        <f t="shared" si="9"/>
        <v>3.39</v>
      </c>
      <c r="Q51" s="2"/>
      <c r="T51" s="93" t="s">
        <v>105</v>
      </c>
      <c r="U51" s="88" t="s">
        <v>538</v>
      </c>
      <c r="W51" s="110">
        <v>42607</v>
      </c>
      <c r="X51" s="9">
        <v>4.67</v>
      </c>
      <c r="Y51" s="9">
        <v>4.6900000000000004</v>
      </c>
      <c r="Z51" s="9">
        <v>4.6100000000000003</v>
      </c>
      <c r="AA51" s="9">
        <v>4.62</v>
      </c>
      <c r="AB51" s="104">
        <v>9960900</v>
      </c>
      <c r="AC51" s="9">
        <v>4.5199999999999996</v>
      </c>
      <c r="AD51" s="40">
        <f t="shared" si="1"/>
        <v>8.0000000000000071E-2</v>
      </c>
      <c r="AE51" s="162">
        <f t="shared" si="2"/>
        <v>-6.593406593406681E-3</v>
      </c>
    </row>
    <row r="52" spans="1:31" x14ac:dyDescent="0.25">
      <c r="B52" s="193"/>
      <c r="C52" s="10"/>
      <c r="D52" s="202"/>
      <c r="E52" s="40"/>
      <c r="F52" s="236"/>
      <c r="G52" s="40"/>
      <c r="H52" s="232"/>
      <c r="I52" s="40"/>
      <c r="O52" s="83">
        <v>0.99</v>
      </c>
      <c r="P52" s="83">
        <f t="shared" si="9"/>
        <v>3.3561000000000001</v>
      </c>
      <c r="Q52" s="2"/>
      <c r="T52" s="93" t="s">
        <v>106</v>
      </c>
      <c r="U52" s="88" t="s">
        <v>539</v>
      </c>
      <c r="W52" s="110">
        <v>42606</v>
      </c>
      <c r="X52" s="9">
        <v>4.6500000000000004</v>
      </c>
      <c r="Y52" s="9">
        <v>4.7</v>
      </c>
      <c r="Z52" s="9">
        <v>4.6399999999999997</v>
      </c>
      <c r="AA52" s="9">
        <v>4.66</v>
      </c>
      <c r="AB52" s="104">
        <v>11191600</v>
      </c>
      <c r="AC52" s="9">
        <v>4.55</v>
      </c>
      <c r="AD52" s="40">
        <f t="shared" si="1"/>
        <v>6.0000000000000497E-2</v>
      </c>
      <c r="AE52" s="162">
        <f t="shared" si="2"/>
        <v>2.2026431718060735E-3</v>
      </c>
    </row>
    <row r="53" spans="1:31" x14ac:dyDescent="0.25">
      <c r="B53" s="193"/>
      <c r="C53" s="10"/>
      <c r="D53" s="202"/>
      <c r="E53" s="40"/>
      <c r="F53" s="236"/>
      <c r="G53" s="40"/>
      <c r="H53" s="232"/>
      <c r="I53" s="40"/>
      <c r="O53" s="83">
        <v>0.98</v>
      </c>
      <c r="P53" s="83">
        <f t="shared" si="9"/>
        <v>3.3222</v>
      </c>
      <c r="Q53" s="2"/>
      <c r="T53" s="93" t="s">
        <v>107</v>
      </c>
      <c r="U53" s="90">
        <v>85892107</v>
      </c>
      <c r="W53" s="110">
        <v>42605</v>
      </c>
      <c r="X53" s="9">
        <v>4.6900000000000004</v>
      </c>
      <c r="Y53" s="9">
        <v>4.7</v>
      </c>
      <c r="Z53" s="9">
        <v>4.62</v>
      </c>
      <c r="AA53" s="9">
        <v>4.6500000000000004</v>
      </c>
      <c r="AB53" s="104">
        <v>12520900</v>
      </c>
      <c r="AC53" s="9">
        <v>4.54</v>
      </c>
      <c r="AD53" s="40">
        <f t="shared" si="1"/>
        <v>8.0000000000000071E-2</v>
      </c>
      <c r="AE53" s="162">
        <f t="shared" si="2"/>
        <v>0</v>
      </c>
    </row>
    <row r="54" spans="1:31" x14ac:dyDescent="0.25">
      <c r="B54" s="193"/>
      <c r="C54" s="10"/>
      <c r="D54" s="202"/>
      <c r="E54" s="40"/>
      <c r="F54" s="236"/>
      <c r="G54" s="40"/>
      <c r="H54" s="232"/>
      <c r="I54" s="40"/>
      <c r="O54" s="83">
        <v>0.97</v>
      </c>
      <c r="P54" s="83">
        <f t="shared" si="9"/>
        <v>3.2883</v>
      </c>
      <c r="T54" s="93" t="s">
        <v>110</v>
      </c>
      <c r="U54" s="90">
        <v>19993600</v>
      </c>
      <c r="W54" s="110">
        <v>42604</v>
      </c>
      <c r="X54" s="9">
        <v>4.72</v>
      </c>
      <c r="Y54" s="9">
        <v>4.72</v>
      </c>
      <c r="Z54" s="9">
        <v>4.6100000000000003</v>
      </c>
      <c r="AA54" s="9">
        <v>4.6399999999999997</v>
      </c>
      <c r="AB54" s="104">
        <v>17513400</v>
      </c>
      <c r="AC54" s="9">
        <v>4.54</v>
      </c>
      <c r="AD54" s="40">
        <f t="shared" si="1"/>
        <v>0.10999999999999943</v>
      </c>
      <c r="AE54" s="162">
        <f t="shared" si="2"/>
        <v>-8.733624454148492E-3</v>
      </c>
    </row>
    <row r="55" spans="1:31" x14ac:dyDescent="0.25">
      <c r="B55" s="193"/>
      <c r="C55" s="10"/>
      <c r="D55" s="202"/>
      <c r="E55" s="40"/>
      <c r="F55" s="236"/>
      <c r="G55" s="40"/>
      <c r="H55" s="232"/>
      <c r="I55" s="40"/>
      <c r="O55" s="83">
        <v>0.96</v>
      </c>
      <c r="P55" s="83">
        <f t="shared" si="9"/>
        <v>3.2544</v>
      </c>
      <c r="T55" s="93" t="s">
        <v>108</v>
      </c>
      <c r="U55" s="88" t="s">
        <v>540</v>
      </c>
      <c r="W55" s="110">
        <v>42601</v>
      </c>
      <c r="X55" s="9">
        <v>4.8</v>
      </c>
      <c r="Y55" s="9">
        <v>4.8099999999999996</v>
      </c>
      <c r="Z55" s="9">
        <v>4.66</v>
      </c>
      <c r="AA55" s="9">
        <v>4.6900000000000004</v>
      </c>
      <c r="AB55" s="104">
        <v>16956700</v>
      </c>
      <c r="AC55" s="9">
        <v>4.58</v>
      </c>
      <c r="AD55" s="40">
        <f t="shared" si="1"/>
        <v>0.14999999999999947</v>
      </c>
      <c r="AE55" s="162">
        <f t="shared" si="2"/>
        <v>-1.9271948608136968E-2</v>
      </c>
    </row>
    <row r="56" spans="1:31" x14ac:dyDescent="0.25">
      <c r="O56" s="83">
        <v>0.95</v>
      </c>
      <c r="P56" s="83">
        <f t="shared" si="9"/>
        <v>3.2204999999999999</v>
      </c>
      <c r="T56" s="93" t="s">
        <v>111</v>
      </c>
      <c r="U56" s="88" t="s">
        <v>129</v>
      </c>
      <c r="W56" s="110">
        <v>42600</v>
      </c>
      <c r="X56" s="9">
        <v>4.7699999999999996</v>
      </c>
      <c r="Y56" s="9">
        <v>4.8</v>
      </c>
      <c r="Z56" s="9">
        <v>4.71</v>
      </c>
      <c r="AA56" s="9">
        <v>4.78</v>
      </c>
      <c r="AB56" s="104">
        <v>17829600</v>
      </c>
      <c r="AC56" s="9">
        <v>4.67</v>
      </c>
      <c r="AD56" s="40">
        <f t="shared" si="1"/>
        <v>8.9999999999999858E-2</v>
      </c>
      <c r="AE56" s="162">
        <f t="shared" si="2"/>
        <v>1.3015184381778733E-2</v>
      </c>
    </row>
    <row r="57" spans="1:31" x14ac:dyDescent="0.25">
      <c r="L57" t="s">
        <v>218</v>
      </c>
      <c r="M57" s="2">
        <f>K75+M75-F75</f>
        <v>434.93000000000029</v>
      </c>
      <c r="O57" s="83">
        <v>0.94</v>
      </c>
      <c r="P57" s="83">
        <f t="shared" si="9"/>
        <v>3.1865999999999999</v>
      </c>
      <c r="T57" s="93" t="s">
        <v>112</v>
      </c>
      <c r="U57" s="88">
        <v>-0.49</v>
      </c>
      <c r="W57" s="110">
        <v>42599</v>
      </c>
      <c r="X57" s="9">
        <v>4.8499999999999996</v>
      </c>
      <c r="Y57" s="9">
        <v>4.87</v>
      </c>
      <c r="Z57" s="9">
        <v>4.71</v>
      </c>
      <c r="AA57" s="9">
        <v>4.72</v>
      </c>
      <c r="AB57" s="104">
        <v>28260500</v>
      </c>
      <c r="AC57" s="9">
        <v>4.6100000000000003</v>
      </c>
      <c r="AD57" s="40">
        <f t="shared" si="1"/>
        <v>0.16000000000000014</v>
      </c>
      <c r="AE57" s="162">
        <f t="shared" si="2"/>
        <v>-2.7426160337552741E-2</v>
      </c>
    </row>
    <row r="58" spans="1:31" x14ac:dyDescent="0.25">
      <c r="A58" s="390" t="s">
        <v>1</v>
      </c>
      <c r="B58" s="390" t="s">
        <v>2</v>
      </c>
      <c r="C58" s="390" t="s">
        <v>4</v>
      </c>
      <c r="D58" s="392" t="s">
        <v>5</v>
      </c>
      <c r="E58" s="392" t="s">
        <v>94</v>
      </c>
      <c r="F58" s="392" t="s">
        <v>60</v>
      </c>
      <c r="G58" s="390" t="s">
        <v>3</v>
      </c>
      <c r="H58" s="390" t="s">
        <v>6</v>
      </c>
      <c r="I58" s="392" t="s">
        <v>7</v>
      </c>
      <c r="J58" s="392" t="s">
        <v>95</v>
      </c>
      <c r="K58" s="392" t="s">
        <v>61</v>
      </c>
      <c r="L58" s="390" t="s">
        <v>37</v>
      </c>
      <c r="M58" s="390" t="s">
        <v>38</v>
      </c>
      <c r="O58" s="83">
        <v>0.93</v>
      </c>
      <c r="P58" s="83">
        <f t="shared" si="9"/>
        <v>3.1527000000000003</v>
      </c>
      <c r="T58" s="93" t="s">
        <v>109</v>
      </c>
      <c r="U58" s="88" t="s">
        <v>436</v>
      </c>
      <c r="W58" s="110">
        <v>42598</v>
      </c>
      <c r="X58" s="9">
        <v>4.91</v>
      </c>
      <c r="Y58" s="9">
        <v>4.91</v>
      </c>
      <c r="Z58" s="9">
        <v>4.84</v>
      </c>
      <c r="AA58" s="9">
        <v>4.8499999999999996</v>
      </c>
      <c r="AB58" s="104">
        <v>13670600</v>
      </c>
      <c r="AC58" s="9">
        <v>4.74</v>
      </c>
      <c r="AD58" s="40">
        <f t="shared" si="1"/>
        <v>7.0000000000000284E-2</v>
      </c>
      <c r="AE58" s="162">
        <f t="shared" si="2"/>
        <v>-1.0438413361169019E-2</v>
      </c>
    </row>
    <row r="59" spans="1:31" x14ac:dyDescent="0.25">
      <c r="A59" s="393" t="s">
        <v>9</v>
      </c>
      <c r="B59" s="383">
        <v>42356</v>
      </c>
      <c r="C59" s="384">
        <v>250</v>
      </c>
      <c r="D59" s="385">
        <v>4.45</v>
      </c>
      <c r="E59" s="385">
        <v>0</v>
      </c>
      <c r="F59" s="385">
        <f>C59*D59+E59</f>
        <v>1112.5</v>
      </c>
      <c r="G59" s="383">
        <v>42398</v>
      </c>
      <c r="H59" s="388">
        <v>250</v>
      </c>
      <c r="I59" s="385">
        <v>4.5199999999999996</v>
      </c>
      <c r="J59" s="385">
        <v>0.02</v>
      </c>
      <c r="K59" s="385">
        <f>H59*I59-J59</f>
        <v>1129.98</v>
      </c>
      <c r="L59" s="384"/>
      <c r="M59" s="384"/>
      <c r="O59" s="83">
        <v>0.92</v>
      </c>
      <c r="P59" s="83">
        <f t="shared" si="9"/>
        <v>3.1188000000000002</v>
      </c>
      <c r="W59" s="110">
        <v>42597</v>
      </c>
      <c r="X59" s="9">
        <v>4.8499999999999996</v>
      </c>
      <c r="Y59" s="9">
        <v>4.9000000000000004</v>
      </c>
      <c r="Z59" s="9">
        <v>4.83</v>
      </c>
      <c r="AA59" s="9">
        <v>4.9000000000000004</v>
      </c>
      <c r="AB59" s="104">
        <v>15472800</v>
      </c>
      <c r="AC59" s="9">
        <v>4.79</v>
      </c>
      <c r="AD59" s="40">
        <f t="shared" si="1"/>
        <v>7.0000000000000284E-2</v>
      </c>
      <c r="AE59" s="162">
        <f t="shared" si="2"/>
        <v>1.0548523206751037E-2</v>
      </c>
    </row>
    <row r="60" spans="1:31" x14ac:dyDescent="0.25">
      <c r="A60" s="394"/>
      <c r="B60" s="383">
        <v>42382</v>
      </c>
      <c r="C60" s="384">
        <v>250</v>
      </c>
      <c r="D60" s="385">
        <v>4.25</v>
      </c>
      <c r="E60" s="385">
        <v>0</v>
      </c>
      <c r="F60" s="385">
        <f>C60*D60+E60</f>
        <v>1062.5</v>
      </c>
      <c r="G60" s="383">
        <v>42418</v>
      </c>
      <c r="H60" s="388">
        <v>250</v>
      </c>
      <c r="I60" s="385">
        <v>4.45</v>
      </c>
      <c r="J60" s="385">
        <v>0.02</v>
      </c>
      <c r="K60" s="385">
        <f>H60*I60-J60</f>
        <v>1112.48</v>
      </c>
      <c r="L60" s="384"/>
      <c r="M60" s="384"/>
      <c r="O60" s="83">
        <v>0.91</v>
      </c>
      <c r="P60" s="83">
        <f t="shared" si="9"/>
        <v>3.0849000000000002</v>
      </c>
      <c r="W60" s="110">
        <v>42594</v>
      </c>
      <c r="X60" s="9">
        <v>4.8499999999999996</v>
      </c>
      <c r="Y60" s="9">
        <v>4.87</v>
      </c>
      <c r="Z60" s="9">
        <v>4.82</v>
      </c>
      <c r="AA60" s="9">
        <v>4.8499999999999996</v>
      </c>
      <c r="AB60" s="104">
        <v>14199400</v>
      </c>
      <c r="AC60" s="9">
        <v>4.74</v>
      </c>
      <c r="AD60" s="40">
        <f t="shared" si="1"/>
        <v>4.9999999999999822E-2</v>
      </c>
      <c r="AE60" s="162">
        <f t="shared" si="2"/>
        <v>0</v>
      </c>
    </row>
    <row r="61" spans="1:31" x14ac:dyDescent="0.25">
      <c r="A61" s="384"/>
      <c r="B61" s="383">
        <v>42402</v>
      </c>
      <c r="C61" s="384">
        <v>250</v>
      </c>
      <c r="D61" s="385">
        <v>4.3600000000000003</v>
      </c>
      <c r="E61" s="385">
        <v>0</v>
      </c>
      <c r="F61" s="385">
        <f>C61*D61+E61</f>
        <v>1090</v>
      </c>
      <c r="G61" s="383">
        <v>42436</v>
      </c>
      <c r="H61" s="388">
        <v>250</v>
      </c>
      <c r="I61" s="385">
        <v>5.83</v>
      </c>
      <c r="J61" s="385">
        <v>0.03</v>
      </c>
      <c r="K61" s="385">
        <f>H61*I61-J61</f>
        <v>1457.47</v>
      </c>
      <c r="L61" s="384"/>
      <c r="M61" s="384"/>
      <c r="O61" s="83">
        <v>0.9</v>
      </c>
      <c r="P61" s="83">
        <f t="shared" si="9"/>
        <v>3.0510000000000002</v>
      </c>
      <c r="W61" s="110">
        <v>42593</v>
      </c>
      <c r="X61" s="9">
        <v>4.91</v>
      </c>
      <c r="Y61" s="9">
        <v>4.9400000000000004</v>
      </c>
      <c r="Z61" s="9">
        <v>4.8099999999999996</v>
      </c>
      <c r="AA61" s="9">
        <v>4.8499999999999996</v>
      </c>
      <c r="AB61" s="104">
        <v>15006800</v>
      </c>
      <c r="AC61" s="9">
        <v>4.74</v>
      </c>
      <c r="AD61" s="40">
        <f t="shared" si="1"/>
        <v>0.13000000000000078</v>
      </c>
      <c r="AE61" s="162">
        <f t="shared" si="2"/>
        <v>-6.2893081761005165E-3</v>
      </c>
    </row>
    <row r="62" spans="1:31" x14ac:dyDescent="0.25">
      <c r="A62" s="384"/>
      <c r="B62" s="383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10">
        <v>42592</v>
      </c>
      <c r="X62" s="9">
        <v>4.96</v>
      </c>
      <c r="Y62" s="9">
        <v>4.97</v>
      </c>
      <c r="Z62" s="9">
        <v>4.8600000000000003</v>
      </c>
      <c r="AA62" s="9">
        <v>4.88</v>
      </c>
      <c r="AB62" s="104">
        <v>17018900</v>
      </c>
      <c r="AC62" s="9">
        <v>4.7699999999999996</v>
      </c>
      <c r="AD62" s="40">
        <f t="shared" si="1"/>
        <v>0.10999999999999943</v>
      </c>
      <c r="AE62" s="162">
        <f t="shared" si="2"/>
        <v>-1.4462809917355379E-2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10">
        <v>42591</v>
      </c>
      <c r="X63" s="9">
        <v>4.95</v>
      </c>
      <c r="Y63" s="9">
        <v>4.9800000000000004</v>
      </c>
      <c r="Z63" s="9">
        <v>4.88</v>
      </c>
      <c r="AA63" s="9">
        <v>4.95</v>
      </c>
      <c r="AB63" s="104">
        <v>16059800</v>
      </c>
      <c r="AC63" s="9">
        <v>4.84</v>
      </c>
      <c r="AD63" s="40">
        <f t="shared" si="1"/>
        <v>0.10000000000000053</v>
      </c>
      <c r="AE63" s="162">
        <f t="shared" si="2"/>
        <v>4.1493775933609811E-3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10">
        <v>42590</v>
      </c>
      <c r="X64" s="9">
        <v>4.88</v>
      </c>
      <c r="Y64" s="9">
        <v>4.95</v>
      </c>
      <c r="Z64" s="9">
        <v>4.87</v>
      </c>
      <c r="AA64" s="9">
        <v>4.93</v>
      </c>
      <c r="AB64" s="104">
        <v>14709700</v>
      </c>
      <c r="AC64" s="9">
        <v>4.82</v>
      </c>
      <c r="AD64" s="40">
        <f t="shared" si="1"/>
        <v>8.0000000000000071E-2</v>
      </c>
      <c r="AE64" s="162">
        <f t="shared" si="2"/>
        <v>1.4736842105263159E-2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8"/>
      <c r="I65" s="385"/>
      <c r="J65" s="385"/>
      <c r="K65" s="385"/>
      <c r="L65" s="384"/>
      <c r="M65" s="384"/>
      <c r="W65" s="110">
        <v>42587</v>
      </c>
      <c r="X65" s="9">
        <v>4.96</v>
      </c>
      <c r="Y65" s="9">
        <v>4.9800000000000004</v>
      </c>
      <c r="Z65" s="9">
        <v>4.8499999999999996</v>
      </c>
      <c r="AA65" s="9">
        <v>4.8600000000000003</v>
      </c>
      <c r="AB65" s="104">
        <v>22395000</v>
      </c>
      <c r="AC65" s="9">
        <v>4.75</v>
      </c>
      <c r="AD65" s="40">
        <f t="shared" si="1"/>
        <v>0.13000000000000078</v>
      </c>
      <c r="AE65" s="162">
        <f t="shared" si="2"/>
        <v>-1.4522821576763545E-2</v>
      </c>
    </row>
    <row r="66" spans="1:31" x14ac:dyDescent="0.25">
      <c r="A66" s="384"/>
      <c r="B66" s="384"/>
      <c r="C66" s="384"/>
      <c r="D66" s="385"/>
      <c r="E66" s="385"/>
      <c r="F66" s="385"/>
      <c r="G66" s="384"/>
      <c r="H66" s="388"/>
      <c r="I66" s="385"/>
      <c r="J66" s="385"/>
      <c r="K66" s="385"/>
      <c r="L66" s="384"/>
      <c r="M66" s="384"/>
      <c r="W66" s="110">
        <v>42586</v>
      </c>
      <c r="X66" s="9">
        <v>4.88</v>
      </c>
      <c r="Y66" s="9">
        <v>4.96</v>
      </c>
      <c r="Z66" s="9">
        <v>4.7699999999999996</v>
      </c>
      <c r="AA66" s="9">
        <v>4.93</v>
      </c>
      <c r="AB66" s="104">
        <v>27512400</v>
      </c>
      <c r="AC66" s="9">
        <v>4.82</v>
      </c>
      <c r="AD66" s="40">
        <f t="shared" si="1"/>
        <v>0.19000000000000039</v>
      </c>
      <c r="AE66" s="162">
        <f t="shared" si="2"/>
        <v>2.3354564755838636E-2</v>
      </c>
    </row>
    <row r="67" spans="1:31" x14ac:dyDescent="0.25">
      <c r="A67" s="384"/>
      <c r="B67" s="384"/>
      <c r="C67" s="384"/>
      <c r="D67" s="385"/>
      <c r="E67" s="385"/>
      <c r="F67" s="385"/>
      <c r="G67" s="384"/>
      <c r="H67" s="384"/>
      <c r="I67" s="385"/>
      <c r="J67" s="385"/>
      <c r="K67" s="385"/>
      <c r="L67" s="384"/>
      <c r="M67" s="384"/>
      <c r="W67" s="110">
        <v>42585</v>
      </c>
      <c r="X67" s="9">
        <v>4.8499999999999996</v>
      </c>
      <c r="Y67" s="9">
        <v>4.87</v>
      </c>
      <c r="Z67" s="9">
        <v>4.76</v>
      </c>
      <c r="AA67" s="9">
        <v>4.82</v>
      </c>
      <c r="AB67" s="104">
        <v>27920700</v>
      </c>
      <c r="AC67" s="9">
        <v>4.71</v>
      </c>
      <c r="AD67" s="40">
        <f>Y67-Z67</f>
        <v>0.11000000000000032</v>
      </c>
      <c r="AE67" s="162">
        <f>AC67/AC68-1</f>
        <v>-6.3291139240506666E-3</v>
      </c>
    </row>
    <row r="68" spans="1:31" x14ac:dyDescent="0.25">
      <c r="A68" s="384"/>
      <c r="B68" s="384"/>
      <c r="C68" s="384"/>
      <c r="D68" s="385"/>
      <c r="E68" s="385"/>
      <c r="F68" s="385"/>
      <c r="G68" s="384"/>
      <c r="H68" s="384"/>
      <c r="I68" s="385"/>
      <c r="J68" s="385"/>
      <c r="K68" s="385"/>
      <c r="L68" s="384"/>
      <c r="M68" s="384"/>
      <c r="W68" s="110">
        <v>42584</v>
      </c>
      <c r="X68" s="9">
        <v>4.93</v>
      </c>
      <c r="Y68" s="9">
        <v>4.9400000000000004</v>
      </c>
      <c r="Z68" s="9">
        <v>4.66</v>
      </c>
      <c r="AA68" s="9">
        <v>4.8499999999999996</v>
      </c>
      <c r="AB68" s="104">
        <v>70072300</v>
      </c>
      <c r="AC68" s="9">
        <v>4.74</v>
      </c>
      <c r="AD68" s="40">
        <f>Y68-Z68</f>
        <v>0.28000000000000025</v>
      </c>
      <c r="AE68" s="162" t="e">
        <f>AC68/AC69-1</f>
        <v>#DIV/0!</v>
      </c>
    </row>
    <row r="69" spans="1:31" x14ac:dyDescent="0.25">
      <c r="A69" s="384"/>
      <c r="B69" s="384"/>
      <c r="C69" s="384"/>
      <c r="D69" s="385"/>
      <c r="E69" s="385"/>
      <c r="F69" s="385"/>
      <c r="G69" s="384"/>
      <c r="H69" s="384"/>
      <c r="I69" s="385"/>
      <c r="J69" s="385"/>
      <c r="K69" s="385"/>
      <c r="L69" s="384"/>
      <c r="M69" s="384"/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384"/>
      <c r="B70" s="384"/>
      <c r="C70" s="384"/>
      <c r="D70" s="385"/>
      <c r="E70" s="385"/>
      <c r="F70" s="385"/>
      <c r="G70" s="384"/>
      <c r="H70" s="384"/>
      <c r="I70" s="385"/>
      <c r="J70" s="385"/>
      <c r="K70" s="385"/>
      <c r="L70" s="384"/>
      <c r="M70" s="384"/>
    </row>
    <row r="71" spans="1:31" x14ac:dyDescent="0.25">
      <c r="A71" s="384"/>
      <c r="B71" s="384"/>
      <c r="C71" s="384"/>
      <c r="D71" s="385"/>
      <c r="E71" s="385"/>
      <c r="F71" s="385"/>
      <c r="G71" s="384"/>
      <c r="H71" s="384"/>
      <c r="I71" s="385"/>
      <c r="J71" s="385"/>
      <c r="K71" s="385"/>
      <c r="L71" s="384"/>
      <c r="M71" s="384"/>
    </row>
    <row r="72" spans="1:31" x14ac:dyDescent="0.25">
      <c r="A72" s="384"/>
      <c r="B72" s="384"/>
      <c r="C72" s="384"/>
      <c r="D72" s="385"/>
      <c r="E72" s="385"/>
      <c r="F72" s="385"/>
      <c r="G72" s="384"/>
      <c r="H72" s="384"/>
      <c r="I72" s="385"/>
      <c r="J72" s="385"/>
      <c r="K72" s="385"/>
      <c r="L72" s="384"/>
      <c r="M72" s="384"/>
    </row>
    <row r="73" spans="1:31" x14ac:dyDescent="0.25">
      <c r="A73" s="384"/>
      <c r="B73" s="384"/>
      <c r="C73" s="384"/>
      <c r="D73" s="385"/>
      <c r="E73" s="385"/>
      <c r="F73" s="385"/>
      <c r="G73" s="384"/>
      <c r="H73" s="384"/>
      <c r="I73" s="385"/>
      <c r="J73" s="385"/>
      <c r="K73" s="385"/>
      <c r="L73" s="384"/>
      <c r="M73" s="384"/>
    </row>
    <row r="74" spans="1:31" x14ac:dyDescent="0.25">
      <c r="A74" s="384"/>
      <c r="B74" s="384"/>
      <c r="C74" s="384"/>
      <c r="D74" s="385"/>
      <c r="E74" s="385"/>
      <c r="F74" s="385"/>
      <c r="G74" s="384"/>
      <c r="H74" s="388"/>
      <c r="I74" s="385"/>
      <c r="J74" s="385"/>
      <c r="K74" s="385"/>
      <c r="L74" s="384"/>
      <c r="M74" s="384"/>
    </row>
    <row r="75" spans="1:31" x14ac:dyDescent="0.25">
      <c r="A75" s="22" t="s">
        <v>81</v>
      </c>
      <c r="B75" s="12"/>
      <c r="C75" s="12">
        <f>SUM(C59:C62)</f>
        <v>750</v>
      </c>
      <c r="D75" s="13"/>
      <c r="E75" s="13"/>
      <c r="F75" s="13">
        <f>SUM(F59:F62)</f>
        <v>3265</v>
      </c>
      <c r="G75" s="12"/>
      <c r="H75" s="12">
        <f>SUM(H59:H62)</f>
        <v>750</v>
      </c>
      <c r="I75" s="13"/>
      <c r="J75" s="13"/>
      <c r="K75" s="13">
        <f>SUM(K59:K62)</f>
        <v>3699.9300000000003</v>
      </c>
      <c r="L75" s="12"/>
      <c r="M75" s="13">
        <f>SUM(M59:M62)</f>
        <v>0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34 F40:F55">
    <cfRule type="expression" dxfId="97" priority="19">
      <formula>F22&gt;0</formula>
    </cfRule>
    <cfRule type="expression" dxfId="96" priority="20">
      <formula>F22&lt;0</formula>
    </cfRule>
  </conditionalFormatting>
  <conditionalFormatting sqref="H22:H29">
    <cfRule type="expression" dxfId="95" priority="17">
      <formula>H22&gt;0</formula>
    </cfRule>
    <cfRule type="expression" dxfId="94" priority="18">
      <formula>H22&lt;0</formula>
    </cfRule>
  </conditionalFormatting>
  <conditionalFormatting sqref="H30">
    <cfRule type="expression" dxfId="93" priority="15">
      <formula>H30&gt;0</formula>
    </cfRule>
    <cfRule type="expression" dxfId="92" priority="16">
      <formula>H30&lt;0</formula>
    </cfRule>
  </conditionalFormatting>
  <conditionalFormatting sqref="H31:H34 H40:H55">
    <cfRule type="expression" dxfId="91" priority="13">
      <formula>H31&gt;0</formula>
    </cfRule>
    <cfRule type="expression" dxfId="90" priority="14">
      <formula>H31&lt;0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89" priority="5">
      <formula>Q8&gt;0</formula>
    </cfRule>
    <cfRule type="expression" dxfId="88" priority="6">
      <formula>Q8&lt;0</formula>
    </cfRule>
  </conditionalFormatting>
  <conditionalFormatting sqref="Q7">
    <cfRule type="expression" dxfId="87" priority="7">
      <formula>Q7&gt;0</formula>
    </cfRule>
    <cfRule type="expression" dxfId="86" priority="8">
      <formula>Q7&lt;0</formula>
    </cfRule>
  </conditionalFormatting>
  <conditionalFormatting sqref="F36:F39">
    <cfRule type="expression" dxfId="85" priority="3">
      <formula>F36&gt;0</formula>
    </cfRule>
    <cfRule type="expression" dxfId="84" priority="4">
      <formula>F36&lt;0</formula>
    </cfRule>
  </conditionalFormatting>
  <conditionalFormatting sqref="H36:H39">
    <cfRule type="expression" dxfId="83" priority="1">
      <formula>H36&gt;0</formula>
    </cfRule>
    <cfRule type="expression" dxfId="82" priority="2">
      <formula>H36&lt;0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0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3.7109375" customWidth="1"/>
    <col min="21" max="21" width="17.855468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126</v>
      </c>
      <c r="AE1" s="93" t="s">
        <v>128</v>
      </c>
    </row>
    <row r="2" spans="1:40" x14ac:dyDescent="0.25">
      <c r="A2" s="6" t="s">
        <v>55</v>
      </c>
      <c r="B2" s="473">
        <v>42214</v>
      </c>
      <c r="C2" s="7">
        <v>10</v>
      </c>
      <c r="D2" s="44">
        <v>113.01</v>
      </c>
      <c r="E2" s="44">
        <v>0</v>
      </c>
      <c r="F2" s="44">
        <f t="shared" ref="F2:F18" si="0">C2*D2 + E2</f>
        <v>1130.1000000000001</v>
      </c>
      <c r="G2" s="473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3">
        <v>42676</v>
      </c>
      <c r="X2" s="10">
        <v>74</v>
      </c>
      <c r="Y2" s="10">
        <v>74.349999999999994</v>
      </c>
      <c r="Z2" s="10">
        <v>72.45</v>
      </c>
      <c r="AA2" s="10">
        <v>72.510000000000005</v>
      </c>
      <c r="AB2" s="95">
        <v>14492900</v>
      </c>
      <c r="AC2" s="10">
        <v>72.510000000000005</v>
      </c>
      <c r="AD2" s="40">
        <f>Y2-Z2</f>
        <v>1.8999999999999915</v>
      </c>
      <c r="AE2" s="162">
        <f>AC2/AC3-1</f>
        <v>-2.1061158363709809E-2</v>
      </c>
    </row>
    <row r="3" spans="1:40" x14ac:dyDescent="0.25">
      <c r="A3" s="23" t="s">
        <v>71</v>
      </c>
      <c r="B3" s="473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73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82.091039999999992</v>
      </c>
      <c r="W3" s="133">
        <v>42675</v>
      </c>
      <c r="X3" s="10">
        <v>73.63</v>
      </c>
      <c r="Y3" s="10">
        <v>74.290000000000006</v>
      </c>
      <c r="Z3" s="10">
        <v>73.06</v>
      </c>
      <c r="AA3" s="10">
        <v>74.069999999999993</v>
      </c>
      <c r="AB3" s="95">
        <v>10420700</v>
      </c>
      <c r="AC3" s="10">
        <v>74.069999999999993</v>
      </c>
      <c r="AD3" s="40">
        <f t="shared" ref="AD3:AD66" si="1">Y3-Z3</f>
        <v>1.230000000000004</v>
      </c>
      <c r="AE3" s="162">
        <f t="shared" ref="AE3:AE66" si="2">AC3/AC4-1</f>
        <v>5.9758250713024541E-3</v>
      </c>
      <c r="AN3" s="234"/>
    </row>
    <row r="4" spans="1:40" x14ac:dyDescent="0.25">
      <c r="B4" s="473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73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8">
        <v>72.510000000000005</v>
      </c>
      <c r="R4" s="527">
        <v>-2.1100000000000001E-2</v>
      </c>
      <c r="W4" s="133">
        <v>42674</v>
      </c>
      <c r="X4" s="10">
        <v>74.09</v>
      </c>
      <c r="Y4" s="10">
        <v>74.44</v>
      </c>
      <c r="Z4" s="10">
        <v>73.55</v>
      </c>
      <c r="AA4" s="10">
        <v>73.63</v>
      </c>
      <c r="AB4" s="95">
        <v>8457000</v>
      </c>
      <c r="AC4" s="10">
        <v>73.63</v>
      </c>
      <c r="AD4" s="40">
        <f t="shared" si="1"/>
        <v>0.89000000000000057</v>
      </c>
      <c r="AE4" s="162">
        <f t="shared" si="2"/>
        <v>-3.3838657282079243E-3</v>
      </c>
    </row>
    <row r="5" spans="1:40" x14ac:dyDescent="0.25">
      <c r="B5" s="473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73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18127.5</v>
      </c>
      <c r="T5" s="1"/>
      <c r="W5" s="133">
        <v>42671</v>
      </c>
      <c r="X5" s="10">
        <v>74.75</v>
      </c>
      <c r="Y5" s="10">
        <v>74.78</v>
      </c>
      <c r="Z5" s="10">
        <v>73.23</v>
      </c>
      <c r="AA5" s="10">
        <v>73.88</v>
      </c>
      <c r="AB5" s="95">
        <v>13160000</v>
      </c>
      <c r="AC5" s="10">
        <v>73.88</v>
      </c>
      <c r="AD5" s="40">
        <f t="shared" si="1"/>
        <v>1.5499999999999972</v>
      </c>
      <c r="AE5" s="162">
        <f t="shared" si="2"/>
        <v>-2.5715416062244478E-2</v>
      </c>
      <c r="AK5" s="234"/>
      <c r="AN5" s="234"/>
    </row>
    <row r="6" spans="1:40" x14ac:dyDescent="0.25">
      <c r="B6" s="474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73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20522.759999999998</v>
      </c>
      <c r="W6" s="133">
        <v>42670</v>
      </c>
      <c r="X6" s="10">
        <v>75.930000000000007</v>
      </c>
      <c r="Y6" s="10">
        <v>76.36</v>
      </c>
      <c r="Z6" s="10">
        <v>75.64</v>
      </c>
      <c r="AA6" s="10">
        <v>75.83</v>
      </c>
      <c r="AB6" s="95">
        <v>9596400</v>
      </c>
      <c r="AC6" s="10">
        <v>75.83</v>
      </c>
      <c r="AD6" s="40">
        <f t="shared" si="1"/>
        <v>0.71999999999999886</v>
      </c>
      <c r="AE6" s="162">
        <f t="shared" si="2"/>
        <v>5.9697532501989947E-3</v>
      </c>
    </row>
    <row r="7" spans="1:40" x14ac:dyDescent="0.25">
      <c r="B7" s="473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72"/>
      <c r="H7" s="7"/>
      <c r="I7" s="7"/>
      <c r="J7" s="7"/>
      <c r="K7" s="7"/>
      <c r="O7" s="11" t="s">
        <v>184</v>
      </c>
      <c r="Q7" s="2">
        <f>Q10+Q8</f>
        <v>-2395.2599999999984</v>
      </c>
      <c r="R7">
        <v>150</v>
      </c>
      <c r="W7" s="133">
        <v>42669</v>
      </c>
      <c r="X7" s="10">
        <v>74.510000000000005</v>
      </c>
      <c r="Y7" s="10">
        <v>75.8</v>
      </c>
      <c r="Z7" s="10">
        <v>74.260000000000005</v>
      </c>
      <c r="AA7" s="10">
        <v>75.38</v>
      </c>
      <c r="AB7" s="95">
        <v>8333000</v>
      </c>
      <c r="AC7" s="10">
        <v>75.38</v>
      </c>
      <c r="AD7" s="40">
        <f t="shared" si="1"/>
        <v>1.539999999999992</v>
      </c>
      <c r="AE7" s="162">
        <f t="shared" si="2"/>
        <v>1.3035882273887855E-2</v>
      </c>
    </row>
    <row r="8" spans="1:40" x14ac:dyDescent="0.25">
      <c r="B8" s="473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72"/>
      <c r="H8" s="82"/>
      <c r="I8" s="7"/>
      <c r="J8" s="7"/>
      <c r="K8" s="7"/>
      <c r="O8" s="11" t="s">
        <v>187</v>
      </c>
      <c r="P8" s="34"/>
      <c r="Q8" s="2">
        <f>K31+M31-F31+Q2*Q4</f>
        <v>-2395.2599999999984</v>
      </c>
      <c r="T8" s="1"/>
      <c r="W8" s="133">
        <v>42668</v>
      </c>
      <c r="X8" s="10">
        <v>74.040000000000006</v>
      </c>
      <c r="Y8" s="10">
        <v>74.680000000000007</v>
      </c>
      <c r="Z8" s="10">
        <v>73.91</v>
      </c>
      <c r="AA8" s="10">
        <v>74.41</v>
      </c>
      <c r="AB8" s="95">
        <v>6140800</v>
      </c>
      <c r="AC8" s="10">
        <v>74.41</v>
      </c>
      <c r="AD8" s="40">
        <f t="shared" si="1"/>
        <v>0.77000000000001023</v>
      </c>
      <c r="AE8" s="162">
        <f t="shared" si="2"/>
        <v>3.5064059339176001E-3</v>
      </c>
    </row>
    <row r="9" spans="1:40" x14ac:dyDescent="0.25">
      <c r="A9" s="426"/>
      <c r="B9" s="473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72"/>
      <c r="H9" s="7"/>
      <c r="I9" s="7"/>
      <c r="J9" s="7"/>
      <c r="K9" s="7"/>
      <c r="O9" s="11" t="s">
        <v>219</v>
      </c>
      <c r="Q9" s="138">
        <f>IF(Q2=0, 0, Q8/Q6)</f>
        <v>-0.11671237202013757</v>
      </c>
      <c r="W9" s="133">
        <v>42667</v>
      </c>
      <c r="X9" s="10">
        <v>74.510000000000005</v>
      </c>
      <c r="Y9" s="10">
        <v>74.78</v>
      </c>
      <c r="Z9" s="10">
        <v>73.739999999999995</v>
      </c>
      <c r="AA9" s="10">
        <v>74.150000000000006</v>
      </c>
      <c r="AB9" s="95">
        <v>7404000</v>
      </c>
      <c r="AC9" s="10">
        <v>74.150000000000006</v>
      </c>
      <c r="AD9" s="40">
        <f t="shared" si="1"/>
        <v>1.0400000000000063</v>
      </c>
      <c r="AE9" s="162">
        <f t="shared" si="2"/>
        <v>-1.8845066630771568E-3</v>
      </c>
    </row>
    <row r="10" spans="1:40" x14ac:dyDescent="0.25">
      <c r="A10" s="426" t="s">
        <v>222</v>
      </c>
      <c r="B10" s="473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72"/>
      <c r="H10" s="7"/>
      <c r="I10" s="7"/>
      <c r="J10" s="7"/>
      <c r="K10" s="7"/>
      <c r="O10" s="11" t="s">
        <v>218</v>
      </c>
      <c r="P10" s="34"/>
      <c r="Q10" s="2">
        <f>M62</f>
        <v>0</v>
      </c>
      <c r="W10" s="133">
        <v>42664</v>
      </c>
      <c r="X10" s="10">
        <v>74.099999999999994</v>
      </c>
      <c r="Y10" s="10">
        <v>74.94</v>
      </c>
      <c r="Z10" s="10">
        <v>73.78</v>
      </c>
      <c r="AA10" s="10">
        <v>74.290000000000006</v>
      </c>
      <c r="AB10" s="95">
        <v>8256500</v>
      </c>
      <c r="AC10" s="10">
        <v>74.290000000000006</v>
      </c>
      <c r="AD10" s="40">
        <f t="shared" si="1"/>
        <v>1.1599999999999966</v>
      </c>
      <c r="AE10" s="162">
        <f t="shared" si="2"/>
        <v>-2.691427802448132E-4</v>
      </c>
    </row>
    <row r="11" spans="1:40" x14ac:dyDescent="0.25">
      <c r="A11" s="426">
        <v>92.64</v>
      </c>
      <c r="B11" s="473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73">
        <v>42552</v>
      </c>
      <c r="H11" s="82">
        <v>100</v>
      </c>
      <c r="I11" s="44">
        <v>83.74</v>
      </c>
      <c r="J11" s="44">
        <v>0.18</v>
      </c>
      <c r="K11" s="44">
        <f>I11*H11-J11</f>
        <v>8373.82</v>
      </c>
      <c r="N11" s="5"/>
      <c r="O11" s="11" t="s">
        <v>181</v>
      </c>
      <c r="P11" s="34"/>
      <c r="Q11" s="138">
        <f>VALUE(TRIM(CLEAN(MID(U58, FIND("(", U58)+1, 5))))</f>
        <v>2.5399999999999999E-2</v>
      </c>
      <c r="W11" s="133">
        <v>42663</v>
      </c>
      <c r="X11" s="10">
        <v>73.14</v>
      </c>
      <c r="Y11" s="10">
        <v>74.81</v>
      </c>
      <c r="Z11" s="10">
        <v>73.099999999999994</v>
      </c>
      <c r="AA11" s="10">
        <v>74.31</v>
      </c>
      <c r="AB11" s="95">
        <v>10351400</v>
      </c>
      <c r="AC11" s="10">
        <v>74.31</v>
      </c>
      <c r="AD11" s="40">
        <f t="shared" si="1"/>
        <v>1.710000000000008</v>
      </c>
      <c r="AE11" s="162">
        <f t="shared" si="2"/>
        <v>1.3226070357240216E-2</v>
      </c>
    </row>
    <row r="12" spans="1:40" x14ac:dyDescent="0.25">
      <c r="B12" s="74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73">
        <v>42646</v>
      </c>
      <c r="H12" s="82">
        <v>50</v>
      </c>
      <c r="I12" s="44">
        <v>77.7</v>
      </c>
      <c r="J12" s="44">
        <v>0.08</v>
      </c>
      <c r="K12" s="44">
        <f>I12*H12-J12</f>
        <v>3884.92</v>
      </c>
      <c r="N12" s="5"/>
      <c r="W12" s="133">
        <v>42662</v>
      </c>
      <c r="X12" s="10">
        <v>73.5</v>
      </c>
      <c r="Y12" s="10">
        <v>73.92</v>
      </c>
      <c r="Z12" s="10">
        <v>73.31</v>
      </c>
      <c r="AA12" s="10">
        <v>73.34</v>
      </c>
      <c r="AB12" s="95">
        <v>6326400</v>
      </c>
      <c r="AC12" s="10">
        <v>73.34</v>
      </c>
      <c r="AD12" s="40">
        <f t="shared" si="1"/>
        <v>0.60999999999999943</v>
      </c>
      <c r="AE12" s="162">
        <f t="shared" si="2"/>
        <v>-9.5354856286600231E-4</v>
      </c>
    </row>
    <row r="13" spans="1:40" x14ac:dyDescent="0.25">
      <c r="B13" s="473">
        <v>42577</v>
      </c>
      <c r="C13" s="4">
        <v>20</v>
      </c>
      <c r="D13" s="2">
        <v>80.64</v>
      </c>
      <c r="E13" s="2">
        <v>0</v>
      </c>
      <c r="F13" s="2">
        <f t="shared" si="0"/>
        <v>1612.8</v>
      </c>
      <c r="H13" s="185"/>
      <c r="I13" s="4"/>
      <c r="J13" s="4"/>
      <c r="K13" s="4"/>
      <c r="W13" s="133">
        <v>42661</v>
      </c>
      <c r="X13" s="10">
        <v>73.400000000000006</v>
      </c>
      <c r="Y13" s="10">
        <v>73.83</v>
      </c>
      <c r="Z13" s="10">
        <v>72.91</v>
      </c>
      <c r="AA13" s="10">
        <v>73.41</v>
      </c>
      <c r="AB13" s="95">
        <v>6353500</v>
      </c>
      <c r="AC13" s="10">
        <v>73.41</v>
      </c>
      <c r="AD13" s="40">
        <f t="shared" si="1"/>
        <v>0.92000000000000171</v>
      </c>
      <c r="AE13" s="162">
        <f t="shared" si="2"/>
        <v>1.0600220264317173E-2</v>
      </c>
    </row>
    <row r="14" spans="1:40" x14ac:dyDescent="0.25">
      <c r="B14" s="473">
        <v>42580</v>
      </c>
      <c r="C14" s="4">
        <v>30</v>
      </c>
      <c r="D14" s="2">
        <v>79.38</v>
      </c>
      <c r="E14" s="2">
        <v>0</v>
      </c>
      <c r="F14" s="2">
        <f t="shared" si="0"/>
        <v>2381.3999999999996</v>
      </c>
      <c r="H14" s="72"/>
      <c r="W14" s="133">
        <v>42660</v>
      </c>
      <c r="X14" s="10">
        <v>72.540000000000006</v>
      </c>
      <c r="Y14" s="10">
        <v>73.459999999999994</v>
      </c>
      <c r="Z14" s="10">
        <v>72.31</v>
      </c>
      <c r="AA14" s="10">
        <v>72.64</v>
      </c>
      <c r="AB14" s="95">
        <v>8181400</v>
      </c>
      <c r="AC14" s="10">
        <v>72.64</v>
      </c>
      <c r="AD14" s="40">
        <f t="shared" si="1"/>
        <v>1.1499999999999915</v>
      </c>
      <c r="AE14" s="162">
        <f t="shared" si="2"/>
        <v>-1.5120274914088849E-3</v>
      </c>
    </row>
    <row r="15" spans="1:40" x14ac:dyDescent="0.25">
      <c r="B15" s="74">
        <v>42608</v>
      </c>
      <c r="C15" s="4">
        <v>20</v>
      </c>
      <c r="D15" s="2">
        <v>79.28</v>
      </c>
      <c r="E15" s="2">
        <v>0</v>
      </c>
      <c r="F15" s="2">
        <f t="shared" si="0"/>
        <v>1585.6</v>
      </c>
      <c r="H15" s="72"/>
      <c r="W15" s="133">
        <v>42657</v>
      </c>
      <c r="X15" s="10">
        <v>73.27</v>
      </c>
      <c r="Y15" s="10">
        <v>73.5</v>
      </c>
      <c r="Z15" s="10">
        <v>72.73</v>
      </c>
      <c r="AA15" s="10">
        <v>72.75</v>
      </c>
      <c r="AB15" s="95">
        <v>7359100</v>
      </c>
      <c r="AC15" s="10">
        <v>72.75</v>
      </c>
      <c r="AD15" s="40">
        <f t="shared" si="1"/>
        <v>0.76999999999999602</v>
      </c>
      <c r="AE15" s="162">
        <f t="shared" si="2"/>
        <v>-4.2430878729811106E-3</v>
      </c>
    </row>
    <row r="16" spans="1:40" x14ac:dyDescent="0.25">
      <c r="B16" s="74">
        <v>42611</v>
      </c>
      <c r="C16" s="4">
        <v>30</v>
      </c>
      <c r="D16" s="2">
        <v>77.680000000000007</v>
      </c>
      <c r="E16" s="2">
        <v>0</v>
      </c>
      <c r="F16" s="2">
        <f t="shared" si="0"/>
        <v>2330.4</v>
      </c>
      <c r="H16" s="72"/>
      <c r="W16" s="133">
        <v>42656</v>
      </c>
      <c r="X16" s="10">
        <v>72.290000000000006</v>
      </c>
      <c r="Y16" s="10">
        <v>73.930000000000007</v>
      </c>
      <c r="Z16" s="10">
        <v>72.209999999999994</v>
      </c>
      <c r="AA16" s="10">
        <v>73.06</v>
      </c>
      <c r="AB16" s="95">
        <v>10586100</v>
      </c>
      <c r="AC16" s="10">
        <v>73.06</v>
      </c>
      <c r="AD16" s="40">
        <f t="shared" si="1"/>
        <v>1.7200000000000131</v>
      </c>
      <c r="AE16" s="162">
        <f t="shared" si="2"/>
        <v>4.1079008626598856E-4</v>
      </c>
    </row>
    <row r="17" spans="1:31" x14ac:dyDescent="0.25">
      <c r="B17" s="525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W17" s="133">
        <v>42655</v>
      </c>
      <c r="X17" s="10">
        <v>74.180000000000007</v>
      </c>
      <c r="Y17" s="10">
        <v>74.209999999999994</v>
      </c>
      <c r="Z17" s="10">
        <v>72.92</v>
      </c>
      <c r="AA17" s="10">
        <v>73.03</v>
      </c>
      <c r="AB17" s="95">
        <v>10014500</v>
      </c>
      <c r="AC17" s="10">
        <v>73.03</v>
      </c>
      <c r="AD17" s="40">
        <f t="shared" si="1"/>
        <v>1.289999999999992</v>
      </c>
      <c r="AE17" s="162">
        <f t="shared" si="2"/>
        <v>-1.0701706854510884E-2</v>
      </c>
    </row>
    <row r="18" spans="1:31" x14ac:dyDescent="0.25">
      <c r="B18" s="525">
        <v>42649</v>
      </c>
      <c r="C18" s="4">
        <v>50</v>
      </c>
      <c r="D18" s="2">
        <v>76.38</v>
      </c>
      <c r="E18" s="2">
        <v>0</v>
      </c>
      <c r="F18" s="2">
        <f t="shared" si="0"/>
        <v>3819</v>
      </c>
      <c r="W18" s="133">
        <v>42654</v>
      </c>
      <c r="X18" s="10">
        <v>75.14</v>
      </c>
      <c r="Y18" s="10">
        <v>75.28</v>
      </c>
      <c r="Z18" s="10">
        <v>73.56</v>
      </c>
      <c r="AA18" s="10">
        <v>73.819999999999993</v>
      </c>
      <c r="AB18" s="95">
        <v>11910000</v>
      </c>
      <c r="AC18" s="10">
        <v>73.819999999999993</v>
      </c>
      <c r="AD18" s="40">
        <f t="shared" si="1"/>
        <v>1.7199999999999989</v>
      </c>
      <c r="AE18" s="162">
        <f t="shared" si="2"/>
        <v>-2.2122135382169894E-2</v>
      </c>
    </row>
    <row r="19" spans="1:31" x14ac:dyDescent="0.25">
      <c r="W19" s="133">
        <v>42653</v>
      </c>
      <c r="X19" s="10">
        <v>75.5</v>
      </c>
      <c r="Y19" s="10">
        <v>75.97</v>
      </c>
      <c r="Z19" s="10">
        <v>75.260000000000005</v>
      </c>
      <c r="AA19" s="10">
        <v>75.489999999999995</v>
      </c>
      <c r="AB19" s="95">
        <v>7161100</v>
      </c>
      <c r="AC19" s="10">
        <v>75.489999999999995</v>
      </c>
      <c r="AD19" s="40">
        <f t="shared" si="1"/>
        <v>0.70999999999999375</v>
      </c>
      <c r="AE19" s="162">
        <f t="shared" si="2"/>
        <v>3.3227006911218382E-3</v>
      </c>
    </row>
    <row r="20" spans="1:31" x14ac:dyDescent="0.25">
      <c r="W20" s="133">
        <v>42650</v>
      </c>
      <c r="X20" s="10">
        <v>76.45</v>
      </c>
      <c r="Y20" s="10">
        <v>76.48</v>
      </c>
      <c r="Z20" s="10">
        <v>74.92</v>
      </c>
      <c r="AA20" s="10">
        <v>75.239999999999995</v>
      </c>
      <c r="AB20" s="95">
        <v>11149200</v>
      </c>
      <c r="AC20" s="10">
        <v>75.239999999999995</v>
      </c>
      <c r="AD20" s="40">
        <f t="shared" si="1"/>
        <v>1.5600000000000023</v>
      </c>
      <c r="AE20" s="162">
        <f t="shared" si="2"/>
        <v>-1.272798845295886E-2</v>
      </c>
    </row>
    <row r="21" spans="1:31" x14ac:dyDescent="0.25">
      <c r="W21" s="133">
        <v>42649</v>
      </c>
      <c r="X21" s="10">
        <v>77.38</v>
      </c>
      <c r="Y21" s="10">
        <v>77.760000000000005</v>
      </c>
      <c r="Z21" s="10">
        <v>76.08</v>
      </c>
      <c r="AA21" s="10">
        <v>76.209999999999994</v>
      </c>
      <c r="AB21" s="95">
        <v>10168200</v>
      </c>
      <c r="AC21" s="10">
        <v>76.209999999999994</v>
      </c>
      <c r="AD21" s="40">
        <f t="shared" si="1"/>
        <v>1.6800000000000068</v>
      </c>
      <c r="AE21" s="162">
        <f t="shared" si="2"/>
        <v>-1.7532551244037631E-2</v>
      </c>
    </row>
    <row r="22" spans="1:31" x14ac:dyDescent="0.25">
      <c r="W22" s="133">
        <v>42648</v>
      </c>
      <c r="X22" s="10">
        <v>77.349999999999994</v>
      </c>
      <c r="Y22" s="10">
        <v>78</v>
      </c>
      <c r="Z22" s="10">
        <v>77.2</v>
      </c>
      <c r="AA22" s="10">
        <v>77.569999999999993</v>
      </c>
      <c r="AB22" s="95">
        <v>7910200</v>
      </c>
      <c r="AC22" s="10">
        <v>77.569999999999993</v>
      </c>
      <c r="AD22" s="40">
        <f t="shared" si="1"/>
        <v>0.79999999999999716</v>
      </c>
      <c r="AE22" s="162">
        <f t="shared" si="2"/>
        <v>4.2723977213878772E-3</v>
      </c>
    </row>
    <row r="23" spans="1:31" x14ac:dyDescent="0.25">
      <c r="W23" s="133">
        <v>42647</v>
      </c>
      <c r="X23" s="10">
        <v>77.599999999999994</v>
      </c>
      <c r="Y23" s="10">
        <v>78.42</v>
      </c>
      <c r="Z23" s="10">
        <v>77.12</v>
      </c>
      <c r="AA23" s="10">
        <v>77.239999999999995</v>
      </c>
      <c r="AB23" s="95">
        <v>8219400</v>
      </c>
      <c r="AC23" s="10">
        <v>77.239999999999995</v>
      </c>
      <c r="AD23" s="40">
        <f t="shared" si="1"/>
        <v>1.2999999999999972</v>
      </c>
      <c r="AE23" s="162">
        <f t="shared" si="2"/>
        <v>-1.0124311162373556E-2</v>
      </c>
    </row>
    <row r="24" spans="1:31" x14ac:dyDescent="0.25">
      <c r="W24" s="133">
        <v>42646</v>
      </c>
      <c r="X24" s="10">
        <v>78.63</v>
      </c>
      <c r="Y24" s="10">
        <v>78.97</v>
      </c>
      <c r="Z24" s="10">
        <v>77.25</v>
      </c>
      <c r="AA24" s="10">
        <v>78.03</v>
      </c>
      <c r="AB24" s="95">
        <v>10626200</v>
      </c>
      <c r="AC24" s="10">
        <v>78.03</v>
      </c>
      <c r="AD24" s="40">
        <f t="shared" si="1"/>
        <v>1.7199999999999989</v>
      </c>
      <c r="AE24" s="162">
        <f t="shared" si="2"/>
        <v>-1.3776541961577404E-2</v>
      </c>
    </row>
    <row r="25" spans="1:31" x14ac:dyDescent="0.25">
      <c r="W25" s="133">
        <v>42643</v>
      </c>
      <c r="X25" s="10">
        <v>78.06</v>
      </c>
      <c r="Y25" s="10">
        <v>79.63</v>
      </c>
      <c r="Z25" s="10">
        <v>78.05</v>
      </c>
      <c r="AA25" s="10">
        <v>79.12</v>
      </c>
      <c r="AB25" s="95">
        <v>11031500</v>
      </c>
      <c r="AC25" s="10">
        <v>79.12</v>
      </c>
      <c r="AD25" s="40">
        <f t="shared" si="1"/>
        <v>1.5799999999999983</v>
      </c>
      <c r="AE25" s="162">
        <f t="shared" si="2"/>
        <v>1.6182892370922186E-2</v>
      </c>
    </row>
    <row r="26" spans="1:31" x14ac:dyDescent="0.25">
      <c r="W26" s="133">
        <v>42642</v>
      </c>
      <c r="X26" s="10">
        <v>79.16</v>
      </c>
      <c r="Y26" s="10">
        <v>79.34</v>
      </c>
      <c r="Z26" s="10">
        <v>77.75</v>
      </c>
      <c r="AA26" s="10">
        <v>77.86</v>
      </c>
      <c r="AB26" s="95">
        <v>7618600</v>
      </c>
      <c r="AC26" s="10">
        <v>77.86</v>
      </c>
      <c r="AD26" s="40">
        <f t="shared" si="1"/>
        <v>1.5900000000000034</v>
      </c>
      <c r="AE26" s="162">
        <f t="shared" si="2"/>
        <v>-1.4055970621755121E-2</v>
      </c>
    </row>
    <row r="27" spans="1:31" x14ac:dyDescent="0.25">
      <c r="W27" s="133">
        <v>42641</v>
      </c>
      <c r="X27" s="10">
        <v>79.12</v>
      </c>
      <c r="Y27" s="10">
        <v>79.5</v>
      </c>
      <c r="Z27" s="10">
        <v>78.510000000000005</v>
      </c>
      <c r="AA27" s="10">
        <v>78.97</v>
      </c>
      <c r="AB27" s="95">
        <v>6854100</v>
      </c>
      <c r="AC27" s="10">
        <v>78.97</v>
      </c>
      <c r="AD27" s="40">
        <f t="shared" si="1"/>
        <v>0.98999999999999488</v>
      </c>
      <c r="AE27" s="162">
        <f t="shared" si="2"/>
        <v>-3.5331230283911497E-3</v>
      </c>
    </row>
    <row r="28" spans="1:31" x14ac:dyDescent="0.25">
      <c r="W28" s="133">
        <v>42640</v>
      </c>
      <c r="X28" s="10">
        <v>79.319999999999993</v>
      </c>
      <c r="Y28" s="10">
        <v>79.900000000000006</v>
      </c>
      <c r="Z28" s="10">
        <v>78.64</v>
      </c>
      <c r="AA28" s="10">
        <v>79.25</v>
      </c>
      <c r="AB28" s="95">
        <v>13214300</v>
      </c>
      <c r="AC28" s="10">
        <v>79.25</v>
      </c>
      <c r="AD28" s="40">
        <f t="shared" si="1"/>
        <v>1.2600000000000051</v>
      </c>
      <c r="AE28" s="162">
        <f t="shared" si="2"/>
        <v>-1.699330191019599E-2</v>
      </c>
    </row>
    <row r="29" spans="1:31" x14ac:dyDescent="0.25">
      <c r="W29" s="133">
        <v>42639</v>
      </c>
      <c r="X29" s="10">
        <v>81</v>
      </c>
      <c r="Y29" s="10">
        <v>81.13</v>
      </c>
      <c r="Z29" s="10">
        <v>79.92</v>
      </c>
      <c r="AA29" s="10">
        <v>80.62</v>
      </c>
      <c r="AB29" s="95">
        <v>9036000</v>
      </c>
      <c r="AC29" s="10">
        <v>80.62</v>
      </c>
      <c r="AD29" s="40">
        <f t="shared" si="1"/>
        <v>1.2099999999999937</v>
      </c>
      <c r="AE29" s="162">
        <f t="shared" si="2"/>
        <v>-9.217156200073684E-3</v>
      </c>
    </row>
    <row r="30" spans="1:31" x14ac:dyDescent="0.25">
      <c r="C30" s="4"/>
      <c r="D30" s="3"/>
      <c r="E30" s="3"/>
      <c r="F30" s="3"/>
      <c r="H30" s="72"/>
      <c r="W30" s="133">
        <v>42636</v>
      </c>
      <c r="X30" s="10">
        <v>81.55</v>
      </c>
      <c r="Y30" s="10">
        <v>82</v>
      </c>
      <c r="Z30" s="10">
        <v>81.22</v>
      </c>
      <c r="AA30" s="10">
        <v>81.37</v>
      </c>
      <c r="AB30" s="95">
        <v>7534500</v>
      </c>
      <c r="AC30" s="10">
        <v>81.37</v>
      </c>
      <c r="AD30" s="40">
        <f t="shared" si="1"/>
        <v>0.78000000000000114</v>
      </c>
      <c r="AE30" s="162">
        <f t="shared" si="2"/>
        <v>-1.8400392541706445E-3</v>
      </c>
    </row>
    <row r="31" spans="1:31" x14ac:dyDescent="0.25">
      <c r="A31" s="22" t="s">
        <v>81</v>
      </c>
      <c r="B31" s="12"/>
      <c r="C31" s="12">
        <f>SUM(C2:C30)</f>
        <v>475</v>
      </c>
      <c r="D31" s="13"/>
      <c r="E31" s="13"/>
      <c r="F31" s="13">
        <f>SUM(F2:F30)</f>
        <v>40216.699999999997</v>
      </c>
      <c r="G31" s="12"/>
      <c r="H31" s="77">
        <f>SUM(H2:H30)</f>
        <v>225</v>
      </c>
      <c r="I31" s="12"/>
      <c r="J31" s="12"/>
      <c r="K31" s="13">
        <f>SUM(K2:K30)</f>
        <v>19505.64</v>
      </c>
      <c r="L31" s="12"/>
      <c r="M31" s="13">
        <f>SUM(M2:M30)</f>
        <v>188.3</v>
      </c>
      <c r="W31" s="133">
        <v>42635</v>
      </c>
      <c r="X31" s="10">
        <v>81.97</v>
      </c>
      <c r="Y31" s="10">
        <v>82</v>
      </c>
      <c r="Z31" s="10">
        <v>80.900000000000006</v>
      </c>
      <c r="AA31" s="10">
        <v>81.52</v>
      </c>
      <c r="AB31" s="95">
        <v>8213800</v>
      </c>
      <c r="AC31" s="10">
        <v>81.52</v>
      </c>
      <c r="AD31" s="40">
        <f t="shared" si="1"/>
        <v>1.0999999999999943</v>
      </c>
      <c r="AE31" s="162">
        <f t="shared" si="2"/>
        <v>-2.2031823745410906E-3</v>
      </c>
    </row>
    <row r="32" spans="1:31" ht="15.75" thickBot="1" x14ac:dyDescent="0.3">
      <c r="A32" s="359" t="s">
        <v>201</v>
      </c>
      <c r="B32" s="360"/>
      <c r="C32" s="361">
        <f>SumByColor($A$32,C2:C30)</f>
        <v>225</v>
      </c>
      <c r="D32" s="361"/>
      <c r="E32" s="361"/>
      <c r="F32" s="362">
        <f>SumByColor($A$32,F2:F30)</f>
        <v>19128</v>
      </c>
      <c r="G32" s="361"/>
      <c r="H32" s="361">
        <f>SumByColor($A$32,H2:H30)</f>
        <v>225</v>
      </c>
      <c r="I32" s="361"/>
      <c r="J32" s="361"/>
      <c r="K32" s="362">
        <f>SumByColor($A$32,K2:K30)</f>
        <v>19505</v>
      </c>
      <c r="L32" s="361"/>
      <c r="M32" s="362">
        <f>SumByColor($A$32,M2:M30)</f>
        <v>0</v>
      </c>
      <c r="W32" s="133">
        <v>42634</v>
      </c>
      <c r="X32" s="10">
        <v>82.03</v>
      </c>
      <c r="Y32" s="10">
        <v>82.05</v>
      </c>
      <c r="Z32" s="10">
        <v>80.66</v>
      </c>
      <c r="AA32" s="10">
        <v>81.7</v>
      </c>
      <c r="AB32" s="95">
        <v>13628800</v>
      </c>
      <c r="AC32" s="10">
        <v>81.7</v>
      </c>
      <c r="AD32" s="40">
        <f t="shared" si="1"/>
        <v>1.3900000000000006</v>
      </c>
      <c r="AE32" s="162">
        <f t="shared" si="2"/>
        <v>-9.7823428711174554E-4</v>
      </c>
    </row>
    <row r="33" spans="1:31" x14ac:dyDescent="0.25">
      <c r="W33" s="133">
        <v>42633</v>
      </c>
      <c r="X33" s="10">
        <v>79.64</v>
      </c>
      <c r="Y33" s="10">
        <v>82.07</v>
      </c>
      <c r="Z33" s="10">
        <v>79.63</v>
      </c>
      <c r="AA33" s="10">
        <v>81.78</v>
      </c>
      <c r="AB33" s="95">
        <v>17560700</v>
      </c>
      <c r="AC33" s="10">
        <v>81.78</v>
      </c>
      <c r="AD33" s="40">
        <f t="shared" si="1"/>
        <v>2.4399999999999977</v>
      </c>
      <c r="AE33" s="162">
        <f t="shared" si="2"/>
        <v>3.53209266995822E-2</v>
      </c>
    </row>
    <row r="34" spans="1:31" x14ac:dyDescent="0.25">
      <c r="W34" s="133">
        <v>42632</v>
      </c>
      <c r="X34" s="10">
        <v>78.92</v>
      </c>
      <c r="Y34" s="10">
        <v>79.510000000000005</v>
      </c>
      <c r="Z34" s="10">
        <v>78.81</v>
      </c>
      <c r="AA34" s="10">
        <v>78.989999999999995</v>
      </c>
      <c r="AB34" s="95">
        <v>7234200</v>
      </c>
      <c r="AC34" s="10">
        <v>78.989999999999995</v>
      </c>
      <c r="AD34" s="40">
        <f t="shared" si="1"/>
        <v>0.70000000000000284</v>
      </c>
      <c r="AE34" s="162">
        <f t="shared" si="2"/>
        <v>2.4111675126903265E-3</v>
      </c>
    </row>
    <row r="35" spans="1:31" x14ac:dyDescent="0.25">
      <c r="W35" s="133">
        <v>42629</v>
      </c>
      <c r="X35" s="10">
        <v>78.849999999999994</v>
      </c>
      <c r="Y35" s="10">
        <v>79.19</v>
      </c>
      <c r="Z35" s="10">
        <v>78.41</v>
      </c>
      <c r="AA35" s="10">
        <v>78.8</v>
      </c>
      <c r="AB35" s="95">
        <v>10307900</v>
      </c>
      <c r="AC35" s="10">
        <v>78.8</v>
      </c>
      <c r="AD35" s="40">
        <f t="shared" si="1"/>
        <v>0.78000000000000114</v>
      </c>
      <c r="AE35" s="162">
        <f t="shared" si="2"/>
        <v>-5.0735667174028887E-4</v>
      </c>
    </row>
    <row r="36" spans="1:31" x14ac:dyDescent="0.25">
      <c r="W36" s="133">
        <v>42628</v>
      </c>
      <c r="X36" s="10">
        <v>77.75</v>
      </c>
      <c r="Y36" s="10">
        <v>79.2</v>
      </c>
      <c r="Z36" s="10">
        <v>77.27</v>
      </c>
      <c r="AA36" s="10">
        <v>78.84</v>
      </c>
      <c r="AB36" s="95">
        <v>10112800</v>
      </c>
      <c r="AC36" s="10">
        <v>78.84</v>
      </c>
      <c r="AD36" s="40">
        <f t="shared" si="1"/>
        <v>1.9300000000000068</v>
      </c>
      <c r="AE36" s="162">
        <f t="shared" si="2"/>
        <v>1.5717598557072998E-2</v>
      </c>
    </row>
    <row r="37" spans="1:31" x14ac:dyDescent="0.25">
      <c r="W37" s="133">
        <v>42627</v>
      </c>
      <c r="X37" s="10">
        <v>77.94</v>
      </c>
      <c r="Y37" s="10">
        <v>78.400000000000006</v>
      </c>
      <c r="Z37" s="10">
        <v>77.44</v>
      </c>
      <c r="AA37" s="10">
        <v>77.62</v>
      </c>
      <c r="AB37" s="95">
        <v>8311200</v>
      </c>
      <c r="AC37" s="10">
        <v>77.62</v>
      </c>
      <c r="AD37" s="40">
        <f t="shared" si="1"/>
        <v>0.96000000000000796</v>
      </c>
      <c r="AE37" s="162" t="e">
        <f t="shared" si="2"/>
        <v>#DIV/0!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42627</v>
      </c>
      <c r="X38" s="10" t="s">
        <v>238</v>
      </c>
      <c r="Y38" s="10"/>
      <c r="Z38" s="10"/>
      <c r="AA38" s="10"/>
      <c r="AB38" s="95"/>
      <c r="AC38" s="10"/>
      <c r="AD38" s="40">
        <f t="shared" si="1"/>
        <v>0</v>
      </c>
      <c r="AE38" s="162">
        <f t="shared" si="2"/>
        <v>-1</v>
      </c>
    </row>
    <row r="39" spans="1:31" x14ac:dyDescent="0.25">
      <c r="A39" s="8"/>
      <c r="B39" s="191" t="s">
        <v>114</v>
      </c>
      <c r="C39" s="191" t="s">
        <v>149</v>
      </c>
      <c r="D39" s="192" t="s">
        <v>148</v>
      </c>
      <c r="E39" s="194" t="s">
        <v>150</v>
      </c>
      <c r="F39" s="195" t="s">
        <v>65</v>
      </c>
      <c r="G39" s="229" t="s">
        <v>154</v>
      </c>
      <c r="H39" s="195" t="s">
        <v>88</v>
      </c>
      <c r="I39" s="195" t="s">
        <v>158</v>
      </c>
      <c r="J39" s="8"/>
      <c r="K39" s="8"/>
      <c r="L39" s="8"/>
      <c r="M39" s="8"/>
      <c r="W39" s="133">
        <v>42626</v>
      </c>
      <c r="X39" s="10">
        <v>78.66</v>
      </c>
      <c r="Y39" s="10">
        <v>78.66</v>
      </c>
      <c r="Z39" s="10">
        <v>77.5</v>
      </c>
      <c r="AA39" s="10">
        <v>78.06</v>
      </c>
      <c r="AB39" s="95">
        <v>9389600</v>
      </c>
      <c r="AC39" s="10">
        <v>77.59</v>
      </c>
      <c r="AD39" s="40">
        <f t="shared" si="1"/>
        <v>1.1599999999999966</v>
      </c>
      <c r="AE39" s="162">
        <f t="shared" si="2"/>
        <v>-1.0079101811686586E-2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4"/>
      <c r="W40" s="133">
        <v>42625</v>
      </c>
      <c r="X40" s="10">
        <v>77.69</v>
      </c>
      <c r="Y40" s="10">
        <v>79.03</v>
      </c>
      <c r="Z40" s="10">
        <v>77.69</v>
      </c>
      <c r="AA40" s="10">
        <v>78.849999999999994</v>
      </c>
      <c r="AB40" s="95">
        <v>8896100</v>
      </c>
      <c r="AC40" s="10">
        <v>78.38</v>
      </c>
      <c r="AD40" s="40">
        <f t="shared" si="1"/>
        <v>1.3400000000000034</v>
      </c>
      <c r="AE40" s="162">
        <f t="shared" si="2"/>
        <v>1.0311936065996452E-2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3">C41*(E41-D41)</f>
        <v>103.99999999999991</v>
      </c>
      <c r="G41" s="40">
        <f t="shared" ref="G41:G49" si="4">D41*C41</f>
        <v>2555</v>
      </c>
      <c r="H41" s="231">
        <f t="shared" ref="H41:H49" si="5">(E41-D41)/D41</f>
        <v>4.070450097847355E-2</v>
      </c>
      <c r="I41" s="354"/>
      <c r="W41" s="133">
        <v>42622</v>
      </c>
      <c r="X41" s="10">
        <v>78.459999999999994</v>
      </c>
      <c r="Y41" s="10">
        <v>79</v>
      </c>
      <c r="Z41" s="10">
        <v>78.05</v>
      </c>
      <c r="AA41" s="10">
        <v>78.05</v>
      </c>
      <c r="AB41" s="95">
        <v>10415200</v>
      </c>
      <c r="AC41" s="10">
        <v>77.58</v>
      </c>
      <c r="AD41" s="40">
        <f t="shared" si="1"/>
        <v>0.95000000000000284</v>
      </c>
      <c r="AE41" s="162">
        <f t="shared" si="2"/>
        <v>-1.1845624761177009E-2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3"/>
        <v>-54.250000000000043</v>
      </c>
      <c r="G42" s="40">
        <f t="shared" si="4"/>
        <v>2555</v>
      </c>
      <c r="H42" s="231">
        <f t="shared" si="5"/>
        <v>-2.1232876712328784E-2</v>
      </c>
      <c r="I42" s="354"/>
      <c r="O42" s="588" t="s">
        <v>78</v>
      </c>
      <c r="P42" s="588"/>
      <c r="T42" s="91" t="s">
        <v>113</v>
      </c>
      <c r="W42" s="133">
        <v>42621</v>
      </c>
      <c r="X42" s="10">
        <v>78.33</v>
      </c>
      <c r="Y42" s="10">
        <v>79.14</v>
      </c>
      <c r="Z42" s="10">
        <v>77.599999999999994</v>
      </c>
      <c r="AA42" s="10">
        <v>78.989999999999995</v>
      </c>
      <c r="AB42" s="95">
        <v>8549600</v>
      </c>
      <c r="AC42" s="10">
        <v>78.510000000000005</v>
      </c>
      <c r="AD42" s="40">
        <f t="shared" si="1"/>
        <v>1.5400000000000063</v>
      </c>
      <c r="AE42" s="162">
        <f t="shared" si="2"/>
        <v>9.7749196141478922E-3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3"/>
        <v>16.499999999999915</v>
      </c>
      <c r="G43" s="40">
        <f t="shared" si="4"/>
        <v>2555</v>
      </c>
      <c r="H43" s="231">
        <f t="shared" si="5"/>
        <v>6.4579256360077939E-3</v>
      </c>
      <c r="I43" s="354"/>
      <c r="O43" s="83">
        <v>1.1000000000000001</v>
      </c>
      <c r="P43" s="83">
        <f>O43*$Q$4</f>
        <v>79.76100000000001</v>
      </c>
      <c r="Q43" s="2"/>
      <c r="T43" s="128" t="s">
        <v>98</v>
      </c>
      <c r="U43" s="98">
        <v>74.069999999999993</v>
      </c>
      <c r="W43" s="133">
        <v>42620</v>
      </c>
      <c r="X43" s="10">
        <v>78.38</v>
      </c>
      <c r="Y43" s="10">
        <v>78.81</v>
      </c>
      <c r="Z43" s="10">
        <v>77.92</v>
      </c>
      <c r="AA43" s="10">
        <v>78.22</v>
      </c>
      <c r="AB43" s="95">
        <v>8232700</v>
      </c>
      <c r="AC43" s="10">
        <v>77.75</v>
      </c>
      <c r="AD43" s="40">
        <f t="shared" si="1"/>
        <v>0.89000000000000057</v>
      </c>
      <c r="AE43" s="162">
        <f t="shared" si="2"/>
        <v>4.3921973905181044E-3</v>
      </c>
    </row>
    <row r="44" spans="1:31" x14ac:dyDescent="0.25">
      <c r="B44" s="193">
        <v>42376</v>
      </c>
      <c r="C44" s="453">
        <v>50</v>
      </c>
      <c r="D44" s="458">
        <v>99.13</v>
      </c>
      <c r="E44" s="339">
        <v>96.25</v>
      </c>
      <c r="F44" s="40">
        <f t="shared" si="3"/>
        <v>-143.99999999999977</v>
      </c>
      <c r="G44" s="40">
        <f t="shared" si="4"/>
        <v>4956.5</v>
      </c>
      <c r="H44" s="231">
        <f t="shared" si="5"/>
        <v>-2.9052759003328918E-2</v>
      </c>
      <c r="I44" s="354"/>
      <c r="O44" s="83">
        <v>1.0900000000000001</v>
      </c>
      <c r="P44" s="83">
        <f t="shared" ref="P44:P63" si="6">O44*$Q$4</f>
        <v>79.035900000000012</v>
      </c>
      <c r="Q44" s="2"/>
      <c r="T44" s="93" t="s">
        <v>99</v>
      </c>
      <c r="U44" s="88">
        <v>74</v>
      </c>
      <c r="W44" s="133">
        <v>42619</v>
      </c>
      <c r="X44" s="10">
        <v>77.78</v>
      </c>
      <c r="Y44" s="10">
        <v>78.290000000000006</v>
      </c>
      <c r="Z44" s="10">
        <v>77.25</v>
      </c>
      <c r="AA44" s="10">
        <v>77.88</v>
      </c>
      <c r="AB44" s="95">
        <v>11648400</v>
      </c>
      <c r="AC44" s="10">
        <v>77.41</v>
      </c>
      <c r="AD44" s="40">
        <f t="shared" si="1"/>
        <v>1.0400000000000063</v>
      </c>
      <c r="AE44" s="162">
        <f t="shared" si="2"/>
        <v>1.2822190239434539E-2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3"/>
        <v>-819.60000000000059</v>
      </c>
      <c r="G45" s="40">
        <f t="shared" si="4"/>
        <v>5782.2000000000007</v>
      </c>
      <c r="H45" s="231">
        <f t="shared" si="5"/>
        <v>-0.14174535643872585</v>
      </c>
      <c r="I45" s="354"/>
      <c r="O45" s="83">
        <v>1.08</v>
      </c>
      <c r="P45" s="83">
        <f t="shared" si="6"/>
        <v>78.310800000000015</v>
      </c>
      <c r="Q45" s="2"/>
      <c r="T45" s="93" t="s">
        <v>100</v>
      </c>
      <c r="U45" s="88" t="s">
        <v>541</v>
      </c>
      <c r="W45" s="133">
        <v>42615</v>
      </c>
      <c r="X45" s="10">
        <v>77.62</v>
      </c>
      <c r="Y45" s="10">
        <v>77.760000000000005</v>
      </c>
      <c r="Z45" s="10">
        <v>76.67</v>
      </c>
      <c r="AA45" s="10">
        <v>76.89</v>
      </c>
      <c r="AB45" s="95">
        <v>7956200</v>
      </c>
      <c r="AC45" s="10">
        <v>76.430000000000007</v>
      </c>
      <c r="AD45" s="40">
        <f t="shared" si="1"/>
        <v>1.0900000000000034</v>
      </c>
      <c r="AE45" s="162">
        <f t="shared" si="2"/>
        <v>-6.7576348278102216E-3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3"/>
        <v>-539</v>
      </c>
      <c r="G46" s="40">
        <f t="shared" si="4"/>
        <v>4901.5</v>
      </c>
      <c r="H46" s="231">
        <f t="shared" si="5"/>
        <v>-0.10996633683566256</v>
      </c>
      <c r="I46" s="354"/>
      <c r="O46" s="83">
        <v>1.07</v>
      </c>
      <c r="P46" s="83">
        <f t="shared" si="6"/>
        <v>77.585700000000017</v>
      </c>
      <c r="Q46" s="2"/>
      <c r="T46" s="93" t="s">
        <v>101</v>
      </c>
      <c r="U46" s="88" t="s">
        <v>542</v>
      </c>
      <c r="W46" s="133">
        <v>42614</v>
      </c>
      <c r="X46" s="10">
        <v>78.430000000000007</v>
      </c>
      <c r="Y46" s="10">
        <v>78.459999999999994</v>
      </c>
      <c r="Z46" s="10">
        <v>76.94</v>
      </c>
      <c r="AA46" s="10">
        <v>77.42</v>
      </c>
      <c r="AB46" s="95">
        <v>12403900</v>
      </c>
      <c r="AC46" s="10">
        <v>76.95</v>
      </c>
      <c r="AD46" s="40">
        <f t="shared" si="1"/>
        <v>1.519999999999996</v>
      </c>
      <c r="AE46" s="162">
        <f t="shared" si="2"/>
        <v>-1.2321909896033767E-2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3"/>
        <v>-500.5000000000004</v>
      </c>
      <c r="G47" s="40">
        <f t="shared" si="4"/>
        <v>6662.6</v>
      </c>
      <c r="H47" s="232">
        <f t="shared" si="5"/>
        <v>-7.5120823702458553E-2</v>
      </c>
      <c r="I47" s="355"/>
      <c r="O47" s="83">
        <v>1.06</v>
      </c>
      <c r="P47" s="83">
        <f t="shared" si="6"/>
        <v>76.860600000000005</v>
      </c>
      <c r="Q47" s="2"/>
      <c r="T47" s="93" t="s">
        <v>102</v>
      </c>
      <c r="U47" s="88">
        <v>99.7</v>
      </c>
      <c r="W47" s="133">
        <v>42613</v>
      </c>
      <c r="X47" s="10">
        <v>77.739999999999995</v>
      </c>
      <c r="Y47" s="10">
        <v>78.599999999999994</v>
      </c>
      <c r="Z47" s="10">
        <v>77.58</v>
      </c>
      <c r="AA47" s="10">
        <v>78.38</v>
      </c>
      <c r="AB47" s="95">
        <v>9758500</v>
      </c>
      <c r="AC47" s="10">
        <v>77.91</v>
      </c>
      <c r="AD47" s="40">
        <f t="shared" si="1"/>
        <v>1.019999999999996</v>
      </c>
      <c r="AE47" s="162">
        <f t="shared" si="2"/>
        <v>5.9393156875402475E-3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3"/>
        <v>-384.30000000000064</v>
      </c>
      <c r="G48" s="40">
        <f t="shared" si="4"/>
        <v>6662.6</v>
      </c>
      <c r="H48" s="232">
        <f t="shared" si="5"/>
        <v>-5.7680184912796896E-2</v>
      </c>
      <c r="I48" s="355"/>
      <c r="O48" s="83">
        <v>1.05</v>
      </c>
      <c r="P48" s="83">
        <f t="shared" si="6"/>
        <v>76.135500000000008</v>
      </c>
      <c r="Q48" s="2"/>
      <c r="T48" s="93" t="s">
        <v>103</v>
      </c>
      <c r="U48" s="88">
        <v>0.98980299999999999</v>
      </c>
      <c r="W48" s="133">
        <v>42612</v>
      </c>
      <c r="X48" s="10">
        <v>78.05</v>
      </c>
      <c r="Y48" s="10">
        <v>78.39</v>
      </c>
      <c r="Z48" s="10">
        <v>77.66</v>
      </c>
      <c r="AA48" s="10">
        <v>77.92</v>
      </c>
      <c r="AB48" s="95">
        <v>9174200</v>
      </c>
      <c r="AC48" s="10">
        <v>77.45</v>
      </c>
      <c r="AD48" s="40">
        <f t="shared" si="1"/>
        <v>0.73000000000000398</v>
      </c>
      <c r="AE48" s="162">
        <f t="shared" si="2"/>
        <v>-3.2175032175032481E-3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3"/>
        <v>-446.6000000000007</v>
      </c>
      <c r="G49" s="40">
        <f t="shared" si="4"/>
        <v>6662.6</v>
      </c>
      <c r="H49" s="232">
        <f t="shared" si="5"/>
        <v>-6.7030888842193839E-2</v>
      </c>
      <c r="I49" s="355"/>
      <c r="O49" s="83">
        <v>1.04</v>
      </c>
      <c r="P49" s="83">
        <f t="shared" si="6"/>
        <v>75.41040000000001</v>
      </c>
      <c r="Q49" s="2"/>
      <c r="T49" s="93" t="s">
        <v>122</v>
      </c>
      <c r="U49" s="88" t="s">
        <v>543</v>
      </c>
      <c r="W49" s="133">
        <v>42611</v>
      </c>
      <c r="X49" s="10">
        <v>79.650000000000006</v>
      </c>
      <c r="Y49" s="10">
        <v>79.7</v>
      </c>
      <c r="Z49" s="10">
        <v>77.63</v>
      </c>
      <c r="AA49" s="10">
        <v>78.17</v>
      </c>
      <c r="AB49" s="95">
        <v>15383500</v>
      </c>
      <c r="AC49" s="10">
        <v>77.7</v>
      </c>
      <c r="AD49" s="40">
        <f t="shared" si="1"/>
        <v>2.0700000000000074</v>
      </c>
      <c r="AE49" s="162">
        <f t="shared" si="2"/>
        <v>-2.0052970109723844E-2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7">D50*C50</f>
        <v>6662.32</v>
      </c>
      <c r="H50" s="232">
        <f t="shared" ref="H50:H67" si="8">(E50-D50)/D50</f>
        <v>-5.1441539884004378E-2</v>
      </c>
      <c r="I50" s="355"/>
      <c r="O50" s="83">
        <v>1.03</v>
      </c>
      <c r="P50" s="83">
        <f t="shared" si="6"/>
        <v>74.685300000000012</v>
      </c>
      <c r="Q50" s="2"/>
      <c r="T50" s="93"/>
      <c r="U50" s="88"/>
      <c r="W50" s="133">
        <v>42608</v>
      </c>
      <c r="X50" s="10">
        <v>80.11</v>
      </c>
      <c r="Y50" s="10">
        <v>80.33</v>
      </c>
      <c r="Z50" s="10">
        <v>79.27</v>
      </c>
      <c r="AA50" s="10">
        <v>79.77</v>
      </c>
      <c r="AB50" s="95">
        <v>8928000</v>
      </c>
      <c r="AC50" s="10">
        <v>79.290000000000006</v>
      </c>
      <c r="AD50" s="40">
        <f t="shared" si="1"/>
        <v>1.0600000000000023</v>
      </c>
      <c r="AE50" s="162">
        <f t="shared" si="2"/>
        <v>-3.8944723618088428E-3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7"/>
        <v>4850.55</v>
      </c>
      <c r="H51" s="232">
        <f t="shared" si="8"/>
        <v>-6.6188370390986517E-2</v>
      </c>
      <c r="I51" s="355"/>
      <c r="O51" s="83">
        <v>1.02</v>
      </c>
      <c r="P51" s="83">
        <f t="shared" si="6"/>
        <v>73.9602</v>
      </c>
      <c r="Q51" s="2"/>
      <c r="T51" s="93" t="s">
        <v>105</v>
      </c>
      <c r="U51" s="88" t="s">
        <v>544</v>
      </c>
      <c r="W51" s="133">
        <v>42607</v>
      </c>
      <c r="X51" s="10">
        <v>80.45</v>
      </c>
      <c r="Y51" s="10">
        <v>81</v>
      </c>
      <c r="Z51" s="10">
        <v>79.3</v>
      </c>
      <c r="AA51" s="10">
        <v>80.08</v>
      </c>
      <c r="AB51" s="95">
        <v>9220100</v>
      </c>
      <c r="AC51" s="10">
        <v>79.599999999999994</v>
      </c>
      <c r="AD51" s="40">
        <f t="shared" si="1"/>
        <v>1.7000000000000028</v>
      </c>
      <c r="AE51" s="162">
        <f t="shared" si="2"/>
        <v>-5.2486878280429972E-3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7"/>
        <v>4850.55</v>
      </c>
      <c r="H52" s="232">
        <f t="shared" si="8"/>
        <v>-3.3923988001360636E-2</v>
      </c>
      <c r="I52" s="355"/>
      <c r="O52" s="83">
        <v>1.01</v>
      </c>
      <c r="P52" s="83">
        <f t="shared" si="6"/>
        <v>73.235100000000003</v>
      </c>
      <c r="Q52" s="2"/>
      <c r="T52" s="93" t="s">
        <v>106</v>
      </c>
      <c r="U52" s="88" t="s">
        <v>545</v>
      </c>
      <c r="W52" s="133">
        <v>42606</v>
      </c>
      <c r="X52" s="10">
        <v>81.47</v>
      </c>
      <c r="Y52" s="10">
        <v>82.1</v>
      </c>
      <c r="Z52" s="10">
        <v>80.180000000000007</v>
      </c>
      <c r="AA52" s="10">
        <v>80.5</v>
      </c>
      <c r="AB52" s="95">
        <v>9699600</v>
      </c>
      <c r="AC52" s="10">
        <v>80.02</v>
      </c>
      <c r="AD52" s="40">
        <f t="shared" si="1"/>
        <v>1.9199999999999875</v>
      </c>
      <c r="AE52" s="162">
        <f t="shared" si="2"/>
        <v>-1.1854778957767431E-2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9">C53*(E53-D53)</f>
        <v>-221.95000000000036</v>
      </c>
      <c r="G53" s="40">
        <f t="shared" si="7"/>
        <v>4820.4500000000007</v>
      </c>
      <c r="H53" s="232">
        <f t="shared" si="8"/>
        <v>-4.604341918285644E-2</v>
      </c>
      <c r="I53" s="355" t="s">
        <v>192</v>
      </c>
      <c r="O53" s="83">
        <v>1</v>
      </c>
      <c r="P53" s="83">
        <f t="shared" si="6"/>
        <v>72.510000000000005</v>
      </c>
      <c r="Q53" s="2"/>
      <c r="T53" s="93" t="s">
        <v>107</v>
      </c>
      <c r="U53" s="90">
        <v>14619961</v>
      </c>
      <c r="W53" s="133">
        <v>42605</v>
      </c>
      <c r="X53" s="10">
        <v>81.459999999999994</v>
      </c>
      <c r="Y53" s="10">
        <v>81.64</v>
      </c>
      <c r="Z53" s="10">
        <v>81.02</v>
      </c>
      <c r="AA53" s="10">
        <v>81.47</v>
      </c>
      <c r="AB53" s="95">
        <v>8279400</v>
      </c>
      <c r="AC53" s="10">
        <v>80.98</v>
      </c>
      <c r="AD53" s="40">
        <f t="shared" si="1"/>
        <v>0.62000000000000455</v>
      </c>
      <c r="AE53" s="162">
        <f t="shared" si="2"/>
        <v>6.8382444361556605E-3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9"/>
        <v>-15.950000000000131</v>
      </c>
      <c r="G54" s="40">
        <f t="shared" si="7"/>
        <v>4820.4500000000007</v>
      </c>
      <c r="H54" s="232">
        <f t="shared" si="8"/>
        <v>-3.3088197160016449E-3</v>
      </c>
      <c r="I54" s="355"/>
      <c r="O54" s="83">
        <v>0.99</v>
      </c>
      <c r="P54" s="83">
        <f t="shared" si="6"/>
        <v>71.784900000000007</v>
      </c>
      <c r="Q54" s="2"/>
      <c r="T54" s="93" t="s">
        <v>110</v>
      </c>
      <c r="U54" s="90">
        <v>9485340</v>
      </c>
      <c r="W54" s="133">
        <v>42604</v>
      </c>
      <c r="X54" s="10">
        <v>80.89</v>
      </c>
      <c r="Y54" s="10">
        <v>81.53</v>
      </c>
      <c r="Z54" s="10">
        <v>80.599999999999994</v>
      </c>
      <c r="AA54" s="10">
        <v>80.92</v>
      </c>
      <c r="AB54" s="95">
        <v>7522000</v>
      </c>
      <c r="AC54" s="10">
        <v>80.430000000000007</v>
      </c>
      <c r="AD54" s="40">
        <f t="shared" si="1"/>
        <v>0.93000000000000682</v>
      </c>
      <c r="AE54" s="162">
        <f t="shared" si="2"/>
        <v>-9.9366538318224062E-4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9"/>
        <v>94.050000000000011</v>
      </c>
      <c r="G55" s="40">
        <f t="shared" si="7"/>
        <v>4820.4500000000007</v>
      </c>
      <c r="H55" s="232">
        <f t="shared" si="8"/>
        <v>1.951062660125092E-2</v>
      </c>
      <c r="I55" s="355"/>
      <c r="O55" s="83">
        <v>0.98</v>
      </c>
      <c r="P55" s="83">
        <f t="shared" si="6"/>
        <v>71.05980000000001</v>
      </c>
      <c r="Q55" s="2"/>
      <c r="T55" s="93" t="s">
        <v>108</v>
      </c>
      <c r="U55" s="88" t="s">
        <v>546</v>
      </c>
      <c r="W55" s="133">
        <v>42601</v>
      </c>
      <c r="X55" s="10">
        <v>80.56</v>
      </c>
      <c r="Y55" s="10">
        <v>81.180000000000007</v>
      </c>
      <c r="Z55" s="10">
        <v>80.23</v>
      </c>
      <c r="AA55" s="10">
        <v>81</v>
      </c>
      <c r="AB55" s="95">
        <v>8227900</v>
      </c>
      <c r="AC55" s="10">
        <v>80.510000000000005</v>
      </c>
      <c r="AD55" s="40">
        <f t="shared" si="1"/>
        <v>0.95000000000000284</v>
      </c>
      <c r="AE55" s="162">
        <f t="shared" si="2"/>
        <v>5.1186017478153101E-3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9"/>
        <v>145.74999999999994</v>
      </c>
      <c r="G56" s="40">
        <f t="shared" si="7"/>
        <v>2334.25</v>
      </c>
      <c r="H56" s="232">
        <f t="shared" si="8"/>
        <v>6.2439755810217393E-2</v>
      </c>
      <c r="I56" s="355"/>
      <c r="O56" s="83">
        <v>0.97</v>
      </c>
      <c r="P56" s="83">
        <f t="shared" si="6"/>
        <v>70.334699999999998</v>
      </c>
      <c r="T56" s="93" t="s">
        <v>111</v>
      </c>
      <c r="U56" s="88">
        <v>6.36</v>
      </c>
      <c r="W56" s="133">
        <v>42600</v>
      </c>
      <c r="X56" s="10">
        <v>80.87</v>
      </c>
      <c r="Y56" s="10">
        <v>81.27</v>
      </c>
      <c r="Z56" s="10">
        <v>80.180000000000007</v>
      </c>
      <c r="AA56" s="10">
        <v>80.59</v>
      </c>
      <c r="AB56" s="95">
        <v>8994400</v>
      </c>
      <c r="AC56" s="10">
        <v>80.099999999999994</v>
      </c>
      <c r="AD56" s="40">
        <f t="shared" si="1"/>
        <v>1.0899999999999892</v>
      </c>
      <c r="AE56" s="162">
        <f t="shared" si="2"/>
        <v>-1.3714000748036304E-3</v>
      </c>
    </row>
    <row r="57" spans="2:31" x14ac:dyDescent="0.25">
      <c r="B57" s="193">
        <v>42488</v>
      </c>
      <c r="C57" s="453">
        <v>50</v>
      </c>
      <c r="D57" s="458">
        <v>95.81</v>
      </c>
      <c r="E57" s="339">
        <v>97</v>
      </c>
      <c r="F57" s="40">
        <f t="shared" si="9"/>
        <v>59.499999999999886</v>
      </c>
      <c r="G57" s="40">
        <f t="shared" si="7"/>
        <v>4790.5</v>
      </c>
      <c r="H57" s="232">
        <f t="shared" si="8"/>
        <v>1.2420415405490009E-2</v>
      </c>
      <c r="I57" s="355"/>
      <c r="O57" s="83">
        <v>0.96</v>
      </c>
      <c r="P57" s="83">
        <f t="shared" si="6"/>
        <v>69.6096</v>
      </c>
      <c r="T57" s="93" t="s">
        <v>112</v>
      </c>
      <c r="U57" s="88">
        <v>11.39</v>
      </c>
      <c r="W57" s="133">
        <v>42599</v>
      </c>
      <c r="X57" s="10">
        <v>79.459999999999994</v>
      </c>
      <c r="Y57" s="10">
        <v>80.87</v>
      </c>
      <c r="Z57" s="10">
        <v>79.3</v>
      </c>
      <c r="AA57" s="10">
        <v>80.7</v>
      </c>
      <c r="AB57" s="95">
        <v>10583800</v>
      </c>
      <c r="AC57" s="10">
        <v>80.209999999999994</v>
      </c>
      <c r="AD57" s="40">
        <f t="shared" si="1"/>
        <v>1.5700000000000074</v>
      </c>
      <c r="AE57" s="162">
        <f t="shared" si="2"/>
        <v>1.8281071473911448E-2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9"/>
        <v>-422.59000000000043</v>
      </c>
      <c r="G58" s="40">
        <f t="shared" si="7"/>
        <v>6597.29</v>
      </c>
      <c r="H58" s="232">
        <f t="shared" si="8"/>
        <v>-6.4055089286661704E-2</v>
      </c>
      <c r="I58" s="355"/>
      <c r="O58" s="83">
        <v>0.95</v>
      </c>
      <c r="P58" s="83">
        <f t="shared" si="6"/>
        <v>68.884500000000003</v>
      </c>
      <c r="T58" s="93" t="s">
        <v>109</v>
      </c>
      <c r="U58" s="88" t="s">
        <v>437</v>
      </c>
      <c r="W58" s="133">
        <v>42598</v>
      </c>
      <c r="X58" s="10">
        <v>79.569999999999993</v>
      </c>
      <c r="Y58" s="10">
        <v>79.8</v>
      </c>
      <c r="Z58" s="10">
        <v>79.239999999999995</v>
      </c>
      <c r="AA58" s="10">
        <v>79.25</v>
      </c>
      <c r="AB58" s="95">
        <v>7969900</v>
      </c>
      <c r="AC58" s="10">
        <v>78.77</v>
      </c>
      <c r="AD58" s="40">
        <f t="shared" si="1"/>
        <v>0.56000000000000227</v>
      </c>
      <c r="AE58" s="162">
        <f t="shared" si="2"/>
        <v>-5.0524188455223218E-3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9"/>
        <v>-461.29999999999995</v>
      </c>
      <c r="G59" s="40">
        <f t="shared" si="7"/>
        <v>9282.2999999999993</v>
      </c>
      <c r="H59" s="232">
        <f t="shared" si="8"/>
        <v>-4.9696734645508119E-2</v>
      </c>
      <c r="I59" s="355"/>
      <c r="O59" s="83">
        <v>0.94</v>
      </c>
      <c r="P59" s="83">
        <f t="shared" si="6"/>
        <v>68.159400000000005</v>
      </c>
      <c r="W59" s="133">
        <v>42597</v>
      </c>
      <c r="X59" s="10">
        <v>79.88</v>
      </c>
      <c r="Y59" s="10">
        <v>80.09</v>
      </c>
      <c r="Z59" s="10">
        <v>79.430000000000007</v>
      </c>
      <c r="AA59" s="10">
        <v>79.650000000000006</v>
      </c>
      <c r="AB59" s="95">
        <v>7464800</v>
      </c>
      <c r="AC59" s="10">
        <v>79.17</v>
      </c>
      <c r="AD59" s="40">
        <f t="shared" si="1"/>
        <v>0.65999999999999659</v>
      </c>
      <c r="AE59" s="162">
        <f t="shared" si="2"/>
        <v>-1.2629451881795983E-4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9"/>
        <v>-814.29999999999859</v>
      </c>
      <c r="G60" s="40">
        <f t="shared" si="7"/>
        <v>9282.2999999999993</v>
      </c>
      <c r="H60" s="232">
        <f t="shared" si="8"/>
        <v>-8.7726102366870146E-2</v>
      </c>
      <c r="I60" s="355"/>
      <c r="O60" s="83">
        <v>0.93</v>
      </c>
      <c r="P60" s="83">
        <f t="shared" si="6"/>
        <v>67.434300000000007</v>
      </c>
      <c r="W60" s="133">
        <v>42594</v>
      </c>
      <c r="X60" s="10">
        <v>79.34</v>
      </c>
      <c r="Y60" s="10">
        <v>79.77</v>
      </c>
      <c r="Z60" s="10">
        <v>78.87</v>
      </c>
      <c r="AA60" s="10">
        <v>79.66</v>
      </c>
      <c r="AB60" s="95">
        <v>8434000</v>
      </c>
      <c r="AC60" s="10">
        <v>79.180000000000007</v>
      </c>
      <c r="AD60" s="40">
        <f t="shared" si="1"/>
        <v>0.89999999999999147</v>
      </c>
      <c r="AE60" s="162">
        <f t="shared" si="2"/>
        <v>1.1379441143002378E-3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9"/>
        <v>-1005.2999999999997</v>
      </c>
      <c r="G61" s="40">
        <f t="shared" si="7"/>
        <v>9282.2999999999993</v>
      </c>
      <c r="H61" s="232">
        <f t="shared" si="8"/>
        <v>-0.10830289906596423</v>
      </c>
      <c r="I61" s="355"/>
      <c r="O61" s="83">
        <v>0.92</v>
      </c>
      <c r="P61" s="83">
        <f t="shared" si="6"/>
        <v>66.70920000000001</v>
      </c>
      <c r="W61" s="133">
        <v>42593</v>
      </c>
      <c r="X61" s="10">
        <v>79.150000000000006</v>
      </c>
      <c r="Y61" s="10">
        <v>79.98</v>
      </c>
      <c r="Z61" s="10">
        <v>78.8</v>
      </c>
      <c r="AA61" s="10">
        <v>79.569999999999993</v>
      </c>
      <c r="AB61" s="95">
        <v>8454700</v>
      </c>
      <c r="AC61" s="10">
        <v>79.09</v>
      </c>
      <c r="AD61" s="40">
        <f t="shared" si="1"/>
        <v>1.1800000000000068</v>
      </c>
      <c r="AE61" s="162">
        <f t="shared" si="2"/>
        <v>8.5437388421321092E-3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9"/>
        <v>-659.99999999999943</v>
      </c>
      <c r="G62" s="40">
        <f t="shared" si="7"/>
        <v>9282</v>
      </c>
      <c r="H62" s="232">
        <f t="shared" si="8"/>
        <v>-7.1105365223012224E-2</v>
      </c>
      <c r="I62" s="355"/>
      <c r="O62" s="83">
        <v>0.91</v>
      </c>
      <c r="P62" s="83">
        <f t="shared" si="6"/>
        <v>65.984100000000012</v>
      </c>
      <c r="W62" s="133">
        <v>42592</v>
      </c>
      <c r="X62" s="10">
        <v>79.430000000000007</v>
      </c>
      <c r="Y62" s="10">
        <v>79.59</v>
      </c>
      <c r="Z62" s="10">
        <v>78.45</v>
      </c>
      <c r="AA62" s="10">
        <v>78.900000000000006</v>
      </c>
      <c r="AB62" s="95">
        <v>12022200</v>
      </c>
      <c r="AC62" s="10">
        <v>78.42</v>
      </c>
      <c r="AD62" s="40">
        <f t="shared" si="1"/>
        <v>1.1400000000000006</v>
      </c>
      <c r="AE62" s="162">
        <f t="shared" si="2"/>
        <v>-5.4533925174380382E-3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9"/>
        <v>-522.29999999999995</v>
      </c>
      <c r="G63" s="40">
        <f t="shared" si="7"/>
        <v>9282.2999999999993</v>
      </c>
      <c r="H63" s="232">
        <f t="shared" si="8"/>
        <v>-5.6268381758831316E-2</v>
      </c>
      <c r="I63" s="355"/>
      <c r="O63" s="83">
        <v>0.9</v>
      </c>
      <c r="P63" s="83">
        <f t="shared" si="6"/>
        <v>65.259</v>
      </c>
      <c r="W63" s="133">
        <v>42591</v>
      </c>
      <c r="X63" s="10">
        <v>79.86</v>
      </c>
      <c r="Y63" s="10">
        <v>79.900000000000006</v>
      </c>
      <c r="Z63" s="10">
        <v>79.010000000000005</v>
      </c>
      <c r="AA63" s="10">
        <v>79.33</v>
      </c>
      <c r="AB63" s="95">
        <v>9578200</v>
      </c>
      <c r="AC63" s="10">
        <v>78.849999999999994</v>
      </c>
      <c r="AD63" s="40">
        <f t="shared" si="1"/>
        <v>0.89000000000000057</v>
      </c>
      <c r="AE63" s="162">
        <f t="shared" si="2"/>
        <v>-5.1728488518800742E-3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9"/>
        <v>-925</v>
      </c>
      <c r="G64" s="40">
        <f t="shared" si="7"/>
        <v>9282</v>
      </c>
      <c r="H64" s="232">
        <f t="shared" si="8"/>
        <v>-9.965524671407025E-2</v>
      </c>
      <c r="I64" s="236">
        <v>88.5</v>
      </c>
      <c r="W64" s="133">
        <v>42590</v>
      </c>
      <c r="X64" s="10">
        <v>80.459999999999994</v>
      </c>
      <c r="Y64" s="10">
        <v>80.790000000000006</v>
      </c>
      <c r="Z64" s="10">
        <v>79.010000000000005</v>
      </c>
      <c r="AA64" s="10">
        <v>79.739999999999995</v>
      </c>
      <c r="AB64" s="95">
        <v>9511600</v>
      </c>
      <c r="AC64" s="10">
        <v>79.260000000000005</v>
      </c>
      <c r="AD64" s="40">
        <f t="shared" si="1"/>
        <v>1.7800000000000011</v>
      </c>
      <c r="AE64" s="162">
        <f t="shared" si="2"/>
        <v>-8.3823345427248563E-3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9"/>
        <v>-1102.9999999999986</v>
      </c>
      <c r="G65" s="40">
        <f t="shared" si="7"/>
        <v>9282</v>
      </c>
      <c r="H65" s="232">
        <f t="shared" si="8"/>
        <v>-0.11883214824391282</v>
      </c>
      <c r="I65" s="355"/>
      <c r="W65" s="133">
        <v>42587</v>
      </c>
      <c r="X65" s="10">
        <v>80.2</v>
      </c>
      <c r="Y65" s="10">
        <v>80.66</v>
      </c>
      <c r="Z65" s="10">
        <v>79.86</v>
      </c>
      <c r="AA65" s="10">
        <v>80.41</v>
      </c>
      <c r="AB65" s="95">
        <v>10692300</v>
      </c>
      <c r="AC65" s="10">
        <v>79.930000000000007</v>
      </c>
      <c r="AD65" s="40">
        <f t="shared" si="1"/>
        <v>0.79999999999999716</v>
      </c>
      <c r="AE65" s="162">
        <f t="shared" si="2"/>
        <v>8.0716357674359696E-3</v>
      </c>
    </row>
    <row r="66" spans="2:31" x14ac:dyDescent="0.25">
      <c r="B66" s="193">
        <v>42545</v>
      </c>
      <c r="C66" s="459">
        <v>200</v>
      </c>
      <c r="D66" s="460">
        <v>86.647000000000006</v>
      </c>
      <c r="E66" s="40">
        <v>80.47</v>
      </c>
      <c r="F66" s="40">
        <f t="shared" si="9"/>
        <v>-1235.4000000000015</v>
      </c>
      <c r="G66" s="40">
        <f t="shared" si="7"/>
        <v>17329.400000000001</v>
      </c>
      <c r="H66" s="232">
        <f t="shared" si="8"/>
        <v>-7.1289254099968918E-2</v>
      </c>
      <c r="I66" s="355"/>
      <c r="W66" s="133">
        <v>42586</v>
      </c>
      <c r="X66" s="10">
        <v>80.209999999999994</v>
      </c>
      <c r="Y66" s="10">
        <v>80.63</v>
      </c>
      <c r="Z66" s="10">
        <v>79.55</v>
      </c>
      <c r="AA66" s="10">
        <v>79.77</v>
      </c>
      <c r="AB66" s="95">
        <v>9738300</v>
      </c>
      <c r="AC66" s="10">
        <v>79.290000000000006</v>
      </c>
      <c r="AD66" s="40">
        <f t="shared" si="1"/>
        <v>1.0799999999999983</v>
      </c>
      <c r="AE66" s="162">
        <f t="shared" si="2"/>
        <v>-4.0195955281998597E-3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9"/>
        <v>-1679.400000000001</v>
      </c>
      <c r="G67" s="40">
        <f t="shared" si="7"/>
        <v>17329.400000000001</v>
      </c>
      <c r="H67" s="232">
        <f t="shared" si="8"/>
        <v>-9.6910452756587134E-2</v>
      </c>
      <c r="I67" s="355"/>
      <c r="W67" s="133">
        <v>42585</v>
      </c>
      <c r="X67" s="10">
        <v>79.72</v>
      </c>
      <c r="Y67" s="10">
        <v>80.17</v>
      </c>
      <c r="Z67" s="10">
        <v>79.11</v>
      </c>
      <c r="AA67" s="10">
        <v>80.09</v>
      </c>
      <c r="AB67" s="95">
        <v>10868100</v>
      </c>
      <c r="AC67" s="10">
        <v>79.61</v>
      </c>
      <c r="AD67" s="40">
        <f>Y67-Z67</f>
        <v>1.0600000000000023</v>
      </c>
      <c r="AE67" s="162">
        <f>AC67/AC68-1</f>
        <v>6.574788215956362E-3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0">C68*(E68-D68)</f>
        <v>-867.40000000000066</v>
      </c>
      <c r="G68" s="40">
        <f t="shared" ref="G68" si="11">D68*C68</f>
        <v>17329.400000000001</v>
      </c>
      <c r="H68" s="232">
        <f t="shared" ref="H68" si="12">(E68-D68)/D68</f>
        <v>-5.0053666024213218E-2</v>
      </c>
      <c r="I68" s="355"/>
      <c r="W68" s="133">
        <v>42584</v>
      </c>
      <c r="X68" s="10">
        <v>80.98</v>
      </c>
      <c r="Y68" s="10">
        <v>81.19</v>
      </c>
      <c r="Z68" s="10">
        <v>79.45</v>
      </c>
      <c r="AA68" s="10">
        <v>79.569999999999993</v>
      </c>
      <c r="AB68" s="95">
        <v>13408200</v>
      </c>
      <c r="AC68" s="10">
        <v>79.09</v>
      </c>
      <c r="AD68" s="40">
        <f>Y68-Z68</f>
        <v>1.7399999999999949</v>
      </c>
      <c r="AE68" s="162" t="e">
        <f>AC68/AC69-1</f>
        <v>#DIV/0!</v>
      </c>
    </row>
    <row r="69" spans="2:31" x14ac:dyDescent="0.25">
      <c r="B69" s="193">
        <v>42550</v>
      </c>
      <c r="C69" s="459">
        <v>200</v>
      </c>
      <c r="D69" s="460">
        <v>86.411500000000004</v>
      </c>
      <c r="E69" s="40">
        <v>82.27</v>
      </c>
      <c r="F69" s="40">
        <f t="shared" ref="F69:F70" si="13">C69*(E69-D69)</f>
        <v>-828.30000000000155</v>
      </c>
      <c r="G69" s="40">
        <f t="shared" ref="G69:G70" si="14">D69*C69</f>
        <v>17282.3</v>
      </c>
      <c r="H69" s="232">
        <f t="shared" ref="H69:H70" si="15">(E69-D69)/D69</f>
        <v>-4.7927648519005078E-2</v>
      </c>
      <c r="I69" s="355" t="s">
        <v>192</v>
      </c>
      <c r="W69" s="133" t="s">
        <v>121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3"/>
        <v>-422.48000000000019</v>
      </c>
      <c r="G70" s="40">
        <f t="shared" si="14"/>
        <v>8908.48</v>
      </c>
      <c r="H70" s="232">
        <f t="shared" si="15"/>
        <v>-4.7424476453895636E-2</v>
      </c>
      <c r="I70" s="355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6">C71*(E71-D71)</f>
        <v>-519.48</v>
      </c>
      <c r="G71" s="40">
        <f t="shared" ref="G71" si="17">D71*C71</f>
        <v>8908.48</v>
      </c>
      <c r="H71" s="232">
        <f t="shared" ref="H71" si="18">(E71-D71)/D71</f>
        <v>-5.8312978196055902E-2</v>
      </c>
      <c r="I71" s="355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19">C72*(E72-D72)</f>
        <v>-253.48000000000042</v>
      </c>
      <c r="G72" s="40">
        <f t="shared" ref="G72" si="20">D72*C72</f>
        <v>8908.48</v>
      </c>
      <c r="H72" s="232">
        <f t="shared" ref="H72" si="21">(E72-D72)/D72</f>
        <v>-2.8453787851575176E-2</v>
      </c>
      <c r="I72" s="355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2">C73*(E73-D73)</f>
        <v>-215.47999999999945</v>
      </c>
      <c r="G73" s="40">
        <f t="shared" ref="G73" si="23">D73*C73</f>
        <v>8908.48</v>
      </c>
      <c r="H73" s="232">
        <f t="shared" ref="H73" si="24">(E73-D73)/D73</f>
        <v>-2.4188189230934957E-2</v>
      </c>
      <c r="I73" s="355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5">C74*(E74-D74)</f>
        <v>-364.48000000000036</v>
      </c>
      <c r="G74" s="40">
        <f t="shared" ref="G74" si="26">D74*C74</f>
        <v>8908.48</v>
      </c>
      <c r="H74" s="232">
        <f t="shared" ref="H74" si="27">(E74-D74)/D74</f>
        <v>-4.0913825927655488E-2</v>
      </c>
      <c r="I74" s="355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8">C75*(E75-D75)</f>
        <v>-242.48000000000047</v>
      </c>
      <c r="G75" s="40">
        <f t="shared" ref="G75" si="29">D75*C75</f>
        <v>8908.48</v>
      </c>
      <c r="H75" s="232">
        <f t="shared" ref="H75" si="30">(E75-D75)/D75</f>
        <v>-2.7219009303495148E-2</v>
      </c>
      <c r="I75" s="355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1">C76*(E76-D76)</f>
        <v>-184.48000000000064</v>
      </c>
      <c r="G76" s="40">
        <f t="shared" ref="G76" si="32">D76*C76</f>
        <v>8908.48</v>
      </c>
      <c r="H76" s="232">
        <f t="shared" ref="H76" si="33">(E76-D76)/D76</f>
        <v>-2.0708358777255003E-2</v>
      </c>
      <c r="I76" s="355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4">C77*(E77-D77)</f>
        <v>-253.48000000000042</v>
      </c>
      <c r="G77" s="40">
        <f t="shared" ref="G77" si="35">D77*C77</f>
        <v>8908.48</v>
      </c>
      <c r="H77" s="232">
        <f t="shared" ref="H77" si="36">(E77-D77)/D77</f>
        <v>-2.8453787851575176E-2</v>
      </c>
      <c r="I77" s="481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7">C78*(E78-D78)</f>
        <v>-53.480000000000416</v>
      </c>
      <c r="G78" s="40">
        <f t="shared" ref="G78" si="38">D78*C78</f>
        <v>8908.48</v>
      </c>
      <c r="H78" s="232">
        <f t="shared" ref="H78" si="39">(E78-D78)/D78</f>
        <v>-6.0032687955746001E-3</v>
      </c>
      <c r="I78" s="355" t="s">
        <v>283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0">C79*(E79-D79)</f>
        <v>-795.27600000000064</v>
      </c>
      <c r="G79" s="40">
        <f t="shared" ref="G79:G80" si="41">D79*C79</f>
        <v>10521.276</v>
      </c>
      <c r="H79" s="232">
        <f t="shared" ref="H79:H80" si="42">(E79-D79)/D79</f>
        <v>-7.5587409740035388E-2</v>
      </c>
      <c r="I79" s="355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0"/>
        <v>-982.18499999999972</v>
      </c>
      <c r="G80" s="40">
        <f t="shared" si="41"/>
        <v>12902.684999999999</v>
      </c>
      <c r="H80" s="232">
        <f t="shared" si="42"/>
        <v>-7.6122527985454172E-2</v>
      </c>
      <c r="I80" s="355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3">C81*(E81-D81)</f>
        <v>-1067.6849999999988</v>
      </c>
      <c r="G81" s="40">
        <f t="shared" ref="G81" si="44">D81*C81</f>
        <v>12902.684999999999</v>
      </c>
      <c r="H81" s="232">
        <f t="shared" ref="H81" si="45">(E81-D81)/D81</f>
        <v>-8.2749055719797765E-2</v>
      </c>
      <c r="I81" s="355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6">C82*(E82-D82)</f>
        <v>-955.18499999999881</v>
      </c>
      <c r="G82" s="40">
        <f t="shared" ref="G82" si="47">D82*C82</f>
        <v>12902.684999999999</v>
      </c>
      <c r="H82" s="232">
        <f t="shared" ref="H82" si="48">(E82-D82)/D82</f>
        <v>-7.4029940279871892E-2</v>
      </c>
      <c r="I82" s="355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49">C83*(E83-D83)</f>
        <v>-797.68499999999915</v>
      </c>
      <c r="G83" s="40">
        <f t="shared" ref="G83" si="50">D83*C83</f>
        <v>12902.684999999999</v>
      </c>
      <c r="H83" s="232">
        <f t="shared" ref="H83" si="51">(E83-D83)/D83</f>
        <v>-6.1823178663975693E-2</v>
      </c>
      <c r="I83" s="355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2">C84*(E84-D84)</f>
        <v>-814.18499999999904</v>
      </c>
      <c r="G84" s="40">
        <f t="shared" ref="G84" si="53">D84*C84</f>
        <v>12902.684999999999</v>
      </c>
      <c r="H84" s="232">
        <f t="shared" ref="H84" si="54">(E84-D84)/D84</f>
        <v>-6.3101982261831474E-2</v>
      </c>
      <c r="I84" s="355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5">C85*(E85-D85)</f>
        <v>-752.6849999999996</v>
      </c>
      <c r="G85" s="40">
        <f t="shared" ref="G85" si="56">D85*C85</f>
        <v>12902.684999999999</v>
      </c>
      <c r="H85" s="232">
        <f t="shared" ref="H85" si="57">(E85-D85)/D85</f>
        <v>-5.8335532488005375E-2</v>
      </c>
      <c r="I85" s="355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8">C86*(E86-D86)</f>
        <v>-682.18499999999972</v>
      </c>
      <c r="G86" s="40">
        <f t="shared" ref="G86" si="59">D86*C86</f>
        <v>12902.684999999999</v>
      </c>
      <c r="H86" s="232">
        <f t="shared" ref="H86" si="60">(E86-D86)/D86</f>
        <v>-5.2871553478985173E-2</v>
      </c>
      <c r="I86" s="355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1">C87*(E87-D87)</f>
        <v>-827.6849999999996</v>
      </c>
      <c r="G87" s="40">
        <f t="shared" ref="G87" si="62">D87*C87</f>
        <v>12902.684999999999</v>
      </c>
      <c r="H87" s="232">
        <f t="shared" ref="H87" si="63">(E87-D87)/D87</f>
        <v>-6.4148276114622621E-2</v>
      </c>
      <c r="I87" s="355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4">C88*(E88-D88)</f>
        <v>-890.68499999999983</v>
      </c>
      <c r="G88" s="40">
        <f t="shared" ref="G88" si="65">D88*C88</f>
        <v>12902.684999999999</v>
      </c>
      <c r="H88" s="232">
        <f t="shared" ref="H88" si="66">(E88-D88)/D88</f>
        <v>-6.9030980760981131E-2</v>
      </c>
      <c r="I88" s="355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7">C89*(E89-D89)</f>
        <v>-927.38400000000081</v>
      </c>
      <c r="G89" s="40">
        <f t="shared" ref="G89" si="68">D89*C89</f>
        <v>14488.284</v>
      </c>
      <c r="H89" s="232">
        <f t="shared" ref="H89" si="69">(E89-D89)/D89</f>
        <v>-6.4009236704636707E-2</v>
      </c>
      <c r="I89" s="355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0">C90*(E90-D90)</f>
        <v>-1241.8839999999998</v>
      </c>
      <c r="G90" s="40">
        <f t="shared" ref="G90" si="71">D90*C90</f>
        <v>14488.284</v>
      </c>
      <c r="H90" s="232">
        <f t="shared" ref="H90" si="72">(E90-D90)/D90</f>
        <v>-8.5716431290275633E-2</v>
      </c>
      <c r="I90" s="355"/>
    </row>
    <row r="91" spans="2:9" x14ac:dyDescent="0.25">
      <c r="B91" s="193">
        <v>42614</v>
      </c>
      <c r="C91" s="459">
        <v>200</v>
      </c>
      <c r="D91" s="460">
        <v>84.093400000000003</v>
      </c>
      <c r="E91" s="40">
        <v>77.42</v>
      </c>
      <c r="F91" s="40">
        <f t="shared" ref="F91" si="73">C91*(E91-D91)</f>
        <v>-1334.6800000000003</v>
      </c>
      <c r="G91" s="40">
        <f t="shared" ref="G91" si="74">D91*C91</f>
        <v>16818.68</v>
      </c>
      <c r="H91" s="232">
        <f t="shared" ref="H91" si="75">(E91-D91)/D91</f>
        <v>-7.9357000668304534E-2</v>
      </c>
      <c r="I91" s="355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6">C92*(E92-D92)</f>
        <v>-1440.6800000000003</v>
      </c>
      <c r="G92" s="40">
        <f t="shared" ref="G92" si="77">D92*C92</f>
        <v>16818.68</v>
      </c>
      <c r="H92" s="232">
        <f t="shared" ref="H92" si="78">(E92-D92)/D92</f>
        <v>-8.5659516680262685E-2</v>
      </c>
      <c r="I92" s="355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79">C93*(E93-D93)</f>
        <v>-1242.6800000000014</v>
      </c>
      <c r="G93" s="40">
        <f t="shared" ref="G93" si="80">D93*C93</f>
        <v>16818.68</v>
      </c>
      <c r="H93" s="232">
        <f t="shared" ref="H93" si="81">(E93-D93)/D93</f>
        <v>-7.3886892431510753E-2</v>
      </c>
      <c r="I93" s="355"/>
    </row>
    <row r="94" spans="2:9" x14ac:dyDescent="0.25">
      <c r="B94" s="193">
        <v>42632</v>
      </c>
      <c r="C94" s="10">
        <v>200</v>
      </c>
      <c r="D94" s="40">
        <v>84.093400000000003</v>
      </c>
      <c r="E94" s="40">
        <v>78.989999999999995</v>
      </c>
      <c r="F94" s="40">
        <f t="shared" ref="F94" si="82">C94*(E94-D94)</f>
        <v>-1020.6800000000015</v>
      </c>
      <c r="G94" s="40">
        <f t="shared" ref="G94" si="83">D94*C94</f>
        <v>16818.68</v>
      </c>
      <c r="H94" s="232">
        <f t="shared" ref="H94" si="84">(E94-D94)/D94</f>
        <v>-6.0687283425334304E-2</v>
      </c>
      <c r="I94" s="355"/>
    </row>
    <row r="95" spans="2:9" x14ac:dyDescent="0.25">
      <c r="B95" s="193">
        <v>42633</v>
      </c>
      <c r="C95" s="10">
        <v>200</v>
      </c>
      <c r="D95" s="40">
        <v>84.093400000000003</v>
      </c>
      <c r="E95" s="40">
        <v>81.78</v>
      </c>
      <c r="F95" s="40">
        <f t="shared" ref="F95" si="85">C95*(E95-D95)</f>
        <v>-462.68000000000029</v>
      </c>
      <c r="G95" s="40">
        <f t="shared" ref="G95" si="86">D95*C95</f>
        <v>16818.68</v>
      </c>
      <c r="H95" s="232">
        <f t="shared" ref="H95" si="87">(E95-D95)/D95</f>
        <v>-2.7509887815215003E-2</v>
      </c>
      <c r="I95" s="355"/>
    </row>
    <row r="96" spans="2:9" x14ac:dyDescent="0.25">
      <c r="B96" s="193">
        <v>42635</v>
      </c>
      <c r="C96" s="10">
        <v>200</v>
      </c>
      <c r="D96" s="40">
        <v>84.093400000000003</v>
      </c>
      <c r="E96" s="40">
        <v>81.52</v>
      </c>
      <c r="F96" s="40">
        <f t="shared" ref="F96" si="88">C96*(E96-D96)</f>
        <v>-514.68000000000131</v>
      </c>
      <c r="G96" s="40">
        <f t="shared" ref="G96" si="89">D96*C96</f>
        <v>16818.68</v>
      </c>
      <c r="H96" s="232">
        <f t="shared" ref="H96" si="90">(E96-D96)/D96</f>
        <v>-3.060168812296811E-2</v>
      </c>
      <c r="I96" s="355"/>
    </row>
    <row r="97" spans="2:9" x14ac:dyDescent="0.25">
      <c r="B97" s="193">
        <v>42640</v>
      </c>
      <c r="C97" s="10">
        <v>200</v>
      </c>
      <c r="D97" s="40">
        <v>84.093400000000003</v>
      </c>
      <c r="E97" s="40">
        <v>79.25</v>
      </c>
      <c r="F97" s="40">
        <f t="shared" ref="F97" si="91">C97*(E97-D97)</f>
        <v>-968.68000000000052</v>
      </c>
      <c r="G97" s="40">
        <f t="shared" ref="G97" si="92">D97*C97</f>
        <v>16818.68</v>
      </c>
      <c r="H97" s="232">
        <f t="shared" ref="H97" si="93">(E97-D97)/D97</f>
        <v>-5.7595483117581198E-2</v>
      </c>
      <c r="I97" s="355" t="s">
        <v>192</v>
      </c>
    </row>
    <row r="98" spans="2:9" x14ac:dyDescent="0.25">
      <c r="B98" s="193">
        <v>42643</v>
      </c>
      <c r="C98" s="459">
        <v>200</v>
      </c>
      <c r="D98" s="460">
        <v>83.623400000000004</v>
      </c>
      <c r="E98" s="40">
        <v>79.12</v>
      </c>
      <c r="F98" s="40">
        <f t="shared" ref="F98:F100" si="94">C98*(E98-D98)</f>
        <v>-900.67999999999984</v>
      </c>
      <c r="G98" s="40">
        <f t="shared" ref="G98:G100" si="95">D98*C98</f>
        <v>16724.68</v>
      </c>
      <c r="H98" s="232">
        <f t="shared" ref="H98:H100" si="96">(E98-D98)/D98</f>
        <v>-5.3853347268826658E-2</v>
      </c>
      <c r="I98" s="40">
        <v>83</v>
      </c>
    </row>
    <row r="99" spans="2:9" x14ac:dyDescent="0.25">
      <c r="B99" s="193">
        <v>42646</v>
      </c>
      <c r="C99" s="459">
        <v>200</v>
      </c>
      <c r="D99" s="460">
        <v>83.518799999999999</v>
      </c>
      <c r="E99" s="40">
        <v>78.03</v>
      </c>
      <c r="F99" s="40">
        <f t="shared" si="94"/>
        <v>-1097.7599999999995</v>
      </c>
      <c r="G99" s="40">
        <f t="shared" si="95"/>
        <v>16703.759999999998</v>
      </c>
      <c r="H99" s="232">
        <f t="shared" si="96"/>
        <v>-6.5719335047917327E-2</v>
      </c>
      <c r="I99" s="355"/>
    </row>
    <row r="100" spans="2:9" x14ac:dyDescent="0.25">
      <c r="B100" s="193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94"/>
        <v>-1470.25</v>
      </c>
      <c r="G100" s="40">
        <f t="shared" si="95"/>
        <v>20522.75</v>
      </c>
      <c r="H100" s="232">
        <f t="shared" si="96"/>
        <v>-7.1640009258018542E-2</v>
      </c>
      <c r="I100" s="355"/>
    </row>
    <row r="101" spans="2:9" x14ac:dyDescent="0.25">
      <c r="B101" s="193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ref="F101" si="97">C101*(E101-D101)</f>
        <v>-1712.7499999999998</v>
      </c>
      <c r="G101" s="40">
        <f t="shared" ref="G101" si="98">D101*C101</f>
        <v>20522.75</v>
      </c>
      <c r="H101" s="232">
        <f t="shared" ref="H101" si="99">(E101-D101)/D101</f>
        <v>-8.3456164500371535E-2</v>
      </c>
      <c r="I101" s="355"/>
    </row>
    <row r="102" spans="2:9" x14ac:dyDescent="0.25">
      <c r="B102" s="193">
        <v>42661</v>
      </c>
      <c r="C102" s="10">
        <v>250</v>
      </c>
      <c r="D102" s="40">
        <v>82.090999999999994</v>
      </c>
      <c r="E102" s="40">
        <v>73.41</v>
      </c>
      <c r="F102" s="40">
        <f t="shared" ref="F102" si="100">C102*(E102-D102)</f>
        <v>-2170.2499999999995</v>
      </c>
      <c r="G102" s="40">
        <f t="shared" ref="G102" si="101">D102*C102</f>
        <v>20522.75</v>
      </c>
      <c r="H102" s="232">
        <f t="shared" ref="H102" si="102">(E102-D102)/D102</f>
        <v>-0.105748498617388</v>
      </c>
      <c r="I102" s="355"/>
    </row>
    <row r="103" spans="2:9" x14ac:dyDescent="0.25">
      <c r="B103" s="193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" si="103">C103*(E103-D103)</f>
        <v>-2395.2499999999973</v>
      </c>
      <c r="G103" s="40">
        <f t="shared" ref="G103" si="104">D103*C103</f>
        <v>20522.75</v>
      </c>
      <c r="H103" s="232">
        <f t="shared" ref="H103" si="105">(E103-D103)/D103</f>
        <v>-0.11671194162575665</v>
      </c>
      <c r="I103" s="355"/>
    </row>
    <row r="104" spans="2:9" x14ac:dyDescent="0.25">
      <c r="B104" s="10"/>
      <c r="C104" s="10"/>
      <c r="D104" s="40"/>
      <c r="E104" s="40"/>
      <c r="F104" s="40"/>
      <c r="G104" s="40"/>
      <c r="H104" s="232"/>
      <c r="I104" s="355"/>
    </row>
    <row r="105" spans="2:9" x14ac:dyDescent="0.25">
      <c r="B105" s="10"/>
      <c r="C105" s="10"/>
      <c r="D105" s="40"/>
      <c r="E105" s="40"/>
      <c r="F105" s="40"/>
      <c r="G105" s="40"/>
      <c r="H105" s="232"/>
      <c r="I105" s="355"/>
    </row>
    <row r="106" spans="2:9" x14ac:dyDescent="0.25">
      <c r="B106" s="10"/>
      <c r="C106" s="10"/>
      <c r="D106" s="40"/>
      <c r="E106" s="40"/>
      <c r="F106" s="40"/>
      <c r="G106" s="40"/>
      <c r="H106" s="232"/>
      <c r="I106" s="355"/>
    </row>
  </sheetData>
  <mergeCells count="1">
    <mergeCell ref="O42:P42"/>
  </mergeCells>
  <conditionalFormatting sqref="F50:F51 H50:I51 H52 H53:I63 H64 H65:I97 H98 F55:F106 H99:I106">
    <cfRule type="expression" dxfId="81" priority="28">
      <formula>F50&gt;0</formula>
    </cfRule>
    <cfRule type="expression" dxfId="80" priority="29">
      <formula>F50&lt;0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79" priority="21">
      <formula>F47&gt;0</formula>
    </cfRule>
    <cfRule type="expression" dxfId="78" priority="22">
      <formula>F47&lt;0</formula>
    </cfRule>
  </conditionalFormatting>
  <conditionalFormatting sqref="H47:I47">
    <cfRule type="expression" dxfId="77" priority="17">
      <formula>H47&gt;0</formula>
    </cfRule>
    <cfRule type="expression" dxfId="76" priority="18">
      <formula>H47&lt;0</formula>
    </cfRule>
  </conditionalFormatting>
  <conditionalFormatting sqref="H48:I48">
    <cfRule type="expression" dxfId="75" priority="15">
      <formula>H48&gt;0</formula>
    </cfRule>
    <cfRule type="expression" dxfId="74" priority="16">
      <formula>H48&lt;0</formula>
    </cfRule>
  </conditionalFormatting>
  <conditionalFormatting sqref="H49:I49">
    <cfRule type="expression" dxfId="73" priority="13">
      <formula>H49&gt;0</formula>
    </cfRule>
    <cfRule type="expression" dxfId="72" priority="14">
      <formula>H49&lt;0</formula>
    </cfRule>
  </conditionalFormatting>
  <conditionalFormatting sqref="F40:F46">
    <cfRule type="expression" dxfId="71" priority="11">
      <formula>F40&gt;0</formula>
    </cfRule>
    <cfRule type="expression" dxfId="70" priority="12">
      <formula>F40&lt;0</formula>
    </cfRule>
  </conditionalFormatting>
  <conditionalFormatting sqref="H40:I46">
    <cfRule type="expression" dxfId="69" priority="9">
      <formula>H40&gt;0</formula>
    </cfRule>
    <cfRule type="expression" dxfId="68" priority="10">
      <formula>H40&lt;0</formula>
    </cfRule>
  </conditionalFormatting>
  <conditionalFormatting sqref="I52 F52:F54">
    <cfRule type="expression" dxfId="67" priority="7">
      <formula>F52&gt;0</formula>
    </cfRule>
    <cfRule type="expression" dxfId="66" priority="8">
      <formula>F52&lt;0</formula>
    </cfRule>
  </conditionalFormatting>
  <conditionalFormatting sqref="Q8">
    <cfRule type="expression" dxfId="65" priority="3">
      <formula>Q8&gt;0</formula>
    </cfRule>
    <cfRule type="expression" dxfId="64" priority="4">
      <formula>Q8&lt;0</formula>
    </cfRule>
  </conditionalFormatting>
  <conditionalFormatting sqref="Q7">
    <cfRule type="expression" dxfId="63" priority="5">
      <formula>Q7&gt;0</formula>
    </cfRule>
    <cfRule type="expression" dxfId="62" priority="6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42676</v>
      </c>
      <c r="X2" s="10">
        <v>57.61</v>
      </c>
      <c r="Y2" s="10">
        <v>58.58</v>
      </c>
      <c r="Z2" s="10">
        <v>57.43</v>
      </c>
      <c r="AA2" s="10">
        <v>57.45</v>
      </c>
      <c r="AB2" s="95">
        <v>226400</v>
      </c>
      <c r="AC2" s="10">
        <v>57.45</v>
      </c>
      <c r="AD2" s="2">
        <f>Y2-Z2</f>
        <v>1.1499999999999986</v>
      </c>
      <c r="AE2" s="138">
        <f>AC2/AC3-1</f>
        <v>-3.8148083925784171E-3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57.45</v>
      </c>
      <c r="W3" s="133">
        <v>42675</v>
      </c>
      <c r="X3" s="10">
        <v>59.24</v>
      </c>
      <c r="Y3" s="10">
        <v>59.46</v>
      </c>
      <c r="Z3" s="10">
        <v>57.51</v>
      </c>
      <c r="AA3" s="10">
        <v>57.67</v>
      </c>
      <c r="AB3" s="95">
        <v>222100</v>
      </c>
      <c r="AC3" s="10">
        <v>57.67</v>
      </c>
      <c r="AD3" s="2">
        <f t="shared" ref="AD3:AD66" si="0">Y3-Z3</f>
        <v>1.9500000000000028</v>
      </c>
      <c r="AE3" s="138">
        <f t="shared" ref="AE3:AE66" si="1">AC3/AC4-1</f>
        <v>-2.221091895557803E-2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57.45</v>
      </c>
      <c r="R4" s="527">
        <v>-3.8E-3</v>
      </c>
      <c r="W4" s="133">
        <v>42674</v>
      </c>
      <c r="X4" s="10">
        <v>58.76</v>
      </c>
      <c r="Y4" s="10">
        <v>59.38</v>
      </c>
      <c r="Z4" s="10">
        <v>58.59</v>
      </c>
      <c r="AA4" s="10">
        <v>58.98</v>
      </c>
      <c r="AB4" s="95">
        <v>314900</v>
      </c>
      <c r="AC4" s="10">
        <v>58.98</v>
      </c>
      <c r="AD4" s="2">
        <f t="shared" si="0"/>
        <v>0.78999999999999915</v>
      </c>
      <c r="AE4" s="138">
        <f t="shared" si="1"/>
        <v>7.5162282200205155E-3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42671</v>
      </c>
      <c r="X5" s="10">
        <v>58.48</v>
      </c>
      <c r="Y5" s="10">
        <v>59.57</v>
      </c>
      <c r="Z5" s="10">
        <v>58.47</v>
      </c>
      <c r="AA5" s="10">
        <v>58.54</v>
      </c>
      <c r="AB5" s="95">
        <v>239200</v>
      </c>
      <c r="AC5" s="10">
        <v>58.54</v>
      </c>
      <c r="AD5" s="2">
        <f t="shared" si="0"/>
        <v>1.1000000000000014</v>
      </c>
      <c r="AE5" s="138">
        <f t="shared" si="1"/>
        <v>2.054091064703778E-3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42670</v>
      </c>
      <c r="X6" s="10">
        <v>59.18</v>
      </c>
      <c r="Y6" s="10">
        <v>59.68</v>
      </c>
      <c r="Z6" s="10">
        <v>58.17</v>
      </c>
      <c r="AA6" s="10">
        <v>58.42</v>
      </c>
      <c r="AB6" s="95">
        <v>214700</v>
      </c>
      <c r="AC6" s="10">
        <v>58.42</v>
      </c>
      <c r="AD6" s="2">
        <f t="shared" si="0"/>
        <v>1.509999999999998</v>
      </c>
      <c r="AE6" s="138">
        <f t="shared" si="1"/>
        <v>-8.317772873875362E-3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184</v>
      </c>
      <c r="Q7" s="2">
        <f>Q10+Q8</f>
        <v>33.940000000000055</v>
      </c>
      <c r="R7">
        <v>0</v>
      </c>
      <c r="W7" s="133">
        <v>42669</v>
      </c>
      <c r="X7" s="10">
        <v>58.21</v>
      </c>
      <c r="Y7" s="10">
        <v>59.48</v>
      </c>
      <c r="Z7" s="10">
        <v>58.21</v>
      </c>
      <c r="AA7" s="10">
        <v>58.91</v>
      </c>
      <c r="AB7" s="95">
        <v>184000</v>
      </c>
      <c r="AC7" s="10">
        <v>58.91</v>
      </c>
      <c r="AD7" s="2">
        <f t="shared" si="0"/>
        <v>1.269999999999996</v>
      </c>
      <c r="AE7" s="138">
        <f t="shared" si="1"/>
        <v>7.8699743370400643E-3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42668</v>
      </c>
      <c r="X8" s="10">
        <v>58.82</v>
      </c>
      <c r="Y8" s="10">
        <v>59.47</v>
      </c>
      <c r="Z8" s="10">
        <v>58.2</v>
      </c>
      <c r="AA8" s="10">
        <v>58.45</v>
      </c>
      <c r="AB8" s="95">
        <v>159000</v>
      </c>
      <c r="AC8" s="10">
        <v>58.45</v>
      </c>
      <c r="AD8" s="2">
        <f t="shared" si="0"/>
        <v>1.269999999999996</v>
      </c>
      <c r="AE8" s="138">
        <f t="shared" si="1"/>
        <v>-7.3029891304348116E-3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219</v>
      </c>
      <c r="Q9" s="138">
        <f>IF(Q2=0, 0, Q8/Q6)</f>
        <v>0</v>
      </c>
      <c r="W9" s="133">
        <v>42667</v>
      </c>
      <c r="X9" s="10">
        <v>58.87</v>
      </c>
      <c r="Y9" s="10">
        <v>59.51</v>
      </c>
      <c r="Z9" s="10">
        <v>58.58</v>
      </c>
      <c r="AA9" s="10">
        <v>58.88</v>
      </c>
      <c r="AB9" s="95">
        <v>170600</v>
      </c>
      <c r="AC9" s="10">
        <v>58.88</v>
      </c>
      <c r="AD9" s="2">
        <f t="shared" si="0"/>
        <v>0.92999999999999972</v>
      </c>
      <c r="AE9" s="138">
        <f t="shared" si="1"/>
        <v>6.3237053495128759E-3</v>
      </c>
    </row>
    <row r="10" spans="1:31" x14ac:dyDescent="0.25">
      <c r="O10" s="11" t="s">
        <v>218</v>
      </c>
      <c r="P10" s="34"/>
      <c r="Q10" s="2">
        <f>M33</f>
        <v>33.940000000000055</v>
      </c>
      <c r="W10" s="133">
        <v>42664</v>
      </c>
      <c r="X10" s="10">
        <v>58.11</v>
      </c>
      <c r="Y10" s="10">
        <v>58.96</v>
      </c>
      <c r="Z10" s="10">
        <v>57.81</v>
      </c>
      <c r="AA10" s="10">
        <v>58.51</v>
      </c>
      <c r="AB10" s="95">
        <v>190200</v>
      </c>
      <c r="AC10" s="10">
        <v>58.51</v>
      </c>
      <c r="AD10" s="2">
        <f t="shared" si="0"/>
        <v>1.1499999999999986</v>
      </c>
      <c r="AE10" s="138">
        <f t="shared" si="1"/>
        <v>-2.3870417732310134E-3</v>
      </c>
    </row>
    <row r="11" spans="1:31" x14ac:dyDescent="0.25">
      <c r="O11" s="11" t="s">
        <v>181</v>
      </c>
      <c r="P11" s="34"/>
      <c r="Q11" s="138">
        <f>IF(U58="N/A (N/A)", 0, VALUE(TRIM(CLEAN(MID(U58, FIND("(", U58)+1, 5)))))</f>
        <v>7.4999999999999997E-3</v>
      </c>
      <c r="W11" s="133">
        <v>42663</v>
      </c>
      <c r="X11" s="10">
        <v>58.85</v>
      </c>
      <c r="Y11" s="10">
        <v>59.22</v>
      </c>
      <c r="Z11" s="10">
        <v>58.41</v>
      </c>
      <c r="AA11" s="10">
        <v>58.65</v>
      </c>
      <c r="AB11" s="95">
        <v>187400</v>
      </c>
      <c r="AC11" s="10">
        <v>58.65</v>
      </c>
      <c r="AD11" s="2">
        <f t="shared" si="0"/>
        <v>0.81000000000000227</v>
      </c>
      <c r="AE11" s="138">
        <f t="shared" si="1"/>
        <v>-9.4578618476609533E-3</v>
      </c>
    </row>
    <row r="12" spans="1:31" x14ac:dyDescent="0.25">
      <c r="W12" s="133">
        <v>42662</v>
      </c>
      <c r="X12" s="10">
        <v>59.25</v>
      </c>
      <c r="Y12" s="10">
        <v>59.59</v>
      </c>
      <c r="Z12" s="10">
        <v>59.07</v>
      </c>
      <c r="AA12" s="10">
        <v>59.21</v>
      </c>
      <c r="AB12" s="95">
        <v>308200</v>
      </c>
      <c r="AC12" s="10">
        <v>59.21</v>
      </c>
      <c r="AD12" s="2">
        <f t="shared" si="0"/>
        <v>0.52000000000000313</v>
      </c>
      <c r="AE12" s="138">
        <f t="shared" si="1"/>
        <v>-1.1808367071525216E-3</v>
      </c>
    </row>
    <row r="13" spans="1:31" x14ac:dyDescent="0.25">
      <c r="W13" s="133">
        <v>42661</v>
      </c>
      <c r="X13" s="10">
        <v>60.33</v>
      </c>
      <c r="Y13" s="10">
        <v>60.36</v>
      </c>
      <c r="Z13" s="10">
        <v>59.23</v>
      </c>
      <c r="AA13" s="10">
        <v>59.28</v>
      </c>
      <c r="AB13" s="95">
        <v>173100</v>
      </c>
      <c r="AC13" s="10">
        <v>59.28</v>
      </c>
      <c r="AD13" s="2">
        <f t="shared" si="0"/>
        <v>1.1300000000000026</v>
      </c>
      <c r="AE13" s="138">
        <f t="shared" si="1"/>
        <v>-4.366812227074246E-3</v>
      </c>
    </row>
    <row r="14" spans="1:31" x14ac:dyDescent="0.25">
      <c r="W14" s="133">
        <v>42660</v>
      </c>
      <c r="X14" s="10">
        <v>59.28</v>
      </c>
      <c r="Y14" s="10">
        <v>59.93</v>
      </c>
      <c r="Z14" s="10">
        <v>59.28</v>
      </c>
      <c r="AA14" s="10">
        <v>59.54</v>
      </c>
      <c r="AB14" s="95">
        <v>188900</v>
      </c>
      <c r="AC14" s="10">
        <v>59.54</v>
      </c>
      <c r="AD14" s="2">
        <f t="shared" si="0"/>
        <v>0.64999999999999858</v>
      </c>
      <c r="AE14" s="138">
        <f t="shared" si="1"/>
        <v>5.5733828745143654E-3</v>
      </c>
    </row>
    <row r="15" spans="1:31" x14ac:dyDescent="0.25">
      <c r="W15" s="133">
        <v>42657</v>
      </c>
      <c r="X15" s="10">
        <v>59.49</v>
      </c>
      <c r="Y15" s="10">
        <v>60.22</v>
      </c>
      <c r="Z15" s="10">
        <v>59.2</v>
      </c>
      <c r="AA15" s="10">
        <v>59.21</v>
      </c>
      <c r="AB15" s="95">
        <v>432900</v>
      </c>
      <c r="AC15" s="10">
        <v>59.21</v>
      </c>
      <c r="AD15" s="2">
        <f t="shared" si="0"/>
        <v>1.019999999999996</v>
      </c>
      <c r="AE15" s="138">
        <f t="shared" si="1"/>
        <v>3.3789491468150246E-4</v>
      </c>
    </row>
    <row r="16" spans="1:31" x14ac:dyDescent="0.25">
      <c r="W16" s="133">
        <v>42656</v>
      </c>
      <c r="X16" s="10">
        <v>58.9</v>
      </c>
      <c r="Y16" s="10">
        <v>59.42</v>
      </c>
      <c r="Z16" s="10">
        <v>58.23</v>
      </c>
      <c r="AA16" s="10">
        <v>59.19</v>
      </c>
      <c r="AB16" s="95">
        <v>347500</v>
      </c>
      <c r="AC16" s="10">
        <v>59.19</v>
      </c>
      <c r="AD16" s="2">
        <f t="shared" si="0"/>
        <v>1.1900000000000048</v>
      </c>
      <c r="AE16" s="138">
        <f t="shared" si="1"/>
        <v>-4.0383644623928072E-3</v>
      </c>
    </row>
    <row r="17" spans="1:31" x14ac:dyDescent="0.25">
      <c r="W17" s="133">
        <v>42655</v>
      </c>
      <c r="X17" s="10">
        <v>59.32</v>
      </c>
      <c r="Y17" s="10">
        <v>59.75</v>
      </c>
      <c r="Z17" s="10">
        <v>58.74</v>
      </c>
      <c r="AA17" s="10">
        <v>59.43</v>
      </c>
      <c r="AB17" s="95">
        <v>287700</v>
      </c>
      <c r="AC17" s="10">
        <v>59.43</v>
      </c>
      <c r="AD17" s="2">
        <f t="shared" si="0"/>
        <v>1.009999999999998</v>
      </c>
      <c r="AE17" s="138">
        <f t="shared" si="1"/>
        <v>4.0547389761784736E-3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42654</v>
      </c>
      <c r="X18" s="10">
        <v>60.8</v>
      </c>
      <c r="Y18" s="10">
        <v>61.06</v>
      </c>
      <c r="Z18" s="10">
        <v>58.67</v>
      </c>
      <c r="AA18" s="10">
        <v>59.19</v>
      </c>
      <c r="AB18" s="95">
        <v>246700</v>
      </c>
      <c r="AC18" s="10">
        <v>59.19</v>
      </c>
      <c r="AD18" s="2">
        <f t="shared" si="0"/>
        <v>2.3900000000000006</v>
      </c>
      <c r="AE18" s="138">
        <f t="shared" si="1"/>
        <v>-2.8078817733990125E-2</v>
      </c>
    </row>
    <row r="19" spans="1:31" x14ac:dyDescent="0.25">
      <c r="W19" s="133">
        <v>42653</v>
      </c>
      <c r="X19" s="10">
        <v>61.12</v>
      </c>
      <c r="Y19" s="10">
        <v>61.66</v>
      </c>
      <c r="Z19" s="10">
        <v>60.67</v>
      </c>
      <c r="AA19" s="10">
        <v>60.9</v>
      </c>
      <c r="AB19" s="95">
        <v>117500</v>
      </c>
      <c r="AC19" s="10">
        <v>60.9</v>
      </c>
      <c r="AD19" s="2">
        <f t="shared" si="0"/>
        <v>0.98999999999999488</v>
      </c>
      <c r="AE19" s="138">
        <f t="shared" si="1"/>
        <v>4.1220115416322756E-3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W20" s="133">
        <v>42650</v>
      </c>
      <c r="X20" s="10">
        <v>61.83</v>
      </c>
      <c r="Y20" s="10">
        <v>61.83</v>
      </c>
      <c r="Z20" s="10">
        <v>60.32</v>
      </c>
      <c r="AA20" s="10">
        <v>60.65</v>
      </c>
      <c r="AB20" s="95">
        <v>233600</v>
      </c>
      <c r="AC20" s="10">
        <v>60.65</v>
      </c>
      <c r="AD20" s="2">
        <f t="shared" si="0"/>
        <v>1.509999999999998</v>
      </c>
      <c r="AE20" s="138">
        <f t="shared" si="1"/>
        <v>-2.1616389740280795E-2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42649</v>
      </c>
      <c r="X21" s="10">
        <v>61.55</v>
      </c>
      <c r="Y21" s="10">
        <v>62.28</v>
      </c>
      <c r="Z21" s="10">
        <v>61.37</v>
      </c>
      <c r="AA21" s="10">
        <v>61.99</v>
      </c>
      <c r="AB21" s="95">
        <v>303900</v>
      </c>
      <c r="AC21" s="10">
        <v>61.99</v>
      </c>
      <c r="AD21" s="2">
        <f t="shared" si="0"/>
        <v>0.91000000000000369</v>
      </c>
      <c r="AE21" s="138">
        <f t="shared" si="1"/>
        <v>1.9395506707613475E-3</v>
      </c>
    </row>
    <row r="22" spans="1:31" x14ac:dyDescent="0.25">
      <c r="B22" s="193">
        <v>42310</v>
      </c>
      <c r="C22" s="10">
        <v>0</v>
      </c>
      <c r="D22" s="202" t="s">
        <v>129</v>
      </c>
      <c r="E22" s="40">
        <v>46.15</v>
      </c>
      <c r="F22" s="40">
        <v>33.94</v>
      </c>
      <c r="W22" s="133">
        <v>42648</v>
      </c>
      <c r="X22" s="10">
        <v>61.81</v>
      </c>
      <c r="Y22" s="10">
        <v>62.66</v>
      </c>
      <c r="Z22" s="10">
        <v>61.51</v>
      </c>
      <c r="AA22" s="10">
        <v>61.87</v>
      </c>
      <c r="AB22" s="95">
        <v>239400</v>
      </c>
      <c r="AC22" s="10">
        <v>61.87</v>
      </c>
      <c r="AD22" s="2">
        <f t="shared" si="0"/>
        <v>1.1499999999999986</v>
      </c>
      <c r="AE22" s="138">
        <f t="shared" si="1"/>
        <v>2.4303305249513407E-3</v>
      </c>
    </row>
    <row r="23" spans="1:31" x14ac:dyDescent="0.25">
      <c r="B23" s="10"/>
      <c r="C23" s="10"/>
      <c r="D23" s="40"/>
      <c r="E23" s="40"/>
      <c r="F23" s="40"/>
      <c r="W23" s="133">
        <v>42647</v>
      </c>
      <c r="X23" s="10">
        <v>62.53</v>
      </c>
      <c r="Y23" s="10">
        <v>62.89</v>
      </c>
      <c r="Z23" s="10">
        <v>61.5</v>
      </c>
      <c r="AA23" s="10">
        <v>61.72</v>
      </c>
      <c r="AB23" s="95">
        <v>167000</v>
      </c>
      <c r="AC23" s="10">
        <v>61.72</v>
      </c>
      <c r="AD23" s="2">
        <f t="shared" si="0"/>
        <v>1.3900000000000006</v>
      </c>
      <c r="AE23" s="138">
        <f t="shared" si="1"/>
        <v>-1.3584785040754332E-2</v>
      </c>
    </row>
    <row r="24" spans="1:31" x14ac:dyDescent="0.25">
      <c r="B24" s="10"/>
      <c r="C24" s="10"/>
      <c r="D24" s="40"/>
      <c r="E24" s="40"/>
      <c r="F24" s="40"/>
      <c r="W24" s="133">
        <v>42646</v>
      </c>
      <c r="X24" s="10">
        <v>61.97</v>
      </c>
      <c r="Y24" s="10">
        <v>63.2</v>
      </c>
      <c r="Z24" s="10">
        <v>61.75</v>
      </c>
      <c r="AA24" s="10">
        <v>62.57</v>
      </c>
      <c r="AB24" s="95">
        <v>253000</v>
      </c>
      <c r="AC24" s="10">
        <v>62.57</v>
      </c>
      <c r="AD24" s="2">
        <f t="shared" si="0"/>
        <v>1.4500000000000028</v>
      </c>
      <c r="AE24" s="138">
        <f t="shared" si="1"/>
        <v>1.4404609475031638E-3</v>
      </c>
    </row>
    <row r="25" spans="1:31" x14ac:dyDescent="0.25">
      <c r="B25" s="10"/>
      <c r="C25" s="10"/>
      <c r="D25" s="40"/>
      <c r="E25" s="40"/>
      <c r="F25" s="40"/>
      <c r="W25" s="133">
        <v>42643</v>
      </c>
      <c r="X25" s="10">
        <v>61.8</v>
      </c>
      <c r="Y25" s="10">
        <v>62.91</v>
      </c>
      <c r="Z25" s="10">
        <v>61.67</v>
      </c>
      <c r="AA25" s="10">
        <v>62.48</v>
      </c>
      <c r="AB25" s="95">
        <v>231700</v>
      </c>
      <c r="AC25" s="10">
        <v>62.48</v>
      </c>
      <c r="AD25" s="2">
        <f t="shared" si="0"/>
        <v>1.2399999999999949</v>
      </c>
      <c r="AE25" s="138">
        <f t="shared" si="1"/>
        <v>1.4450397791849312E-2</v>
      </c>
    </row>
    <row r="26" spans="1:31" x14ac:dyDescent="0.25">
      <c r="B26" s="10"/>
      <c r="C26" s="10"/>
      <c r="D26" s="40"/>
      <c r="E26" s="40"/>
      <c r="F26" s="40"/>
      <c r="W26" s="133">
        <v>42642</v>
      </c>
      <c r="X26" s="10">
        <v>62.1</v>
      </c>
      <c r="Y26" s="10">
        <v>62.25</v>
      </c>
      <c r="Z26" s="10">
        <v>61.29</v>
      </c>
      <c r="AA26" s="10">
        <v>61.59</v>
      </c>
      <c r="AB26" s="95">
        <v>116600</v>
      </c>
      <c r="AC26" s="10">
        <v>61.59</v>
      </c>
      <c r="AD26" s="2">
        <f t="shared" si="0"/>
        <v>0.96000000000000085</v>
      </c>
      <c r="AE26" s="138">
        <f t="shared" si="1"/>
        <v>-9.1698841698840683E-3</v>
      </c>
    </row>
    <row r="27" spans="1:31" x14ac:dyDescent="0.25">
      <c r="B27" s="10"/>
      <c r="C27" s="10"/>
      <c r="D27" s="40"/>
      <c r="E27" s="40"/>
      <c r="F27" s="40"/>
      <c r="W27" s="133">
        <v>42641</v>
      </c>
      <c r="X27" s="10">
        <v>61.35</v>
      </c>
      <c r="Y27" s="10">
        <v>62.23</v>
      </c>
      <c r="Z27" s="10">
        <v>61.15</v>
      </c>
      <c r="AA27" s="10">
        <v>62.16</v>
      </c>
      <c r="AB27" s="95">
        <v>208900</v>
      </c>
      <c r="AC27" s="10">
        <v>62.16</v>
      </c>
      <c r="AD27" s="2">
        <f t="shared" si="0"/>
        <v>1.0799999999999983</v>
      </c>
      <c r="AE27" s="138">
        <f t="shared" si="1"/>
        <v>1.2212994626282336E-2</v>
      </c>
    </row>
    <row r="28" spans="1:31" x14ac:dyDescent="0.25">
      <c r="B28" s="10"/>
      <c r="C28" s="10"/>
      <c r="D28" s="40"/>
      <c r="E28" s="40"/>
      <c r="F28" s="40"/>
      <c r="W28" s="133">
        <v>42640</v>
      </c>
      <c r="X28" s="10">
        <v>60.85</v>
      </c>
      <c r="Y28" s="10">
        <v>61.57</v>
      </c>
      <c r="Z28" s="10">
        <v>60.51</v>
      </c>
      <c r="AA28" s="10">
        <v>61.41</v>
      </c>
      <c r="AB28" s="95">
        <v>150600</v>
      </c>
      <c r="AC28" s="10">
        <v>61.41</v>
      </c>
      <c r="AD28" s="2">
        <f t="shared" si="0"/>
        <v>1.0600000000000023</v>
      </c>
      <c r="AE28" s="138">
        <f t="shared" si="1"/>
        <v>6.7213114754098857E-3</v>
      </c>
    </row>
    <row r="29" spans="1:31" x14ac:dyDescent="0.25">
      <c r="B29" s="10"/>
      <c r="C29" s="10"/>
      <c r="D29" s="40"/>
      <c r="E29" s="40"/>
      <c r="F29" s="40"/>
      <c r="W29" s="133">
        <v>42639</v>
      </c>
      <c r="X29" s="10">
        <v>60.88</v>
      </c>
      <c r="Y29" s="10">
        <v>61.55</v>
      </c>
      <c r="Z29" s="10">
        <v>60.52</v>
      </c>
      <c r="AA29" s="10">
        <v>61</v>
      </c>
      <c r="AB29" s="95">
        <v>156200</v>
      </c>
      <c r="AC29" s="10">
        <v>61</v>
      </c>
      <c r="AD29" s="2">
        <f t="shared" si="0"/>
        <v>1.029999999999994</v>
      </c>
      <c r="AE29" s="138">
        <f t="shared" si="1"/>
        <v>-5.2185257664709717E-3</v>
      </c>
    </row>
    <row r="30" spans="1:31" x14ac:dyDescent="0.25">
      <c r="B30" s="10"/>
      <c r="C30" s="10"/>
      <c r="D30" s="40"/>
      <c r="E30" s="40"/>
      <c r="F30" s="40"/>
      <c r="W30" s="133">
        <v>42636</v>
      </c>
      <c r="X30" s="10">
        <v>61.36</v>
      </c>
      <c r="Y30" s="10">
        <v>61.86</v>
      </c>
      <c r="Z30" s="10">
        <v>61.25</v>
      </c>
      <c r="AA30" s="10">
        <v>61.32</v>
      </c>
      <c r="AB30" s="95">
        <v>235100</v>
      </c>
      <c r="AC30" s="10">
        <v>61.32</v>
      </c>
      <c r="AD30" s="2">
        <f t="shared" si="0"/>
        <v>0.60999999999999943</v>
      </c>
      <c r="AE30" s="138">
        <f t="shared" si="1"/>
        <v>-4.0604190352444558E-3</v>
      </c>
    </row>
    <row r="31" spans="1:31" x14ac:dyDescent="0.25">
      <c r="W31" s="133">
        <v>42635</v>
      </c>
      <c r="X31" s="10">
        <v>61.28</v>
      </c>
      <c r="Y31" s="10">
        <v>61.65</v>
      </c>
      <c r="Z31" s="10">
        <v>61.02</v>
      </c>
      <c r="AA31" s="10">
        <v>61.57</v>
      </c>
      <c r="AB31" s="95">
        <v>254800</v>
      </c>
      <c r="AC31" s="10">
        <v>61.57</v>
      </c>
      <c r="AD31" s="2">
        <f t="shared" si="0"/>
        <v>0.62999999999999545</v>
      </c>
      <c r="AE31" s="138">
        <f t="shared" si="1"/>
        <v>1.5671395579016867E-2</v>
      </c>
    </row>
    <row r="32" spans="1:31" x14ac:dyDescent="0.25">
      <c r="W32" s="133">
        <v>42634</v>
      </c>
      <c r="X32" s="10">
        <v>60.17</v>
      </c>
      <c r="Y32" s="10">
        <v>60.68</v>
      </c>
      <c r="Z32" s="10">
        <v>59.81</v>
      </c>
      <c r="AA32" s="10">
        <v>60.62</v>
      </c>
      <c r="AB32" s="95">
        <v>272200</v>
      </c>
      <c r="AC32" s="10">
        <v>60.62</v>
      </c>
      <c r="AD32" s="2">
        <f t="shared" si="0"/>
        <v>0.86999999999999744</v>
      </c>
      <c r="AE32" s="138">
        <f t="shared" si="1"/>
        <v>9.9966677774074864E-3</v>
      </c>
    </row>
    <row r="33" spans="1:31" x14ac:dyDescent="0.25">
      <c r="L33" t="s">
        <v>218</v>
      </c>
      <c r="M33" s="2">
        <f>M51+K51-F51</f>
        <v>33.940000000000055</v>
      </c>
      <c r="W33" s="133">
        <v>42633</v>
      </c>
      <c r="X33" s="10">
        <v>60.57</v>
      </c>
      <c r="Y33" s="10">
        <v>60.99</v>
      </c>
      <c r="Z33" s="10">
        <v>60</v>
      </c>
      <c r="AA33" s="10">
        <v>60.02</v>
      </c>
      <c r="AB33" s="95">
        <v>205900</v>
      </c>
      <c r="AC33" s="10">
        <v>60.02</v>
      </c>
      <c r="AD33" s="2">
        <f t="shared" si="0"/>
        <v>0.99000000000000199</v>
      </c>
      <c r="AE33" s="138">
        <f t="shared" si="1"/>
        <v>-9.9866844207718852E-4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33">
        <v>42632</v>
      </c>
      <c r="X34" s="10">
        <v>59.88</v>
      </c>
      <c r="Y34" s="10">
        <v>60.45</v>
      </c>
      <c r="Z34" s="10">
        <v>59.55</v>
      </c>
      <c r="AA34" s="10">
        <v>60.08</v>
      </c>
      <c r="AB34" s="95">
        <v>197300</v>
      </c>
      <c r="AC34" s="10">
        <v>60.08</v>
      </c>
      <c r="AD34" s="2">
        <f t="shared" si="0"/>
        <v>0.90000000000000568</v>
      </c>
      <c r="AE34" s="138">
        <f t="shared" si="1"/>
        <v>1.0597140454163156E-2</v>
      </c>
    </row>
    <row r="35" spans="1:31" x14ac:dyDescent="0.25">
      <c r="A35" s="393" t="s">
        <v>53</v>
      </c>
      <c r="B35" s="383">
        <v>42214</v>
      </c>
      <c r="C35" s="384">
        <v>15</v>
      </c>
      <c r="D35" s="385">
        <v>47.8</v>
      </c>
      <c r="E35" s="385">
        <v>0</v>
      </c>
      <c r="F35" s="385">
        <f>C35*D35</f>
        <v>717</v>
      </c>
      <c r="G35" s="383">
        <v>42313</v>
      </c>
      <c r="H35" s="385">
        <v>70</v>
      </c>
      <c r="I35" s="385">
        <v>46.15</v>
      </c>
      <c r="J35" s="385">
        <v>0.06</v>
      </c>
      <c r="K35" s="384">
        <f>I35*H35-J35</f>
        <v>3230.44</v>
      </c>
      <c r="L35" s="383">
        <v>42247</v>
      </c>
      <c r="M35" s="385">
        <v>3.5</v>
      </c>
      <c r="W35" s="133">
        <v>42629</v>
      </c>
      <c r="X35" s="10">
        <v>60.04</v>
      </c>
      <c r="Y35" s="10">
        <v>60.04</v>
      </c>
      <c r="Z35" s="10">
        <v>59.25</v>
      </c>
      <c r="AA35" s="10">
        <v>59.45</v>
      </c>
      <c r="AB35" s="95">
        <v>301100</v>
      </c>
      <c r="AC35" s="10">
        <v>59.45</v>
      </c>
      <c r="AD35" s="2">
        <f t="shared" si="0"/>
        <v>0.78999999999999915</v>
      </c>
      <c r="AE35" s="138">
        <f t="shared" si="1"/>
        <v>-1.0321291826202672E-2</v>
      </c>
    </row>
    <row r="36" spans="1:31" x14ac:dyDescent="0.25">
      <c r="A36" s="394" t="s">
        <v>71</v>
      </c>
      <c r="B36" s="383">
        <v>42233</v>
      </c>
      <c r="C36" s="384">
        <v>20</v>
      </c>
      <c r="D36" s="385">
        <v>47.5</v>
      </c>
      <c r="E36" s="385">
        <v>0</v>
      </c>
      <c r="F36" s="385">
        <f>C36*D36</f>
        <v>950</v>
      </c>
      <c r="G36" s="384"/>
      <c r="H36" s="384"/>
      <c r="I36" s="384"/>
      <c r="J36" s="384"/>
      <c r="K36" s="384"/>
      <c r="L36" s="383">
        <v>42338</v>
      </c>
      <c r="M36" s="384"/>
      <c r="W36" s="133">
        <v>42628</v>
      </c>
      <c r="X36" s="10">
        <v>59.6</v>
      </c>
      <c r="Y36" s="10">
        <v>60.13</v>
      </c>
      <c r="Z36" s="10">
        <v>59.4</v>
      </c>
      <c r="AA36" s="10">
        <v>60.07</v>
      </c>
      <c r="AB36" s="95">
        <v>148000</v>
      </c>
      <c r="AC36" s="10">
        <v>60.07</v>
      </c>
      <c r="AD36" s="2">
        <f t="shared" si="0"/>
        <v>0.73000000000000398</v>
      </c>
      <c r="AE36" s="138">
        <f t="shared" si="1"/>
        <v>1.0768971899713931E-2</v>
      </c>
    </row>
    <row r="37" spans="1:31" x14ac:dyDescent="0.25">
      <c r="A37" s="384"/>
      <c r="B37" s="383">
        <v>42269</v>
      </c>
      <c r="C37" s="384">
        <v>35</v>
      </c>
      <c r="D37" s="385">
        <v>43.8</v>
      </c>
      <c r="E37" s="385">
        <v>0</v>
      </c>
      <c r="F37" s="385">
        <f>C37*D37</f>
        <v>1533</v>
      </c>
      <c r="G37" s="384"/>
      <c r="H37" s="384"/>
      <c r="I37" s="384"/>
      <c r="J37" s="384"/>
      <c r="K37" s="384"/>
      <c r="L37" s="384"/>
      <c r="M37" s="384"/>
      <c r="W37" s="133">
        <v>42627</v>
      </c>
      <c r="X37" s="10">
        <v>59.55</v>
      </c>
      <c r="Y37" s="10">
        <v>60.12</v>
      </c>
      <c r="Z37" s="10">
        <v>58.99</v>
      </c>
      <c r="AA37" s="10">
        <v>59.43</v>
      </c>
      <c r="AB37" s="95">
        <v>174400</v>
      </c>
      <c r="AC37" s="10">
        <v>59.43</v>
      </c>
      <c r="AD37" s="2">
        <f t="shared" si="0"/>
        <v>1.1299999999999955</v>
      </c>
      <c r="AE37" s="138">
        <f t="shared" si="1"/>
        <v>-4.3558384989109689E-3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42626</v>
      </c>
      <c r="X38" s="10">
        <v>61.07</v>
      </c>
      <c r="Y38" s="10">
        <v>61.57</v>
      </c>
      <c r="Z38" s="10">
        <v>59.65</v>
      </c>
      <c r="AA38" s="10">
        <v>59.69</v>
      </c>
      <c r="AB38" s="95">
        <v>229800</v>
      </c>
      <c r="AC38" s="10">
        <v>59.69</v>
      </c>
      <c r="AD38" s="2">
        <f t="shared" si="0"/>
        <v>1.9200000000000017</v>
      </c>
      <c r="AE38" s="138">
        <f t="shared" si="1"/>
        <v>-3.1949399935128131E-2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42625</v>
      </c>
      <c r="X39" s="10">
        <v>60</v>
      </c>
      <c r="Y39" s="10">
        <v>61.7</v>
      </c>
      <c r="Z39" s="10">
        <v>60</v>
      </c>
      <c r="AA39" s="10">
        <v>61.66</v>
      </c>
      <c r="AB39" s="95">
        <v>149100</v>
      </c>
      <c r="AC39" s="10">
        <v>61.66</v>
      </c>
      <c r="AD39" s="2">
        <f t="shared" si="0"/>
        <v>1.7000000000000028</v>
      </c>
      <c r="AE39" s="138">
        <f t="shared" si="1"/>
        <v>2.1368229252940241E-2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42622</v>
      </c>
      <c r="X40" s="10">
        <v>61.98</v>
      </c>
      <c r="Y40" s="10">
        <v>62.13</v>
      </c>
      <c r="Z40" s="10">
        <v>60.35</v>
      </c>
      <c r="AA40" s="10">
        <v>60.37</v>
      </c>
      <c r="AB40" s="95">
        <v>196900</v>
      </c>
      <c r="AC40" s="10">
        <v>60.37</v>
      </c>
      <c r="AD40" s="2">
        <f t="shared" si="0"/>
        <v>1.7800000000000011</v>
      </c>
      <c r="AE40" s="138">
        <f t="shared" si="1"/>
        <v>-3.5468924748362496E-2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34"/>
      <c r="W41" s="133">
        <v>42621</v>
      </c>
      <c r="X41" s="10">
        <v>62.66</v>
      </c>
      <c r="Y41" s="10">
        <v>62.86</v>
      </c>
      <c r="Z41" s="10">
        <v>62.31</v>
      </c>
      <c r="AA41" s="10">
        <v>62.59</v>
      </c>
      <c r="AB41" s="95">
        <v>86900</v>
      </c>
      <c r="AC41" s="10">
        <v>62.59</v>
      </c>
      <c r="AD41" s="2">
        <f t="shared" si="0"/>
        <v>0.54999999999999716</v>
      </c>
      <c r="AE41" s="138">
        <f t="shared" si="1"/>
        <v>-1.4358647096361921E-3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588" t="s">
        <v>78</v>
      </c>
      <c r="P42" s="588"/>
      <c r="Q42" s="34"/>
      <c r="T42" s="91" t="s">
        <v>113</v>
      </c>
      <c r="W42" s="133">
        <v>42620</v>
      </c>
      <c r="X42" s="10">
        <v>62.94</v>
      </c>
      <c r="Y42" s="10">
        <v>62.94</v>
      </c>
      <c r="Z42" s="10">
        <v>62.21</v>
      </c>
      <c r="AA42" s="10">
        <v>62.68</v>
      </c>
      <c r="AB42" s="95">
        <v>223100</v>
      </c>
      <c r="AC42" s="10">
        <v>62.68</v>
      </c>
      <c r="AD42" s="2">
        <f t="shared" si="0"/>
        <v>0.72999999999999687</v>
      </c>
      <c r="AE42" s="138">
        <f t="shared" si="1"/>
        <v>-3.4976152623211743E-3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63.195000000000007</v>
      </c>
      <c r="Q43" s="34"/>
      <c r="T43" s="128" t="s">
        <v>98</v>
      </c>
      <c r="U43" s="98">
        <v>57.67</v>
      </c>
      <c r="W43" s="133">
        <v>42619</v>
      </c>
      <c r="X43" s="10">
        <v>63.65</v>
      </c>
      <c r="Y43" s="10">
        <v>63.98</v>
      </c>
      <c r="Z43" s="10">
        <v>62.83</v>
      </c>
      <c r="AA43" s="10">
        <v>62.9</v>
      </c>
      <c r="AB43" s="95">
        <v>191700</v>
      </c>
      <c r="AC43" s="10">
        <v>62.9</v>
      </c>
      <c r="AD43" s="2">
        <f t="shared" si="0"/>
        <v>1.1499999999999986</v>
      </c>
      <c r="AE43" s="138">
        <f t="shared" si="1"/>
        <v>-1.3642778736082883E-2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2">O44*$Q$4</f>
        <v>62.620500000000007</v>
      </c>
      <c r="Q44" s="34"/>
      <c r="T44" s="93" t="s">
        <v>99</v>
      </c>
      <c r="U44" s="88">
        <v>57.61</v>
      </c>
      <c r="W44" s="133">
        <v>42615</v>
      </c>
      <c r="X44" s="10">
        <v>63.42</v>
      </c>
      <c r="Y44" s="10">
        <v>63.78</v>
      </c>
      <c r="Z44" s="10">
        <v>63.03</v>
      </c>
      <c r="AA44" s="10">
        <v>63.77</v>
      </c>
      <c r="AB44" s="95">
        <v>160700</v>
      </c>
      <c r="AC44" s="10">
        <v>63.77</v>
      </c>
      <c r="AD44" s="2">
        <f t="shared" si="0"/>
        <v>0.75</v>
      </c>
      <c r="AE44" s="138">
        <f t="shared" si="1"/>
        <v>1.2382917923480008E-2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2"/>
        <v>62.046000000000006</v>
      </c>
      <c r="Q45" s="34"/>
      <c r="T45" s="93" t="s">
        <v>100</v>
      </c>
      <c r="U45" s="88" t="s">
        <v>129</v>
      </c>
      <c r="W45" s="133">
        <v>42614</v>
      </c>
      <c r="X45" s="10">
        <v>62.91</v>
      </c>
      <c r="Y45" s="10">
        <v>63.19</v>
      </c>
      <c r="Z45" s="10">
        <v>62.22</v>
      </c>
      <c r="AA45" s="10">
        <v>62.99</v>
      </c>
      <c r="AB45" s="95">
        <v>184600</v>
      </c>
      <c r="AC45" s="10">
        <v>62.99</v>
      </c>
      <c r="AD45" s="2">
        <f t="shared" si="0"/>
        <v>0.96999999999999886</v>
      </c>
      <c r="AE45" s="138">
        <f t="shared" si="1"/>
        <v>4.3048469387756416E-3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2"/>
        <v>61.471500000000006</v>
      </c>
      <c r="Q46" s="83"/>
      <c r="T46" s="93" t="s">
        <v>101</v>
      </c>
      <c r="U46" s="88" t="s">
        <v>129</v>
      </c>
      <c r="W46" s="133">
        <v>42613</v>
      </c>
      <c r="X46" s="10">
        <v>62.96</v>
      </c>
      <c r="Y46" s="10">
        <v>63.23</v>
      </c>
      <c r="Z46" s="10">
        <v>62.44</v>
      </c>
      <c r="AA46" s="10">
        <v>62.72</v>
      </c>
      <c r="AB46" s="95">
        <v>254400</v>
      </c>
      <c r="AC46" s="10">
        <v>62.72</v>
      </c>
      <c r="AD46" s="2">
        <f t="shared" si="0"/>
        <v>0.78999999999999915</v>
      </c>
      <c r="AE46" s="138">
        <f t="shared" si="1"/>
        <v>-3.0201875695438085E-3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2"/>
        <v>60.897000000000006</v>
      </c>
      <c r="Q47" s="83"/>
      <c r="T47" s="93" t="s">
        <v>102</v>
      </c>
      <c r="U47" s="88">
        <v>59.75</v>
      </c>
      <c r="W47" s="133">
        <v>42612</v>
      </c>
      <c r="X47" s="10">
        <v>63</v>
      </c>
      <c r="Y47" s="10">
        <v>63.31</v>
      </c>
      <c r="Z47" s="10">
        <v>62.56</v>
      </c>
      <c r="AA47" s="10">
        <v>62.91</v>
      </c>
      <c r="AB47" s="95">
        <v>160500</v>
      </c>
      <c r="AC47" s="10">
        <v>62.91</v>
      </c>
      <c r="AD47" s="2">
        <f t="shared" si="0"/>
        <v>0.75</v>
      </c>
      <c r="AE47" s="138">
        <f t="shared" si="1"/>
        <v>-1.7454776261505156E-3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2"/>
        <v>60.322500000000005</v>
      </c>
      <c r="Q48" s="83"/>
      <c r="T48" s="93" t="s">
        <v>103</v>
      </c>
      <c r="U48" s="88">
        <v>1.2584200000000001</v>
      </c>
      <c r="W48" s="133">
        <v>42611</v>
      </c>
      <c r="X48" s="10">
        <v>62.61</v>
      </c>
      <c r="Y48" s="10">
        <v>63.13</v>
      </c>
      <c r="Z48" s="10">
        <v>62.18</v>
      </c>
      <c r="AA48" s="10">
        <v>63.02</v>
      </c>
      <c r="AB48" s="95">
        <v>208600</v>
      </c>
      <c r="AC48" s="10">
        <v>63.02</v>
      </c>
      <c r="AD48" s="2">
        <f t="shared" si="0"/>
        <v>0.95000000000000284</v>
      </c>
      <c r="AE48" s="138">
        <f t="shared" si="1"/>
        <v>1.042167708834385E-2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2"/>
        <v>59.748000000000005</v>
      </c>
      <c r="Q49" s="83"/>
      <c r="T49" s="93" t="s">
        <v>104</v>
      </c>
      <c r="U49" s="88" t="s">
        <v>547</v>
      </c>
      <c r="W49" s="133">
        <v>42608</v>
      </c>
      <c r="X49" s="10">
        <v>61.93</v>
      </c>
      <c r="Y49" s="10">
        <v>62.51</v>
      </c>
      <c r="Z49" s="10">
        <v>61.9</v>
      </c>
      <c r="AA49" s="10">
        <v>62.37</v>
      </c>
      <c r="AB49" s="95">
        <v>166900</v>
      </c>
      <c r="AC49" s="10">
        <v>62.37</v>
      </c>
      <c r="AD49" s="2">
        <f t="shared" si="0"/>
        <v>0.60999999999999943</v>
      </c>
      <c r="AE49" s="138">
        <f t="shared" si="1"/>
        <v>6.9422021310945325E-3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2"/>
        <v>59.173500000000004</v>
      </c>
      <c r="Q50" s="83"/>
      <c r="T50" s="93"/>
      <c r="U50" s="88"/>
      <c r="W50" s="133">
        <v>42607</v>
      </c>
      <c r="X50" s="10">
        <v>61.45</v>
      </c>
      <c r="Y50" s="10">
        <v>62.04</v>
      </c>
      <c r="Z50" s="10">
        <v>61.13</v>
      </c>
      <c r="AA50" s="10">
        <v>61.94</v>
      </c>
      <c r="AB50" s="95">
        <v>147800</v>
      </c>
      <c r="AC50" s="10">
        <v>61.94</v>
      </c>
      <c r="AD50" s="2">
        <f t="shared" si="0"/>
        <v>0.90999999999999659</v>
      </c>
      <c r="AE50" s="138">
        <f t="shared" si="1"/>
        <v>6.6634162197301006E-3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58.599000000000004</v>
      </c>
      <c r="Q51" s="83"/>
      <c r="T51" s="93" t="s">
        <v>105</v>
      </c>
      <c r="U51" s="88" t="s">
        <v>548</v>
      </c>
      <c r="W51" s="133">
        <v>42606</v>
      </c>
      <c r="X51" s="10">
        <v>62.11</v>
      </c>
      <c r="Y51" s="10">
        <v>62.3</v>
      </c>
      <c r="Z51" s="10">
        <v>61.34</v>
      </c>
      <c r="AA51" s="10">
        <v>61.53</v>
      </c>
      <c r="AB51" s="95">
        <v>161100</v>
      </c>
      <c r="AC51" s="10">
        <v>61.53</v>
      </c>
      <c r="AD51" s="2">
        <f t="shared" si="0"/>
        <v>0.95999999999999375</v>
      </c>
      <c r="AE51" s="138">
        <f t="shared" si="1"/>
        <v>-9.1787439613526534E-3</v>
      </c>
    </row>
    <row r="52" spans="1:31" x14ac:dyDescent="0.25">
      <c r="A52" s="384"/>
      <c r="B52" s="384"/>
      <c r="C52" s="384"/>
      <c r="D52" s="385"/>
      <c r="E52" s="385"/>
      <c r="F52" s="385"/>
      <c r="G52" s="384"/>
      <c r="H52" s="384"/>
      <c r="I52" s="384"/>
      <c r="J52" s="384"/>
      <c r="K52" s="384"/>
      <c r="L52" s="384"/>
      <c r="M52" s="384"/>
      <c r="O52" s="83">
        <v>1.01</v>
      </c>
      <c r="P52" s="83">
        <f t="shared" si="2"/>
        <v>58.024500000000003</v>
      </c>
      <c r="Q52" s="83"/>
      <c r="T52" s="93" t="s">
        <v>106</v>
      </c>
      <c r="U52" s="88" t="s">
        <v>370</v>
      </c>
      <c r="W52" s="133">
        <v>42605</v>
      </c>
      <c r="X52" s="10">
        <v>62.51</v>
      </c>
      <c r="Y52" s="10">
        <v>62.59</v>
      </c>
      <c r="Z52" s="10">
        <v>61.97</v>
      </c>
      <c r="AA52" s="10">
        <v>62.1</v>
      </c>
      <c r="AB52" s="95">
        <v>254700</v>
      </c>
      <c r="AC52" s="10">
        <v>62.1</v>
      </c>
      <c r="AD52" s="2">
        <f t="shared" si="0"/>
        <v>0.62000000000000455</v>
      </c>
      <c r="AE52" s="138">
        <f t="shared" si="1"/>
        <v>-1.6100466913537836E-4</v>
      </c>
    </row>
    <row r="53" spans="1:31" x14ac:dyDescent="0.25">
      <c r="O53" s="83">
        <v>1</v>
      </c>
      <c r="P53" s="83">
        <f t="shared" si="2"/>
        <v>57.45</v>
      </c>
      <c r="Q53" s="83"/>
      <c r="T53" s="93" t="s">
        <v>107</v>
      </c>
      <c r="U53" s="90">
        <v>227528</v>
      </c>
      <c r="W53" s="133">
        <v>42604</v>
      </c>
      <c r="X53" s="10">
        <v>61.31</v>
      </c>
      <c r="Y53" s="10">
        <v>62.3</v>
      </c>
      <c r="Z53" s="10">
        <v>61.31</v>
      </c>
      <c r="AA53" s="10">
        <v>62.11</v>
      </c>
      <c r="AB53" s="95">
        <v>239100</v>
      </c>
      <c r="AC53" s="10">
        <v>62.11</v>
      </c>
      <c r="AD53" s="2">
        <f t="shared" si="0"/>
        <v>0.98999999999999488</v>
      </c>
      <c r="AE53" s="138">
        <f t="shared" si="1"/>
        <v>5.3415344771770012E-3</v>
      </c>
    </row>
    <row r="54" spans="1:31" x14ac:dyDescent="0.25">
      <c r="O54" s="83">
        <v>0.99</v>
      </c>
      <c r="P54" s="83">
        <f t="shared" si="2"/>
        <v>56.875500000000002</v>
      </c>
      <c r="Q54" s="83"/>
      <c r="T54" s="93" t="s">
        <v>110</v>
      </c>
      <c r="U54" s="90">
        <v>211177</v>
      </c>
      <c r="W54" s="133">
        <v>42601</v>
      </c>
      <c r="X54" s="10">
        <v>60.95</v>
      </c>
      <c r="Y54" s="10">
        <v>61.9</v>
      </c>
      <c r="Z54" s="10">
        <v>60.85</v>
      </c>
      <c r="AA54" s="10">
        <v>61.78</v>
      </c>
      <c r="AB54" s="95">
        <v>227100</v>
      </c>
      <c r="AC54" s="10">
        <v>61.78</v>
      </c>
      <c r="AD54" s="2">
        <f t="shared" si="0"/>
        <v>1.0499999999999972</v>
      </c>
      <c r="AE54" s="138">
        <f t="shared" si="1"/>
        <v>8.9825249060917489E-3</v>
      </c>
    </row>
    <row r="55" spans="1:31" x14ac:dyDescent="0.25">
      <c r="O55" s="83">
        <v>0.98</v>
      </c>
      <c r="P55" s="83">
        <f t="shared" si="2"/>
        <v>56.301000000000002</v>
      </c>
      <c r="Q55" s="83"/>
      <c r="T55" s="93" t="s">
        <v>108</v>
      </c>
      <c r="U55" s="88" t="s">
        <v>549</v>
      </c>
      <c r="W55" s="133">
        <v>42600</v>
      </c>
      <c r="X55" s="10">
        <v>60.22</v>
      </c>
      <c r="Y55" s="10">
        <v>61.29</v>
      </c>
      <c r="Z55" s="10">
        <v>60.22</v>
      </c>
      <c r="AA55" s="10">
        <v>61.23</v>
      </c>
      <c r="AB55" s="95">
        <v>339800</v>
      </c>
      <c r="AC55" s="10">
        <v>61.23</v>
      </c>
      <c r="AD55" s="2">
        <f t="shared" si="0"/>
        <v>1.0700000000000003</v>
      </c>
      <c r="AE55" s="138">
        <f t="shared" si="1"/>
        <v>1.2735693020178518E-2</v>
      </c>
    </row>
    <row r="56" spans="1:31" x14ac:dyDescent="0.25">
      <c r="O56" s="83">
        <v>0.97</v>
      </c>
      <c r="P56" s="83">
        <f t="shared" si="2"/>
        <v>55.726500000000001</v>
      </c>
      <c r="Q56" s="83"/>
      <c r="T56" s="93" t="s">
        <v>111</v>
      </c>
      <c r="U56" s="88">
        <v>21.89</v>
      </c>
      <c r="W56" s="133">
        <v>42599</v>
      </c>
      <c r="X56" s="10">
        <v>59.85</v>
      </c>
      <c r="Y56" s="10">
        <v>60.71</v>
      </c>
      <c r="Z56" s="10">
        <v>59.85</v>
      </c>
      <c r="AA56" s="10">
        <v>60.46</v>
      </c>
      <c r="AB56" s="95">
        <v>291200</v>
      </c>
      <c r="AC56" s="10">
        <v>60.46</v>
      </c>
      <c r="AD56" s="2">
        <f t="shared" si="0"/>
        <v>0.85999999999999943</v>
      </c>
      <c r="AE56" s="138">
        <f t="shared" si="1"/>
        <v>1.1036789297658833E-2</v>
      </c>
    </row>
    <row r="57" spans="1:31" x14ac:dyDescent="0.25">
      <c r="O57" s="83">
        <v>0.96</v>
      </c>
      <c r="P57" s="83">
        <f t="shared" si="2"/>
        <v>55.152000000000001</v>
      </c>
      <c r="Q57" s="83"/>
      <c r="T57" s="93" t="s">
        <v>112</v>
      </c>
      <c r="U57" s="88">
        <v>2.62</v>
      </c>
      <c r="W57" s="133">
        <v>42598</v>
      </c>
      <c r="X57" s="10">
        <v>60.33</v>
      </c>
      <c r="Y57" s="10">
        <v>60.57</v>
      </c>
      <c r="Z57" s="10">
        <v>59.77</v>
      </c>
      <c r="AA57" s="10">
        <v>59.8</v>
      </c>
      <c r="AB57" s="95">
        <v>180500</v>
      </c>
      <c r="AC57" s="10">
        <v>59.8</v>
      </c>
      <c r="AD57" s="2">
        <f t="shared" si="0"/>
        <v>0.79999999999999716</v>
      </c>
      <c r="AE57" s="138">
        <f t="shared" si="1"/>
        <v>-9.605829744948724E-3</v>
      </c>
    </row>
    <row r="58" spans="1:31" x14ac:dyDescent="0.25">
      <c r="O58" s="83">
        <v>0.95</v>
      </c>
      <c r="P58" s="83">
        <f t="shared" si="2"/>
        <v>54.577500000000001</v>
      </c>
      <c r="Q58" s="83"/>
      <c r="T58" s="93" t="s">
        <v>109</v>
      </c>
      <c r="U58" s="88" t="s">
        <v>402</v>
      </c>
      <c r="W58" s="133">
        <v>42597</v>
      </c>
      <c r="X58" s="10">
        <v>59.57</v>
      </c>
      <c r="Y58" s="10">
        <v>60.59</v>
      </c>
      <c r="Z58" s="10">
        <v>59.57</v>
      </c>
      <c r="AA58" s="10">
        <v>60.38</v>
      </c>
      <c r="AB58" s="95">
        <v>130600</v>
      </c>
      <c r="AC58" s="10">
        <v>60.38</v>
      </c>
      <c r="AD58" s="2">
        <f t="shared" si="0"/>
        <v>1.0200000000000031</v>
      </c>
      <c r="AE58" s="138">
        <f t="shared" si="1"/>
        <v>1.7354675652906604E-2</v>
      </c>
    </row>
    <row r="59" spans="1:31" x14ac:dyDescent="0.25">
      <c r="O59" s="83">
        <v>0.94</v>
      </c>
      <c r="P59" s="83">
        <f t="shared" si="2"/>
        <v>54.003</v>
      </c>
      <c r="Q59" s="83"/>
      <c r="W59" s="133">
        <v>42594</v>
      </c>
      <c r="X59" s="10">
        <v>59.64</v>
      </c>
      <c r="Y59" s="10">
        <v>59.64</v>
      </c>
      <c r="Z59" s="10">
        <v>59.19</v>
      </c>
      <c r="AA59" s="10">
        <v>59.35</v>
      </c>
      <c r="AB59" s="95">
        <v>132900</v>
      </c>
      <c r="AC59" s="10">
        <v>59.35</v>
      </c>
      <c r="AD59" s="2">
        <f t="shared" si="0"/>
        <v>0.45000000000000284</v>
      </c>
      <c r="AE59" s="138">
        <f t="shared" si="1"/>
        <v>-5.1961112973515355E-3</v>
      </c>
    </row>
    <row r="60" spans="1:31" x14ac:dyDescent="0.25">
      <c r="O60" s="83">
        <v>0.93</v>
      </c>
      <c r="P60" s="83">
        <f t="shared" si="2"/>
        <v>53.428500000000007</v>
      </c>
      <c r="Q60" s="83"/>
      <c r="W60" s="133">
        <v>42593</v>
      </c>
      <c r="X60" s="10">
        <v>59.25</v>
      </c>
      <c r="Y60" s="10">
        <v>59.86</v>
      </c>
      <c r="Z60" s="10">
        <v>59.25</v>
      </c>
      <c r="AA60" s="10">
        <v>59.66</v>
      </c>
      <c r="AB60" s="95">
        <v>172600</v>
      </c>
      <c r="AC60" s="10">
        <v>59.66</v>
      </c>
      <c r="AD60" s="2">
        <f t="shared" si="0"/>
        <v>0.60999999999999943</v>
      </c>
      <c r="AE60" s="138" t="e">
        <f t="shared" si="1"/>
        <v>#DIV/0!</v>
      </c>
    </row>
    <row r="61" spans="1:31" x14ac:dyDescent="0.25">
      <c r="O61" s="83">
        <v>0.92</v>
      </c>
      <c r="P61" s="83">
        <f t="shared" si="2"/>
        <v>52.854000000000006</v>
      </c>
      <c r="Q61" s="83"/>
      <c r="W61" s="133">
        <v>42593</v>
      </c>
      <c r="X61" s="10" t="s">
        <v>186</v>
      </c>
      <c r="Y61" s="10"/>
      <c r="Z61" s="10"/>
      <c r="AA61" s="10"/>
      <c r="AB61" s="95"/>
      <c r="AC61" s="10"/>
      <c r="AD61" s="2">
        <f t="shared" si="0"/>
        <v>0</v>
      </c>
      <c r="AE61" s="138">
        <f t="shared" si="1"/>
        <v>-1</v>
      </c>
    </row>
    <row r="62" spans="1:31" x14ac:dyDescent="0.25">
      <c r="O62" s="83">
        <v>0.91</v>
      </c>
      <c r="P62" s="83">
        <f t="shared" si="2"/>
        <v>52.279500000000006</v>
      </c>
      <c r="Q62" s="83"/>
      <c r="W62" s="133">
        <v>42592</v>
      </c>
      <c r="X62" s="10">
        <v>59.58</v>
      </c>
      <c r="Y62" s="10">
        <v>59.78</v>
      </c>
      <c r="Z62" s="10">
        <v>59</v>
      </c>
      <c r="AA62" s="10">
        <v>59.29</v>
      </c>
      <c r="AB62" s="95">
        <v>226700</v>
      </c>
      <c r="AC62" s="10">
        <v>59.18</v>
      </c>
      <c r="AD62" s="2">
        <f t="shared" si="0"/>
        <v>0.78000000000000114</v>
      </c>
      <c r="AE62" s="138">
        <f t="shared" si="1"/>
        <v>-4.8764082730788916E-3</v>
      </c>
    </row>
    <row r="63" spans="1:31" x14ac:dyDescent="0.25">
      <c r="O63" s="83">
        <v>0.9</v>
      </c>
      <c r="P63" s="83">
        <f t="shared" si="2"/>
        <v>51.705000000000005</v>
      </c>
      <c r="Q63" s="83"/>
      <c r="W63" s="133">
        <v>42591</v>
      </c>
      <c r="X63" s="10">
        <v>59.36</v>
      </c>
      <c r="Y63" s="10">
        <v>59.77</v>
      </c>
      <c r="Z63" s="10">
        <v>58.91</v>
      </c>
      <c r="AA63" s="10">
        <v>59.58</v>
      </c>
      <c r="AB63" s="95">
        <v>235100</v>
      </c>
      <c r="AC63" s="10">
        <v>59.47</v>
      </c>
      <c r="AD63" s="2">
        <f t="shared" si="0"/>
        <v>0.86000000000000654</v>
      </c>
      <c r="AE63" s="138">
        <f t="shared" si="1"/>
        <v>6.2605752961082395E-3</v>
      </c>
    </row>
    <row r="64" spans="1:31" x14ac:dyDescent="0.25">
      <c r="O64" s="34"/>
      <c r="W64" s="133">
        <v>42590</v>
      </c>
      <c r="X64" s="10">
        <v>58.99</v>
      </c>
      <c r="Y64" s="10">
        <v>59.45</v>
      </c>
      <c r="Z64" s="10">
        <v>58.01</v>
      </c>
      <c r="AA64" s="10">
        <v>59.21</v>
      </c>
      <c r="AB64" s="95">
        <v>223400</v>
      </c>
      <c r="AC64" s="10">
        <v>59.1</v>
      </c>
      <c r="AD64" s="2">
        <f t="shared" si="0"/>
        <v>1.4400000000000048</v>
      </c>
      <c r="AE64" s="138">
        <f t="shared" si="1"/>
        <v>4.7602856171371499E-3</v>
      </c>
    </row>
    <row r="65" spans="15:31" x14ac:dyDescent="0.25">
      <c r="O65" s="34"/>
      <c r="W65" s="133">
        <v>42587</v>
      </c>
      <c r="X65" s="10">
        <v>58.78</v>
      </c>
      <c r="Y65" s="10">
        <v>59.05</v>
      </c>
      <c r="Z65" s="10">
        <v>58.44</v>
      </c>
      <c r="AA65" s="10">
        <v>58.93</v>
      </c>
      <c r="AB65" s="95">
        <v>224700</v>
      </c>
      <c r="AC65" s="10">
        <v>58.82</v>
      </c>
      <c r="AD65" s="2">
        <f t="shared" si="0"/>
        <v>0.60999999999999943</v>
      </c>
      <c r="AE65" s="138">
        <f t="shared" si="1"/>
        <v>8.4004800274302127E-3</v>
      </c>
    </row>
    <row r="66" spans="15:31" x14ac:dyDescent="0.25">
      <c r="O66" s="34"/>
      <c r="W66" s="133">
        <v>42586</v>
      </c>
      <c r="X66" s="10">
        <v>58.04</v>
      </c>
      <c r="Y66" s="10">
        <v>58.81</v>
      </c>
      <c r="Z66" s="10">
        <v>57.73</v>
      </c>
      <c r="AA66" s="10">
        <v>58.44</v>
      </c>
      <c r="AB66" s="95">
        <v>191200</v>
      </c>
      <c r="AC66" s="10">
        <v>58.33</v>
      </c>
      <c r="AD66" s="2">
        <f t="shared" si="0"/>
        <v>1.0800000000000054</v>
      </c>
      <c r="AE66" s="138">
        <f t="shared" si="1"/>
        <v>5.3429851775248505E-3</v>
      </c>
    </row>
    <row r="67" spans="15:31" x14ac:dyDescent="0.25">
      <c r="W67" s="133">
        <v>42585</v>
      </c>
      <c r="X67" s="10">
        <v>57.38</v>
      </c>
      <c r="Y67" s="10">
        <v>58.21</v>
      </c>
      <c r="Z67" s="10">
        <v>57.02</v>
      </c>
      <c r="AA67" s="10">
        <v>58.13</v>
      </c>
      <c r="AB67" s="95">
        <v>137600</v>
      </c>
      <c r="AC67" s="10">
        <v>58.02</v>
      </c>
      <c r="AD67" s="2">
        <f>Y67-Z67</f>
        <v>1.1899999999999977</v>
      </c>
      <c r="AE67" s="138">
        <f>AC67/AC68-1</f>
        <v>1.3626834381551323E-2</v>
      </c>
    </row>
    <row r="68" spans="15:31" x14ac:dyDescent="0.25">
      <c r="W68" s="133">
        <v>42584</v>
      </c>
      <c r="X68" s="10">
        <v>58.5</v>
      </c>
      <c r="Y68" s="10">
        <v>58.8</v>
      </c>
      <c r="Z68" s="10">
        <v>57.27</v>
      </c>
      <c r="AA68" s="10">
        <v>57.35</v>
      </c>
      <c r="AB68" s="95">
        <v>162900</v>
      </c>
      <c r="AC68" s="10">
        <v>57.24</v>
      </c>
      <c r="AD68" s="2">
        <f>Y68-Z68</f>
        <v>1.529999999999994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1" priority="5">
      <formula>F21&gt;0</formula>
    </cfRule>
    <cfRule type="expression" dxfId="60" priority="6">
      <formula>F21&lt;0</formula>
    </cfRule>
  </conditionalFormatting>
  <conditionalFormatting sqref="Q8">
    <cfRule type="expression" dxfId="59" priority="1">
      <formula>Q8&gt;0</formula>
    </cfRule>
    <cfRule type="expression" dxfId="58" priority="2">
      <formula>Q8&lt;0</formula>
    </cfRule>
  </conditionalFormatting>
  <conditionalFormatting sqref="Q7">
    <cfRule type="expression" dxfId="57" priority="3">
      <formula>Q7&gt;0</formula>
    </cfRule>
    <cfRule type="expression" dxfId="5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126</v>
      </c>
      <c r="AF1" s="11" t="s">
        <v>128</v>
      </c>
    </row>
    <row r="2" spans="1:32" x14ac:dyDescent="0.25">
      <c r="A2" s="6" t="s">
        <v>176</v>
      </c>
      <c r="B2" s="164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4"/>
      <c r="H2" s="185"/>
      <c r="I2" s="3"/>
      <c r="J2" s="3"/>
      <c r="K2" s="74"/>
      <c r="L2" s="74">
        <v>42675</v>
      </c>
      <c r="M2" s="3">
        <v>12</v>
      </c>
      <c r="O2" s="11" t="s">
        <v>57</v>
      </c>
      <c r="Q2">
        <f>C18-H18</f>
        <v>50</v>
      </c>
      <c r="U2" s="163"/>
      <c r="X2" s="133">
        <v>42676</v>
      </c>
      <c r="Y2" s="10">
        <v>61.62</v>
      </c>
      <c r="Z2" s="10">
        <v>61.91</v>
      </c>
      <c r="AA2" s="10">
        <v>61.36</v>
      </c>
      <c r="AB2" s="10">
        <v>61.38</v>
      </c>
      <c r="AC2" s="95">
        <v>2875000</v>
      </c>
      <c r="AD2" s="10">
        <v>61.38</v>
      </c>
      <c r="AE2" s="2">
        <f>Z2-AA2</f>
        <v>0.54999999999999716</v>
      </c>
      <c r="AF2" s="138">
        <f>AD2/AD3-1</f>
        <v>-4.0564660068148628E-3</v>
      </c>
    </row>
    <row r="3" spans="1:32" x14ac:dyDescent="0.25">
      <c r="A3" s="23" t="s">
        <v>71</v>
      </c>
      <c r="B3" s="583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63.73</v>
      </c>
      <c r="X3" s="133">
        <v>42675</v>
      </c>
      <c r="Y3" s="10">
        <v>62.16</v>
      </c>
      <c r="Z3" s="10">
        <v>62.19</v>
      </c>
      <c r="AA3" s="10">
        <v>61.39</v>
      </c>
      <c r="AB3" s="10">
        <v>61.63</v>
      </c>
      <c r="AC3" s="95">
        <v>3449700</v>
      </c>
      <c r="AD3" s="10">
        <v>61.63</v>
      </c>
      <c r="AE3" s="2">
        <f t="shared" ref="AE3:AE66" si="0">Z3-AA3</f>
        <v>0.79999999999999716</v>
      </c>
      <c r="AF3" s="138">
        <f t="shared" ref="AF3:AF66" si="1">AD3/AD4-1</f>
        <v>-5.6469828977088188E-3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61.38</v>
      </c>
      <c r="R4" s="527">
        <v>-4.1000000000000003E-3</v>
      </c>
      <c r="X4" s="133">
        <v>42674</v>
      </c>
      <c r="Y4" s="10">
        <v>61.7</v>
      </c>
      <c r="Z4" s="10">
        <v>62.02</v>
      </c>
      <c r="AA4" s="10">
        <v>61.5</v>
      </c>
      <c r="AB4" s="10">
        <v>61.98</v>
      </c>
      <c r="AC4" s="95">
        <v>2745300</v>
      </c>
      <c r="AD4" s="10">
        <v>61.98</v>
      </c>
      <c r="AE4" s="2">
        <f t="shared" si="0"/>
        <v>0.52000000000000313</v>
      </c>
      <c r="AF4" s="138">
        <f t="shared" si="1"/>
        <v>5.1897502432696196E-3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3069</v>
      </c>
      <c r="X5" s="133">
        <v>42671</v>
      </c>
      <c r="Y5" s="10">
        <v>60.84</v>
      </c>
      <c r="Z5" s="10">
        <v>61.85</v>
      </c>
      <c r="AA5" s="10">
        <v>60.79</v>
      </c>
      <c r="AB5" s="10">
        <v>61.66</v>
      </c>
      <c r="AC5" s="95">
        <v>2750100</v>
      </c>
      <c r="AD5" s="10">
        <v>61.66</v>
      </c>
      <c r="AE5" s="2">
        <f t="shared" si="0"/>
        <v>1.0600000000000023</v>
      </c>
      <c r="AF5" s="138">
        <f t="shared" si="1"/>
        <v>1.5480895915678472E-2</v>
      </c>
    </row>
    <row r="6" spans="1:32" x14ac:dyDescent="0.25">
      <c r="O6" s="11" t="s">
        <v>64</v>
      </c>
      <c r="Q6" s="2">
        <f>Q3*Q2</f>
        <v>3186.5</v>
      </c>
      <c r="X6" s="133">
        <v>42670</v>
      </c>
      <c r="Y6" s="10">
        <v>61.01</v>
      </c>
      <c r="Z6" s="10">
        <v>61.22</v>
      </c>
      <c r="AA6" s="10">
        <v>60.63</v>
      </c>
      <c r="AB6" s="10">
        <v>60.72</v>
      </c>
      <c r="AC6" s="95">
        <v>2277500</v>
      </c>
      <c r="AD6" s="10">
        <v>60.72</v>
      </c>
      <c r="AE6" s="2">
        <f t="shared" si="0"/>
        <v>0.58999999999999631</v>
      </c>
      <c r="AF6" s="138">
        <f t="shared" si="1"/>
        <v>-1.9723865877713243E-3</v>
      </c>
    </row>
    <row r="7" spans="1:32" x14ac:dyDescent="0.25">
      <c r="O7" s="11" t="s">
        <v>184</v>
      </c>
      <c r="Q7" s="2">
        <f>Q10+Q8</f>
        <v>-67.550000000000182</v>
      </c>
      <c r="R7">
        <v>25</v>
      </c>
      <c r="X7" s="133">
        <v>42669</v>
      </c>
      <c r="Y7" s="10">
        <v>61.2</v>
      </c>
      <c r="Z7" s="10">
        <v>61.32</v>
      </c>
      <c r="AA7" s="10">
        <v>60.77</v>
      </c>
      <c r="AB7" s="10">
        <v>60.84</v>
      </c>
      <c r="AC7" s="95">
        <v>1852600</v>
      </c>
      <c r="AD7" s="10">
        <v>60.84</v>
      </c>
      <c r="AE7" s="2">
        <f t="shared" si="0"/>
        <v>0.54999999999999716</v>
      </c>
      <c r="AF7" s="138">
        <f t="shared" si="1"/>
        <v>-4.2553191489361764E-3</v>
      </c>
    </row>
    <row r="8" spans="1:32" x14ac:dyDescent="0.25">
      <c r="O8" s="11" t="s">
        <v>187</v>
      </c>
      <c r="P8" s="34"/>
      <c r="Q8" s="2">
        <f>K18+M18-F18+Q2*Q4</f>
        <v>-117.5</v>
      </c>
      <c r="X8" s="133">
        <v>42668</v>
      </c>
      <c r="Y8" s="10">
        <v>60.97</v>
      </c>
      <c r="Z8" s="10">
        <v>61.14</v>
      </c>
      <c r="AA8" s="10">
        <v>60.85</v>
      </c>
      <c r="AB8" s="10">
        <v>61.1</v>
      </c>
      <c r="AC8" s="95">
        <v>2012000</v>
      </c>
      <c r="AD8" s="10">
        <v>61.1</v>
      </c>
      <c r="AE8" s="2">
        <f t="shared" si="0"/>
        <v>0.28999999999999915</v>
      </c>
      <c r="AF8" s="138">
        <f t="shared" si="1"/>
        <v>3.4488421744129916E-3</v>
      </c>
    </row>
    <row r="9" spans="1:32" x14ac:dyDescent="0.25">
      <c r="O9" s="11" t="s">
        <v>219</v>
      </c>
      <c r="Q9" s="138">
        <f>IF(Q2=0, 0, Q8/Q6)</f>
        <v>-3.6874313510120819E-2</v>
      </c>
      <c r="X9" s="133">
        <v>42667</v>
      </c>
      <c r="Y9" s="10">
        <v>60.99</v>
      </c>
      <c r="Z9" s="10">
        <v>61.24</v>
      </c>
      <c r="AA9" s="10">
        <v>60.58</v>
      </c>
      <c r="AB9" s="10">
        <v>60.89</v>
      </c>
      <c r="AC9" s="95">
        <v>3040500</v>
      </c>
      <c r="AD9" s="10">
        <v>60.89</v>
      </c>
      <c r="AE9" s="2">
        <f t="shared" si="0"/>
        <v>0.66000000000000369</v>
      </c>
      <c r="AF9" s="138">
        <f t="shared" si="1"/>
        <v>2.9649151704826959E-3</v>
      </c>
    </row>
    <row r="10" spans="1:32" x14ac:dyDescent="0.25">
      <c r="O10" s="11" t="s">
        <v>218</v>
      </c>
      <c r="P10" s="34"/>
      <c r="Q10" s="2">
        <f>M40</f>
        <v>49.949999999999818</v>
      </c>
      <c r="X10" s="133">
        <v>42664</v>
      </c>
      <c r="Y10" s="10">
        <v>60.79</v>
      </c>
      <c r="Z10" s="10">
        <v>60.92</v>
      </c>
      <c r="AA10" s="10">
        <v>60.44</v>
      </c>
      <c r="AB10" s="10">
        <v>60.71</v>
      </c>
      <c r="AC10" s="95">
        <v>3710000</v>
      </c>
      <c r="AD10" s="10">
        <v>60.71</v>
      </c>
      <c r="AE10" s="2">
        <f t="shared" si="0"/>
        <v>0.48000000000000398</v>
      </c>
      <c r="AF10" s="138">
        <f t="shared" si="1"/>
        <v>-4.7540983606557674E-3</v>
      </c>
    </row>
    <row r="11" spans="1:32" x14ac:dyDescent="0.25">
      <c r="O11" s="11" t="s">
        <v>181</v>
      </c>
      <c r="P11" s="34"/>
      <c r="Q11" s="138">
        <f>VALUE(TRIM(CLEAN(MID(U58, FIND("(", U58)+1, 5))))</f>
        <v>3.1099999999999999E-2</v>
      </c>
      <c r="X11" s="133">
        <v>42663</v>
      </c>
      <c r="Y11" s="10">
        <v>61.56</v>
      </c>
      <c r="Z11" s="10">
        <v>61.56</v>
      </c>
      <c r="AA11" s="10">
        <v>60.94</v>
      </c>
      <c r="AB11" s="10">
        <v>61</v>
      </c>
      <c r="AC11" s="95">
        <v>4403100</v>
      </c>
      <c r="AD11" s="10">
        <v>61</v>
      </c>
      <c r="AE11" s="2">
        <f t="shared" si="0"/>
        <v>0.62000000000000455</v>
      </c>
      <c r="AF11" s="138">
        <f t="shared" si="1"/>
        <v>-9.257755400357337E-3</v>
      </c>
    </row>
    <row r="12" spans="1:32" x14ac:dyDescent="0.25">
      <c r="X12" s="133">
        <v>42662</v>
      </c>
      <c r="Y12" s="10">
        <v>61.95</v>
      </c>
      <c r="Z12" s="10">
        <v>61.95</v>
      </c>
      <c r="AA12" s="10">
        <v>61.34</v>
      </c>
      <c r="AB12" s="10">
        <v>61.57</v>
      </c>
      <c r="AC12" s="95">
        <v>4423300</v>
      </c>
      <c r="AD12" s="10">
        <v>61.57</v>
      </c>
      <c r="AE12" s="2">
        <f t="shared" si="0"/>
        <v>0.60999999999999943</v>
      </c>
      <c r="AF12" s="138">
        <f t="shared" si="1"/>
        <v>-5.4918429979000649E-3</v>
      </c>
    </row>
    <row r="13" spans="1:32" x14ac:dyDescent="0.25">
      <c r="X13" s="133">
        <v>42661</v>
      </c>
      <c r="Y13" s="10">
        <v>62.24</v>
      </c>
      <c r="Z13" s="10">
        <v>62.25</v>
      </c>
      <c r="AA13" s="10">
        <v>61.73</v>
      </c>
      <c r="AB13" s="10">
        <v>61.91</v>
      </c>
      <c r="AC13" s="95">
        <v>5041300</v>
      </c>
      <c r="AD13" s="10">
        <v>61.91</v>
      </c>
      <c r="AE13" s="2">
        <f t="shared" si="0"/>
        <v>0.52000000000000313</v>
      </c>
      <c r="AF13" s="138">
        <f t="shared" si="1"/>
        <v>2.2664723976038026E-3</v>
      </c>
    </row>
    <row r="14" spans="1:32" x14ac:dyDescent="0.25">
      <c r="X14" s="133">
        <v>42660</v>
      </c>
      <c r="Y14" s="10">
        <v>62.48</v>
      </c>
      <c r="Z14" s="10">
        <v>62.48</v>
      </c>
      <c r="AA14" s="10">
        <v>61.71</v>
      </c>
      <c r="AB14" s="10">
        <v>61.77</v>
      </c>
      <c r="AC14" s="95">
        <v>3404100</v>
      </c>
      <c r="AD14" s="10">
        <v>61.77</v>
      </c>
      <c r="AE14" s="2">
        <f t="shared" si="0"/>
        <v>0.76999999999999602</v>
      </c>
      <c r="AF14" s="138">
        <f t="shared" si="1"/>
        <v>-1.6186468112655561E-4</v>
      </c>
    </row>
    <row r="15" spans="1:32" x14ac:dyDescent="0.25">
      <c r="X15" s="133">
        <v>42657</v>
      </c>
      <c r="Y15" s="10">
        <v>62.42</v>
      </c>
      <c r="Z15" s="10">
        <v>62.48</v>
      </c>
      <c r="AA15" s="10">
        <v>61.73</v>
      </c>
      <c r="AB15" s="10">
        <v>61.78</v>
      </c>
      <c r="AC15" s="95">
        <v>3337200</v>
      </c>
      <c r="AD15" s="10">
        <v>61.78</v>
      </c>
      <c r="AE15" s="2">
        <f t="shared" si="0"/>
        <v>0.75</v>
      </c>
      <c r="AF15" s="138">
        <f t="shared" si="1"/>
        <v>-7.0716811314689432E-3</v>
      </c>
    </row>
    <row r="16" spans="1:32" x14ac:dyDescent="0.25">
      <c r="X16" s="133">
        <v>42656</v>
      </c>
      <c r="Y16" s="10">
        <v>61.76</v>
      </c>
      <c r="Z16" s="10">
        <v>62.26</v>
      </c>
      <c r="AA16" s="10">
        <v>61.68</v>
      </c>
      <c r="AB16" s="10">
        <v>62.22</v>
      </c>
      <c r="AC16" s="95">
        <v>2683200</v>
      </c>
      <c r="AD16" s="10">
        <v>62.22</v>
      </c>
      <c r="AE16" s="2">
        <f t="shared" si="0"/>
        <v>0.57999999999999829</v>
      </c>
      <c r="AF16" s="138">
        <f t="shared" si="1"/>
        <v>1.4485755673587786E-3</v>
      </c>
    </row>
    <row r="17" spans="1:32" x14ac:dyDescent="0.25">
      <c r="X17" s="133">
        <v>42655</v>
      </c>
      <c r="Y17" s="10">
        <v>62.17</v>
      </c>
      <c r="Z17" s="10">
        <v>62.31</v>
      </c>
      <c r="AA17" s="10">
        <v>61.89</v>
      </c>
      <c r="AB17" s="10">
        <v>62.13</v>
      </c>
      <c r="AC17" s="95">
        <v>2832500</v>
      </c>
      <c r="AD17" s="10">
        <v>62.13</v>
      </c>
      <c r="AE17" s="2">
        <f t="shared" si="0"/>
        <v>0.42000000000000171</v>
      </c>
      <c r="AF17" s="138">
        <f t="shared" si="1"/>
        <v>2.9055690072639084E-3</v>
      </c>
    </row>
    <row r="18" spans="1:32" x14ac:dyDescent="0.25">
      <c r="A18" s="22" t="s">
        <v>81</v>
      </c>
      <c r="B18" s="12"/>
      <c r="C18" s="12">
        <f>SUM(C2:C17)</f>
        <v>50</v>
      </c>
      <c r="D18" s="13"/>
      <c r="E18" s="13"/>
      <c r="F18" s="13">
        <f>SUM(F2:F17)</f>
        <v>3198.5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12</v>
      </c>
      <c r="X18" s="133">
        <v>42654</v>
      </c>
      <c r="Y18" s="10">
        <v>62.28</v>
      </c>
      <c r="Z18" s="10">
        <v>62.38</v>
      </c>
      <c r="AA18" s="10">
        <v>61.71</v>
      </c>
      <c r="AB18" s="10">
        <v>61.95</v>
      </c>
      <c r="AC18" s="95">
        <v>3007500</v>
      </c>
      <c r="AD18" s="10">
        <v>61.95</v>
      </c>
      <c r="AE18" s="2">
        <f t="shared" si="0"/>
        <v>0.67000000000000171</v>
      </c>
      <c r="AF18" s="138">
        <f t="shared" si="1"/>
        <v>-7.8475336322869627E-3</v>
      </c>
    </row>
    <row r="19" spans="1:32" x14ac:dyDescent="0.25">
      <c r="X19" s="133">
        <v>42653</v>
      </c>
      <c r="Y19" s="10">
        <v>62.45</v>
      </c>
      <c r="Z19" s="10">
        <v>62.77</v>
      </c>
      <c r="AA19" s="10">
        <v>62.17</v>
      </c>
      <c r="AB19" s="10">
        <v>62.44</v>
      </c>
      <c r="AC19" s="95">
        <v>2847000</v>
      </c>
      <c r="AD19" s="10">
        <v>62.44</v>
      </c>
      <c r="AE19" s="2">
        <f t="shared" si="0"/>
        <v>0.60000000000000142</v>
      </c>
      <c r="AF19" s="138">
        <f t="shared" si="1"/>
        <v>4.9895380653468546E-3</v>
      </c>
    </row>
    <row r="20" spans="1:32" x14ac:dyDescent="0.25">
      <c r="X20" s="133">
        <v>42650</v>
      </c>
      <c r="Y20" s="10">
        <v>62.4</v>
      </c>
      <c r="Z20" s="10">
        <v>62.59</v>
      </c>
      <c r="AA20" s="10">
        <v>61.64</v>
      </c>
      <c r="AB20" s="10">
        <v>62.13</v>
      </c>
      <c r="AC20" s="95">
        <v>2759300</v>
      </c>
      <c r="AD20" s="10">
        <v>62.13</v>
      </c>
      <c r="AE20" s="2">
        <f t="shared" si="0"/>
        <v>0.95000000000000284</v>
      </c>
      <c r="AF20" s="138">
        <f t="shared" si="1"/>
        <v>-4.6459468119192104E-3</v>
      </c>
    </row>
    <row r="21" spans="1:32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X21" s="133">
        <v>42649</v>
      </c>
      <c r="Y21" s="10">
        <v>62.16</v>
      </c>
      <c r="Z21" s="10">
        <v>62.65</v>
      </c>
      <c r="AA21" s="10">
        <v>62.02</v>
      </c>
      <c r="AB21" s="10">
        <v>62.42</v>
      </c>
      <c r="AC21" s="95">
        <v>3091400</v>
      </c>
      <c r="AD21" s="10">
        <v>62.42</v>
      </c>
      <c r="AE21" s="2">
        <f t="shared" si="0"/>
        <v>0.62999999999999545</v>
      </c>
      <c r="AF21" s="138">
        <f t="shared" si="1"/>
        <v>9.6215522771014861E-4</v>
      </c>
    </row>
    <row r="22" spans="1:32" x14ac:dyDescent="0.25">
      <c r="B22" s="193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1">
        <f t="shared" ref="H22:H29" si="4">(E22-D22)/D22</f>
        <v>-2.8524492234169606E-2</v>
      </c>
      <c r="I22" s="40"/>
      <c r="X22" s="133">
        <v>42648</v>
      </c>
      <c r="Y22" s="10">
        <v>62.61</v>
      </c>
      <c r="Z22" s="10">
        <v>62.88</v>
      </c>
      <c r="AA22" s="10">
        <v>62.03</v>
      </c>
      <c r="AB22" s="10">
        <v>62.36</v>
      </c>
      <c r="AC22" s="95">
        <v>5118100</v>
      </c>
      <c r="AD22" s="10">
        <v>62.36</v>
      </c>
      <c r="AE22" s="2">
        <f t="shared" si="0"/>
        <v>0.85000000000000142</v>
      </c>
      <c r="AF22" s="138" t="e">
        <f t="shared" si="1"/>
        <v>#DIV/0!</v>
      </c>
    </row>
    <row r="23" spans="1:32" x14ac:dyDescent="0.25">
      <c r="B23" s="193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1">
        <f t="shared" si="4"/>
        <v>-2.5388291517323608E-2</v>
      </c>
      <c r="I23" s="40"/>
      <c r="X23" s="133">
        <v>42648</v>
      </c>
      <c r="Y23" s="10" t="s">
        <v>258</v>
      </c>
      <c r="Z23" s="10"/>
      <c r="AA23" s="10"/>
      <c r="AB23" s="10"/>
      <c r="AC23" s="95"/>
      <c r="AD23" s="10"/>
      <c r="AE23" s="2">
        <f t="shared" si="0"/>
        <v>0</v>
      </c>
      <c r="AF23" s="138">
        <f t="shared" si="1"/>
        <v>-1</v>
      </c>
    </row>
    <row r="24" spans="1:32" x14ac:dyDescent="0.25">
      <c r="B24" s="193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1">
        <f t="shared" si="4"/>
        <v>-3.4498207885304485E-2</v>
      </c>
      <c r="I24" s="40"/>
      <c r="X24" s="133">
        <v>42647</v>
      </c>
      <c r="Y24" s="10">
        <v>63.86</v>
      </c>
      <c r="Z24" s="10">
        <v>63.92</v>
      </c>
      <c r="AA24" s="10">
        <v>62.89</v>
      </c>
      <c r="AB24" s="10">
        <v>63.05</v>
      </c>
      <c r="AC24" s="95">
        <v>3618000</v>
      </c>
      <c r="AD24" s="10">
        <v>62.57</v>
      </c>
      <c r="AE24" s="2">
        <f t="shared" si="0"/>
        <v>1.0300000000000011</v>
      </c>
      <c r="AF24" s="138">
        <f t="shared" si="1"/>
        <v>-1.2935794289320124E-2</v>
      </c>
    </row>
    <row r="25" spans="1:32" x14ac:dyDescent="0.25">
      <c r="B25" s="193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1">
        <f t="shared" si="4"/>
        <v>-4.5698924731182727E-2</v>
      </c>
      <c r="I25" s="40"/>
      <c r="X25" s="133">
        <v>42646</v>
      </c>
      <c r="Y25" s="10">
        <v>63.76</v>
      </c>
      <c r="Z25" s="10">
        <v>64.02</v>
      </c>
      <c r="AA25" s="10">
        <v>63.38</v>
      </c>
      <c r="AB25" s="10">
        <v>63.88</v>
      </c>
      <c r="AC25" s="95">
        <v>2758800</v>
      </c>
      <c r="AD25" s="10">
        <v>63.39</v>
      </c>
      <c r="AE25" s="2">
        <f t="shared" si="0"/>
        <v>0.63999999999999346</v>
      </c>
      <c r="AF25" s="138">
        <f t="shared" si="1"/>
        <v>0</v>
      </c>
    </row>
    <row r="26" spans="1:32" x14ac:dyDescent="0.25">
      <c r="B26" s="193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1">
        <f t="shared" si="4"/>
        <v>-5.8393070489844635E-2</v>
      </c>
      <c r="I26" s="40"/>
      <c r="X26" s="133">
        <v>42643</v>
      </c>
      <c r="Y26" s="10">
        <v>63.92</v>
      </c>
      <c r="Z26" s="10">
        <v>64.180000000000007</v>
      </c>
      <c r="AA26" s="10">
        <v>63.69</v>
      </c>
      <c r="AB26" s="10">
        <v>63.88</v>
      </c>
      <c r="AC26" s="95">
        <v>3328400</v>
      </c>
      <c r="AD26" s="10">
        <v>63.39</v>
      </c>
      <c r="AE26" s="2">
        <f t="shared" si="0"/>
        <v>0.49000000000000909</v>
      </c>
      <c r="AF26" s="138">
        <f t="shared" si="1"/>
        <v>3.323836657169954E-3</v>
      </c>
    </row>
    <row r="27" spans="1:32" x14ac:dyDescent="0.25">
      <c r="B27" s="193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1">
        <f t="shared" si="4"/>
        <v>-5.8393070489844635E-2</v>
      </c>
      <c r="I27" s="40"/>
      <c r="X27" s="133">
        <v>42642</v>
      </c>
      <c r="Y27" s="10">
        <v>64.05</v>
      </c>
      <c r="Z27" s="10">
        <v>64.39</v>
      </c>
      <c r="AA27" s="10">
        <v>63.65</v>
      </c>
      <c r="AB27" s="10">
        <v>63.66</v>
      </c>
      <c r="AC27" s="95">
        <v>3006600</v>
      </c>
      <c r="AD27" s="10">
        <v>63.18</v>
      </c>
      <c r="AE27" s="2">
        <f t="shared" si="0"/>
        <v>0.74000000000000199</v>
      </c>
      <c r="AF27" s="138">
        <f t="shared" si="1"/>
        <v>-6.447554646957121E-3</v>
      </c>
    </row>
    <row r="28" spans="1:32" x14ac:dyDescent="0.25">
      <c r="B28" s="193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1">
        <f t="shared" si="4"/>
        <v>-7.2132616487455073E-2</v>
      </c>
      <c r="I28" s="40"/>
      <c r="X28" s="133">
        <v>42641</v>
      </c>
      <c r="Y28" s="10">
        <v>64.150000000000006</v>
      </c>
      <c r="Z28" s="10">
        <v>64.19</v>
      </c>
      <c r="AA28" s="10">
        <v>63.76</v>
      </c>
      <c r="AB28" s="10">
        <v>64.08</v>
      </c>
      <c r="AC28" s="95">
        <v>2474900</v>
      </c>
      <c r="AD28" s="10">
        <v>63.59</v>
      </c>
      <c r="AE28" s="2">
        <f t="shared" si="0"/>
        <v>0.42999999999999972</v>
      </c>
      <c r="AF28" s="138">
        <f t="shared" si="1"/>
        <v>2.5224657102318471E-3</v>
      </c>
    </row>
    <row r="29" spans="1:32" x14ac:dyDescent="0.25">
      <c r="B29" s="193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1">
        <f t="shared" si="4"/>
        <v>-4.6428013131155209E-2</v>
      </c>
      <c r="I29" s="40"/>
      <c r="X29" s="133">
        <v>42640</v>
      </c>
      <c r="Y29" s="10">
        <v>64.06</v>
      </c>
      <c r="Z29" s="10">
        <v>64.08</v>
      </c>
      <c r="AA29" s="10">
        <v>63.56</v>
      </c>
      <c r="AB29" s="10">
        <v>63.92</v>
      </c>
      <c r="AC29" s="95">
        <v>2693100</v>
      </c>
      <c r="AD29" s="10">
        <v>63.43</v>
      </c>
      <c r="AE29" s="2">
        <f t="shared" si="0"/>
        <v>0.51999999999999602</v>
      </c>
      <c r="AF29" s="138">
        <f t="shared" si="1"/>
        <v>3.1540766440629753E-4</v>
      </c>
    </row>
    <row r="30" spans="1:32" x14ac:dyDescent="0.25">
      <c r="B30" s="193"/>
      <c r="C30" s="10"/>
      <c r="D30" s="40"/>
      <c r="E30" s="40"/>
      <c r="F30" s="40"/>
      <c r="G30" s="40"/>
      <c r="H30" s="231"/>
      <c r="I30" s="40"/>
      <c r="X30" s="133">
        <v>42639</v>
      </c>
      <c r="Y30" s="10">
        <v>64.45</v>
      </c>
      <c r="Z30" s="10">
        <v>64.48</v>
      </c>
      <c r="AA30" s="10">
        <v>63.8</v>
      </c>
      <c r="AB30" s="10">
        <v>63.9</v>
      </c>
      <c r="AC30" s="95">
        <v>3176500</v>
      </c>
      <c r="AD30" s="10">
        <v>63.41</v>
      </c>
      <c r="AE30" s="2">
        <f t="shared" si="0"/>
        <v>0.68000000000000682</v>
      </c>
      <c r="AF30" s="138">
        <f t="shared" si="1"/>
        <v>-1.1689526184538668E-2</v>
      </c>
    </row>
    <row r="31" spans="1:32" x14ac:dyDescent="0.25">
      <c r="B31" s="193"/>
      <c r="C31" s="10"/>
      <c r="D31" s="40"/>
      <c r="E31" s="40"/>
      <c r="F31" s="40"/>
      <c r="G31" s="40"/>
      <c r="H31" s="231"/>
      <c r="I31" s="40"/>
      <c r="X31" s="133">
        <v>42636</v>
      </c>
      <c r="Y31" s="10">
        <v>64.89</v>
      </c>
      <c r="Z31" s="10">
        <v>65.239999999999995</v>
      </c>
      <c r="AA31" s="10">
        <v>64.650000000000006</v>
      </c>
      <c r="AB31" s="10">
        <v>64.650000000000006</v>
      </c>
      <c r="AC31" s="95">
        <v>3252600</v>
      </c>
      <c r="AD31" s="10">
        <v>64.16</v>
      </c>
      <c r="AE31" s="2">
        <f t="shared" si="0"/>
        <v>0.5899999999999892</v>
      </c>
      <c r="AF31" s="138">
        <f t="shared" si="1"/>
        <v>-6.1957868649319403E-3</v>
      </c>
    </row>
    <row r="32" spans="1:32" x14ac:dyDescent="0.25">
      <c r="B32" s="193"/>
      <c r="C32" s="10"/>
      <c r="D32" s="40"/>
      <c r="E32" s="40"/>
      <c r="F32" s="40"/>
      <c r="G32" s="40"/>
      <c r="H32" s="231"/>
      <c r="I32" s="40"/>
      <c r="X32" s="133">
        <v>42635</v>
      </c>
      <c r="Y32" s="10">
        <v>65.260000000000005</v>
      </c>
      <c r="Z32" s="10">
        <v>65.569999999999993</v>
      </c>
      <c r="AA32" s="10">
        <v>64.790000000000006</v>
      </c>
      <c r="AB32" s="10">
        <v>65.06</v>
      </c>
      <c r="AC32" s="95">
        <v>4140200</v>
      </c>
      <c r="AD32" s="10">
        <v>64.56</v>
      </c>
      <c r="AE32" s="2">
        <f t="shared" si="0"/>
        <v>0.77999999999998693</v>
      </c>
      <c r="AF32" s="138">
        <f t="shared" si="1"/>
        <v>-3.0883261272390827E-3</v>
      </c>
    </row>
    <row r="33" spans="1:32" x14ac:dyDescent="0.25">
      <c r="B33" s="193"/>
      <c r="C33" s="10"/>
      <c r="D33" s="40"/>
      <c r="E33" s="40"/>
      <c r="F33" s="40"/>
      <c r="G33" s="40"/>
      <c r="H33" s="231"/>
      <c r="I33" s="40"/>
      <c r="X33" s="133">
        <v>42634</v>
      </c>
      <c r="Y33" s="10">
        <v>64.06</v>
      </c>
      <c r="Z33" s="10">
        <v>65.37</v>
      </c>
      <c r="AA33" s="10">
        <v>63.15</v>
      </c>
      <c r="AB33" s="10">
        <v>65.260000000000005</v>
      </c>
      <c r="AC33" s="95">
        <v>5468900</v>
      </c>
      <c r="AD33" s="10">
        <v>64.760000000000005</v>
      </c>
      <c r="AE33" s="2">
        <f t="shared" si="0"/>
        <v>2.220000000000006</v>
      </c>
      <c r="AF33" s="138">
        <f t="shared" si="1"/>
        <v>8.5656439806884865E-3</v>
      </c>
    </row>
    <row r="34" spans="1:32" x14ac:dyDescent="0.25">
      <c r="B34" s="193"/>
      <c r="C34" s="10"/>
      <c r="D34" s="40"/>
      <c r="E34" s="40"/>
      <c r="F34" s="40"/>
      <c r="G34" s="40"/>
      <c r="H34" s="231"/>
      <c r="I34" s="40"/>
      <c r="X34" s="133">
        <v>42633</v>
      </c>
      <c r="Y34" s="10">
        <v>65.2</v>
      </c>
      <c r="Z34" s="10">
        <v>65.400000000000006</v>
      </c>
      <c r="AA34" s="10">
        <v>64.66</v>
      </c>
      <c r="AB34" s="10">
        <v>64.7</v>
      </c>
      <c r="AC34" s="95">
        <v>3527600</v>
      </c>
      <c r="AD34" s="10">
        <v>64.209999999999994</v>
      </c>
      <c r="AE34" s="2">
        <f t="shared" si="0"/>
        <v>0.74000000000000909</v>
      </c>
      <c r="AF34" s="138">
        <f t="shared" si="1"/>
        <v>-7.7267810230258194E-3</v>
      </c>
    </row>
    <row r="35" spans="1:32" x14ac:dyDescent="0.25">
      <c r="B35" s="193"/>
      <c r="C35" s="10"/>
      <c r="D35" s="40"/>
      <c r="E35" s="40"/>
      <c r="F35" s="40"/>
      <c r="G35" s="40"/>
      <c r="H35" s="231"/>
      <c r="I35" s="40"/>
      <c r="X35" s="133">
        <v>42632</v>
      </c>
      <c r="Y35" s="10">
        <v>65.05</v>
      </c>
      <c r="Z35" s="10">
        <v>65.510000000000005</v>
      </c>
      <c r="AA35" s="10">
        <v>64.959999999999994</v>
      </c>
      <c r="AB35" s="10">
        <v>65.209999999999994</v>
      </c>
      <c r="AC35" s="95">
        <v>2546000</v>
      </c>
      <c r="AD35" s="10">
        <v>64.709999999999994</v>
      </c>
      <c r="AE35" s="2">
        <f t="shared" si="0"/>
        <v>0.55000000000001137</v>
      </c>
      <c r="AF35" s="138">
        <f t="shared" si="1"/>
        <v>3.0916679548620429E-4</v>
      </c>
    </row>
    <row r="36" spans="1:32" x14ac:dyDescent="0.25">
      <c r="B36" s="193"/>
      <c r="C36" s="10"/>
      <c r="D36" s="40"/>
      <c r="E36" s="40"/>
      <c r="F36" s="40"/>
      <c r="G36" s="40"/>
      <c r="H36" s="231"/>
      <c r="I36" s="40"/>
      <c r="X36" s="133">
        <v>42629</v>
      </c>
      <c r="Y36" s="10">
        <v>65.260000000000005</v>
      </c>
      <c r="Z36" s="10">
        <v>65.459999999999994</v>
      </c>
      <c r="AA36" s="10">
        <v>64.83</v>
      </c>
      <c r="AB36" s="10">
        <v>65.19</v>
      </c>
      <c r="AC36" s="95">
        <v>3705300</v>
      </c>
      <c r="AD36" s="10">
        <v>64.69</v>
      </c>
      <c r="AE36" s="2">
        <f t="shared" si="0"/>
        <v>0.62999999999999545</v>
      </c>
      <c r="AF36" s="138">
        <f t="shared" si="1"/>
        <v>-5.3813038130382518E-3</v>
      </c>
    </row>
    <row r="37" spans="1:32" x14ac:dyDescent="0.25">
      <c r="X37" s="133">
        <v>42628</v>
      </c>
      <c r="Y37" s="10">
        <v>65.22</v>
      </c>
      <c r="Z37" s="10">
        <v>65.72</v>
      </c>
      <c r="AA37" s="10">
        <v>65.14</v>
      </c>
      <c r="AB37" s="10">
        <v>65.540000000000006</v>
      </c>
      <c r="AC37" s="95">
        <v>2821300</v>
      </c>
      <c r="AD37" s="10">
        <v>65.040000000000006</v>
      </c>
      <c r="AE37" s="2">
        <f t="shared" si="0"/>
        <v>0.57999999999999829</v>
      </c>
      <c r="AF37" s="138">
        <f t="shared" si="1"/>
        <v>9.2336103416434945E-4</v>
      </c>
    </row>
    <row r="38" spans="1:32" x14ac:dyDescent="0.25">
      <c r="X38" s="133">
        <v>42627</v>
      </c>
      <c r="Y38" s="10">
        <v>65.81</v>
      </c>
      <c r="Z38" s="10">
        <v>66.010000000000005</v>
      </c>
      <c r="AA38" s="10">
        <v>65.209999999999994</v>
      </c>
      <c r="AB38" s="10">
        <v>65.48</v>
      </c>
      <c r="AC38" s="95">
        <v>3010700</v>
      </c>
      <c r="AD38" s="10">
        <v>64.98</v>
      </c>
      <c r="AE38" s="2">
        <f t="shared" si="0"/>
        <v>0.80000000000001137</v>
      </c>
      <c r="AF38" s="138">
        <f t="shared" si="1"/>
        <v>-1.8433179723500448E-3</v>
      </c>
    </row>
    <row r="39" spans="1:32" x14ac:dyDescent="0.25">
      <c r="X39" s="133">
        <v>42626</v>
      </c>
      <c r="Y39" s="10">
        <v>66.489999999999995</v>
      </c>
      <c r="Z39" s="10">
        <v>66.53</v>
      </c>
      <c r="AA39" s="10">
        <v>65.55</v>
      </c>
      <c r="AB39" s="10">
        <v>65.599999999999994</v>
      </c>
      <c r="AC39" s="95">
        <v>3536400</v>
      </c>
      <c r="AD39" s="10">
        <v>65.099999999999994</v>
      </c>
      <c r="AE39" s="2">
        <f t="shared" si="0"/>
        <v>0.98000000000000398</v>
      </c>
      <c r="AF39" s="138">
        <f t="shared" si="1"/>
        <v>-1.0337488598358258E-2</v>
      </c>
    </row>
    <row r="40" spans="1:32" x14ac:dyDescent="0.25">
      <c r="L40" t="s">
        <v>218</v>
      </c>
      <c r="M40" s="2">
        <f>M49+K49-F49</f>
        <v>49.949999999999818</v>
      </c>
      <c r="X40" s="133">
        <v>42625</v>
      </c>
      <c r="Y40" s="10">
        <v>65</v>
      </c>
      <c r="Z40" s="10">
        <v>66.42</v>
      </c>
      <c r="AA40" s="10">
        <v>65</v>
      </c>
      <c r="AB40" s="10">
        <v>66.28</v>
      </c>
      <c r="AC40" s="95">
        <v>4290800</v>
      </c>
      <c r="AD40" s="10">
        <v>65.78</v>
      </c>
      <c r="AE40" s="2">
        <f t="shared" si="0"/>
        <v>1.4200000000000017</v>
      </c>
      <c r="AF40" s="138">
        <f t="shared" si="1"/>
        <v>1.905499612703343E-2</v>
      </c>
    </row>
    <row r="41" spans="1:32" ht="20.25" thickBot="1" x14ac:dyDescent="0.35">
      <c r="A41" s="390" t="s">
        <v>1</v>
      </c>
      <c r="B41" s="390" t="s">
        <v>2</v>
      </c>
      <c r="C41" s="390" t="s">
        <v>4</v>
      </c>
      <c r="D41" s="392" t="s">
        <v>5</v>
      </c>
      <c r="E41" s="392" t="s">
        <v>94</v>
      </c>
      <c r="F41" s="392" t="s">
        <v>60</v>
      </c>
      <c r="G41" s="390" t="s">
        <v>3</v>
      </c>
      <c r="H41" s="390" t="s">
        <v>6</v>
      </c>
      <c r="I41" s="390" t="s">
        <v>7</v>
      </c>
      <c r="J41" s="390" t="s">
        <v>95</v>
      </c>
      <c r="K41" s="390" t="s">
        <v>61</v>
      </c>
      <c r="L41" s="390" t="s">
        <v>77</v>
      </c>
      <c r="M41" s="390" t="s">
        <v>38</v>
      </c>
      <c r="O41" s="588" t="s">
        <v>78</v>
      </c>
      <c r="P41" s="588"/>
      <c r="X41" s="133">
        <v>42622</v>
      </c>
      <c r="Y41" s="10">
        <v>66.97</v>
      </c>
      <c r="Z41" s="10">
        <v>66.98</v>
      </c>
      <c r="AA41" s="10">
        <v>65.05</v>
      </c>
      <c r="AB41" s="10">
        <v>65.05</v>
      </c>
      <c r="AC41" s="95">
        <v>6391300</v>
      </c>
      <c r="AD41" s="10">
        <v>64.55</v>
      </c>
      <c r="AE41" s="2">
        <f t="shared" si="0"/>
        <v>1.9300000000000068</v>
      </c>
      <c r="AF41" s="138">
        <f t="shared" si="1"/>
        <v>-3.5991636798088367E-2</v>
      </c>
    </row>
    <row r="42" spans="1:32" ht="21" thickTop="1" thickBot="1" x14ac:dyDescent="0.35">
      <c r="A42" s="393" t="s">
        <v>176</v>
      </c>
      <c r="B42" s="395">
        <v>42376</v>
      </c>
      <c r="C42" s="384">
        <v>50</v>
      </c>
      <c r="D42" s="385">
        <v>55.15</v>
      </c>
      <c r="E42" s="385">
        <v>0</v>
      </c>
      <c r="F42" s="385">
        <f>C42*D42+E42</f>
        <v>2757.5</v>
      </c>
      <c r="G42" s="383">
        <v>42409</v>
      </c>
      <c r="H42" s="388">
        <v>50</v>
      </c>
      <c r="I42" s="385">
        <v>56.15</v>
      </c>
      <c r="J42" s="385">
        <v>0.05</v>
      </c>
      <c r="K42" s="384">
        <f>H42*I42-J42</f>
        <v>2807.45</v>
      </c>
      <c r="L42" s="383"/>
      <c r="M42" s="385"/>
      <c r="O42" s="83">
        <v>1.1000000000000001</v>
      </c>
      <c r="P42" s="83">
        <f>O42*$Q$4</f>
        <v>67.518000000000015</v>
      </c>
      <c r="Q42" s="2"/>
      <c r="T42" s="91"/>
      <c r="X42" s="133">
        <v>42621</v>
      </c>
      <c r="Y42" s="10">
        <v>67.599999999999994</v>
      </c>
      <c r="Z42" s="10">
        <v>68.069999999999993</v>
      </c>
      <c r="AA42" s="10">
        <v>67.31</v>
      </c>
      <c r="AB42" s="10">
        <v>67.47</v>
      </c>
      <c r="AC42" s="95">
        <v>4110500</v>
      </c>
      <c r="AD42" s="10">
        <v>66.959999999999994</v>
      </c>
      <c r="AE42" s="2">
        <f t="shared" si="0"/>
        <v>0.75999999999999091</v>
      </c>
      <c r="AF42" s="138">
        <f t="shared" si="1"/>
        <v>-5.4953215505718633E-3</v>
      </c>
    </row>
    <row r="43" spans="1:32" ht="15.75" thickTop="1" x14ac:dyDescent="0.25">
      <c r="A43" s="394" t="s">
        <v>71</v>
      </c>
      <c r="B43" s="395"/>
      <c r="C43" s="384"/>
      <c r="D43" s="385"/>
      <c r="E43" s="385"/>
      <c r="F43" s="385"/>
      <c r="G43" s="383"/>
      <c r="H43" s="384"/>
      <c r="I43" s="384"/>
      <c r="J43" s="384"/>
      <c r="K43" s="384"/>
      <c r="L43" s="384"/>
      <c r="M43" s="384"/>
      <c r="O43" s="83">
        <v>1.0900000000000001</v>
      </c>
      <c r="P43" s="83">
        <f t="shared" ref="P43:P62" si="5">O43*$Q$4</f>
        <v>66.904200000000003</v>
      </c>
      <c r="Q43" s="2"/>
      <c r="T43" s="128" t="s">
        <v>98</v>
      </c>
      <c r="U43" s="129">
        <v>61.63</v>
      </c>
      <c r="X43" s="133">
        <v>42620</v>
      </c>
      <c r="Y43" s="10">
        <v>70.45</v>
      </c>
      <c r="Z43" s="10">
        <v>70.64</v>
      </c>
      <c r="AA43" s="10">
        <v>67.61</v>
      </c>
      <c r="AB43" s="10">
        <v>67.849999999999994</v>
      </c>
      <c r="AC43" s="95">
        <v>6769900</v>
      </c>
      <c r="AD43" s="10">
        <v>67.33</v>
      </c>
      <c r="AE43" s="2">
        <f t="shared" si="0"/>
        <v>3.0300000000000011</v>
      </c>
      <c r="AF43" s="138">
        <f t="shared" si="1"/>
        <v>-4.306424104604889E-2</v>
      </c>
    </row>
    <row r="44" spans="1:32" x14ac:dyDescent="0.25">
      <c r="A44" s="384"/>
      <c r="B44" s="383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1.08</v>
      </c>
      <c r="P44" s="83">
        <f t="shared" si="5"/>
        <v>66.290400000000005</v>
      </c>
      <c r="Q44" s="2"/>
      <c r="T44" s="93" t="s">
        <v>99</v>
      </c>
      <c r="U44" s="130">
        <v>61.62</v>
      </c>
      <c r="X44" s="133">
        <v>42619</v>
      </c>
      <c r="Y44" s="10">
        <v>71.040000000000006</v>
      </c>
      <c r="Z44" s="10">
        <v>71.33</v>
      </c>
      <c r="AA44" s="10">
        <v>70.36</v>
      </c>
      <c r="AB44" s="10">
        <v>70.900000000000006</v>
      </c>
      <c r="AC44" s="95">
        <v>3566500</v>
      </c>
      <c r="AD44" s="10">
        <v>70.36</v>
      </c>
      <c r="AE44" s="2">
        <f t="shared" si="0"/>
        <v>0.96999999999999886</v>
      </c>
      <c r="AF44" s="138">
        <f t="shared" si="1"/>
        <v>-5.6818181818185653E-4</v>
      </c>
    </row>
    <row r="45" spans="1:32" x14ac:dyDescent="0.25">
      <c r="A45" s="384"/>
      <c r="B45" s="383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1.07</v>
      </c>
      <c r="P45" s="83">
        <f t="shared" si="5"/>
        <v>65.676600000000008</v>
      </c>
      <c r="Q45" s="2"/>
      <c r="T45" s="93" t="s">
        <v>100</v>
      </c>
      <c r="U45" s="130" t="s">
        <v>670</v>
      </c>
      <c r="X45" s="133">
        <v>42615</v>
      </c>
      <c r="Y45" s="10">
        <v>70.569999999999993</v>
      </c>
      <c r="Z45" s="10">
        <v>71.12</v>
      </c>
      <c r="AA45" s="10">
        <v>70.45</v>
      </c>
      <c r="AB45" s="10">
        <v>70.94</v>
      </c>
      <c r="AC45" s="95">
        <v>2446600</v>
      </c>
      <c r="AD45" s="10">
        <v>70.400000000000006</v>
      </c>
      <c r="AE45" s="2">
        <f t="shared" si="0"/>
        <v>0.67000000000000171</v>
      </c>
      <c r="AF45" s="138">
        <f t="shared" si="1"/>
        <v>1.17849956884164E-2</v>
      </c>
    </row>
    <row r="46" spans="1:32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1.06</v>
      </c>
      <c r="P46" s="83">
        <f t="shared" si="5"/>
        <v>65.06280000000001</v>
      </c>
      <c r="Q46" s="2"/>
      <c r="T46" s="93" t="s">
        <v>101</v>
      </c>
      <c r="U46" s="130" t="s">
        <v>671</v>
      </c>
      <c r="X46" s="133">
        <v>42614</v>
      </c>
      <c r="Y46" s="10">
        <v>70.67</v>
      </c>
      <c r="Z46" s="10">
        <v>70.8</v>
      </c>
      <c r="AA46" s="10">
        <v>69.66</v>
      </c>
      <c r="AB46" s="10">
        <v>70.11</v>
      </c>
      <c r="AC46" s="95">
        <v>4253500</v>
      </c>
      <c r="AD46" s="10">
        <v>69.58</v>
      </c>
      <c r="AE46" s="2">
        <f t="shared" si="0"/>
        <v>1.1400000000000006</v>
      </c>
      <c r="AF46" s="138">
        <f t="shared" si="1"/>
        <v>-9.960159362549792E-3</v>
      </c>
    </row>
    <row r="47" spans="1:32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1.05</v>
      </c>
      <c r="P47" s="83">
        <f t="shared" si="5"/>
        <v>64.449000000000012</v>
      </c>
      <c r="Q47" s="2"/>
      <c r="T47" s="93" t="s">
        <v>102</v>
      </c>
      <c r="U47" s="130">
        <v>67.13</v>
      </c>
      <c r="X47" s="133">
        <v>42613</v>
      </c>
      <c r="Y47" s="10">
        <v>70.56</v>
      </c>
      <c r="Z47" s="10">
        <v>70.91</v>
      </c>
      <c r="AA47" s="10">
        <v>70.38</v>
      </c>
      <c r="AB47" s="10">
        <v>70.819999999999993</v>
      </c>
      <c r="AC47" s="95">
        <v>3776200</v>
      </c>
      <c r="AD47" s="10">
        <v>70.28</v>
      </c>
      <c r="AE47" s="2">
        <f t="shared" si="0"/>
        <v>0.53000000000000114</v>
      </c>
      <c r="AF47" s="138">
        <f t="shared" si="1"/>
        <v>4.430470201514991E-3</v>
      </c>
    </row>
    <row r="48" spans="1:32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1.04</v>
      </c>
      <c r="P48" s="83">
        <f t="shared" si="5"/>
        <v>63.835200000000007</v>
      </c>
      <c r="Q48" s="2"/>
      <c r="T48" s="93" t="s">
        <v>103</v>
      </c>
      <c r="U48" s="130">
        <v>0.63783000000000001</v>
      </c>
      <c r="X48" s="133">
        <v>42612</v>
      </c>
      <c r="Y48" s="10">
        <v>71.39</v>
      </c>
      <c r="Z48" s="10">
        <v>71.58</v>
      </c>
      <c r="AA48" s="10">
        <v>70.349999999999994</v>
      </c>
      <c r="AB48" s="10">
        <v>70.510000000000005</v>
      </c>
      <c r="AC48" s="95">
        <v>4402700</v>
      </c>
      <c r="AD48" s="10">
        <v>69.97</v>
      </c>
      <c r="AE48" s="2">
        <f t="shared" si="0"/>
        <v>1.230000000000004</v>
      </c>
      <c r="AF48" s="138">
        <f t="shared" si="1"/>
        <v>-1.283860045146723E-2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3">
        <v>1.03</v>
      </c>
      <c r="P49" s="83">
        <f t="shared" si="5"/>
        <v>63.221400000000003</v>
      </c>
      <c r="Q49" s="2"/>
      <c r="T49" s="93" t="s">
        <v>122</v>
      </c>
      <c r="U49" s="130" t="s">
        <v>354</v>
      </c>
      <c r="X49" s="133">
        <v>42611</v>
      </c>
      <c r="Y49" s="10">
        <v>70.989999999999995</v>
      </c>
      <c r="Z49" s="10">
        <v>71.569999999999993</v>
      </c>
      <c r="AA49" s="10">
        <v>70.989999999999995</v>
      </c>
      <c r="AB49" s="10">
        <v>71.42</v>
      </c>
      <c r="AC49" s="95">
        <v>2489600</v>
      </c>
      <c r="AD49" s="10">
        <v>70.88</v>
      </c>
      <c r="AE49" s="2">
        <f t="shared" si="0"/>
        <v>0.57999999999999829</v>
      </c>
      <c r="AF49" s="138">
        <f t="shared" si="1"/>
        <v>7.8202758424570362E-3</v>
      </c>
    </row>
    <row r="50" spans="1:32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1.02</v>
      </c>
      <c r="P50" s="83">
        <f t="shared" si="5"/>
        <v>62.607600000000005</v>
      </c>
      <c r="Q50" s="2"/>
      <c r="T50" s="93"/>
      <c r="U50" s="130"/>
      <c r="X50" s="133">
        <v>42608</v>
      </c>
      <c r="Y50" s="10">
        <v>71.34</v>
      </c>
      <c r="Z50" s="10">
        <v>71.680000000000007</v>
      </c>
      <c r="AA50" s="10">
        <v>70.69</v>
      </c>
      <c r="AB50" s="10">
        <v>70.87</v>
      </c>
      <c r="AC50" s="95">
        <v>1975300</v>
      </c>
      <c r="AD50" s="10">
        <v>70.33</v>
      </c>
      <c r="AE50" s="2">
        <f t="shared" si="0"/>
        <v>0.99000000000000909</v>
      </c>
      <c r="AF50" s="138">
        <f t="shared" si="1"/>
        <v>-7.3394495412842931E-3</v>
      </c>
    </row>
    <row r="51" spans="1:32" x14ac:dyDescent="0.25">
      <c r="O51" s="83">
        <v>1.01</v>
      </c>
      <c r="P51" s="83">
        <f t="shared" si="5"/>
        <v>61.9938</v>
      </c>
      <c r="Q51" s="2"/>
      <c r="T51" s="93" t="s">
        <v>105</v>
      </c>
      <c r="U51" s="130" t="s">
        <v>672</v>
      </c>
      <c r="X51" s="133">
        <v>42607</v>
      </c>
      <c r="Y51" s="10">
        <v>70.819999999999993</v>
      </c>
      <c r="Z51" s="10">
        <v>71.959999999999994</v>
      </c>
      <c r="AA51" s="10">
        <v>70.760000000000005</v>
      </c>
      <c r="AB51" s="10">
        <v>71.39</v>
      </c>
      <c r="AC51" s="95">
        <v>3197300</v>
      </c>
      <c r="AD51" s="10">
        <v>70.849999999999994</v>
      </c>
      <c r="AE51" s="2">
        <f t="shared" si="0"/>
        <v>1.1999999999999886</v>
      </c>
      <c r="AF51" s="138">
        <f t="shared" si="1"/>
        <v>5.5350553505535416E-3</v>
      </c>
    </row>
    <row r="52" spans="1:32" x14ac:dyDescent="0.25">
      <c r="O52" s="83">
        <v>1</v>
      </c>
      <c r="P52" s="83">
        <f t="shared" si="5"/>
        <v>61.38</v>
      </c>
      <c r="Q52" s="2"/>
      <c r="T52" s="93" t="s">
        <v>106</v>
      </c>
      <c r="U52" s="130" t="s">
        <v>308</v>
      </c>
      <c r="X52" s="133">
        <v>42606</v>
      </c>
      <c r="Y52" s="10">
        <v>71</v>
      </c>
      <c r="Z52" s="10">
        <v>71.06</v>
      </c>
      <c r="AA52" s="10">
        <v>70.459999999999994</v>
      </c>
      <c r="AB52" s="10">
        <v>71</v>
      </c>
      <c r="AC52" s="95">
        <v>2494700</v>
      </c>
      <c r="AD52" s="10">
        <v>70.459999999999994</v>
      </c>
      <c r="AE52" s="2">
        <f t="shared" si="0"/>
        <v>0.60000000000000853</v>
      </c>
      <c r="AF52" s="138">
        <f t="shared" si="1"/>
        <v>-1.4172335600908248E-3</v>
      </c>
    </row>
    <row r="53" spans="1:32" x14ac:dyDescent="0.25">
      <c r="O53" s="83">
        <v>0.99</v>
      </c>
      <c r="P53" s="83">
        <f t="shared" si="5"/>
        <v>60.766200000000005</v>
      </c>
      <c r="Q53" s="2"/>
      <c r="T53" s="541" t="s">
        <v>107</v>
      </c>
      <c r="U53" s="131">
        <v>2889573</v>
      </c>
      <c r="X53" s="133">
        <v>42605</v>
      </c>
      <c r="Y53" s="10">
        <v>71.56</v>
      </c>
      <c r="Z53" s="10">
        <v>71.63</v>
      </c>
      <c r="AA53" s="10">
        <v>70.930000000000007</v>
      </c>
      <c r="AB53" s="10">
        <v>71.099999999999994</v>
      </c>
      <c r="AC53" s="95">
        <v>2270300</v>
      </c>
      <c r="AD53" s="10">
        <v>70.56</v>
      </c>
      <c r="AE53" s="2">
        <f t="shared" si="0"/>
        <v>0.69999999999998863</v>
      </c>
      <c r="AF53" s="138">
        <f t="shared" si="1"/>
        <v>-6.4770487186707193E-3</v>
      </c>
    </row>
    <row r="54" spans="1:32" x14ac:dyDescent="0.25">
      <c r="O54" s="83">
        <v>0.98</v>
      </c>
      <c r="P54" s="83">
        <f t="shared" si="5"/>
        <v>60.1524</v>
      </c>
      <c r="Q54" s="2"/>
      <c r="T54" s="541" t="s">
        <v>110</v>
      </c>
      <c r="U54" s="131">
        <v>3290050</v>
      </c>
      <c r="X54" s="133">
        <v>42604</v>
      </c>
      <c r="Y54" s="10">
        <v>71.53</v>
      </c>
      <c r="Z54" s="10">
        <v>71.819999999999993</v>
      </c>
      <c r="AA54" s="10">
        <v>71.27</v>
      </c>
      <c r="AB54" s="10">
        <v>71.56</v>
      </c>
      <c r="AC54" s="95">
        <v>2277400</v>
      </c>
      <c r="AD54" s="10">
        <v>71.02</v>
      </c>
      <c r="AE54" s="2">
        <f t="shared" si="0"/>
        <v>0.54999999999999716</v>
      </c>
      <c r="AF54" s="138">
        <f t="shared" si="1"/>
        <v>1.551262163305589E-3</v>
      </c>
    </row>
    <row r="55" spans="1:32" x14ac:dyDescent="0.25">
      <c r="O55" s="83">
        <v>0.97</v>
      </c>
      <c r="P55" s="83">
        <f t="shared" si="5"/>
        <v>59.538600000000002</v>
      </c>
      <c r="T55" s="93" t="s">
        <v>108</v>
      </c>
      <c r="U55" s="130" t="s">
        <v>673</v>
      </c>
      <c r="X55" s="133">
        <v>42601</v>
      </c>
      <c r="Y55" s="10">
        <v>71.260000000000005</v>
      </c>
      <c r="Z55" s="10">
        <v>71.5</v>
      </c>
      <c r="AA55" s="10">
        <v>70.92</v>
      </c>
      <c r="AB55" s="10">
        <v>71.45</v>
      </c>
      <c r="AC55" s="95">
        <v>2543700</v>
      </c>
      <c r="AD55" s="10">
        <v>70.91</v>
      </c>
      <c r="AE55" s="2">
        <f t="shared" si="0"/>
        <v>0.57999999999999829</v>
      </c>
      <c r="AF55" s="138">
        <f t="shared" si="1"/>
        <v>2.5448890145622904E-3</v>
      </c>
    </row>
    <row r="56" spans="1:32" x14ac:dyDescent="0.25">
      <c r="O56" s="83">
        <v>0.96</v>
      </c>
      <c r="P56" s="83">
        <f t="shared" si="5"/>
        <v>58.924799999999998</v>
      </c>
      <c r="T56" s="93" t="s">
        <v>111</v>
      </c>
      <c r="U56" s="130">
        <v>22.32</v>
      </c>
      <c r="X56" s="133">
        <v>42600</v>
      </c>
      <c r="Y56" s="10">
        <v>70.56</v>
      </c>
      <c r="Z56" s="10">
        <v>71.400000000000006</v>
      </c>
      <c r="AA56" s="10">
        <v>70.510000000000005</v>
      </c>
      <c r="AB56" s="10">
        <v>71.27</v>
      </c>
      <c r="AC56" s="95">
        <v>2517000</v>
      </c>
      <c r="AD56" s="10">
        <v>70.73</v>
      </c>
      <c r="AE56" s="2">
        <f t="shared" si="0"/>
        <v>0.89000000000000057</v>
      </c>
      <c r="AF56" s="138">
        <f t="shared" si="1"/>
        <v>1.0139960011425364E-2</v>
      </c>
    </row>
    <row r="57" spans="1:32" x14ac:dyDescent="0.25">
      <c r="O57" s="83">
        <v>0.95</v>
      </c>
      <c r="P57" s="83">
        <f t="shared" si="5"/>
        <v>58.311</v>
      </c>
      <c r="T57" s="93" t="s">
        <v>112</v>
      </c>
      <c r="U57" s="130">
        <v>2.75</v>
      </c>
      <c r="X57" s="133">
        <v>42599</v>
      </c>
      <c r="Y57" s="10">
        <v>70.510000000000005</v>
      </c>
      <c r="Z57" s="10">
        <v>70.87</v>
      </c>
      <c r="AA57" s="10">
        <v>70.22</v>
      </c>
      <c r="AB57" s="10">
        <v>70.56</v>
      </c>
      <c r="AC57" s="95">
        <v>3923300</v>
      </c>
      <c r="AD57" s="10">
        <v>70.02</v>
      </c>
      <c r="AE57" s="2">
        <f t="shared" si="0"/>
        <v>0.65000000000000568</v>
      </c>
      <c r="AF57" s="138">
        <f t="shared" si="1"/>
        <v>8.5763293310470168E-4</v>
      </c>
    </row>
    <row r="58" spans="1:32" x14ac:dyDescent="0.25">
      <c r="O58" s="83">
        <v>0.94</v>
      </c>
      <c r="P58" s="83">
        <f t="shared" si="5"/>
        <v>57.697200000000002</v>
      </c>
      <c r="T58" s="93" t="s">
        <v>109</v>
      </c>
      <c r="U58" s="130" t="s">
        <v>455</v>
      </c>
      <c r="X58" s="133">
        <v>42598</v>
      </c>
      <c r="Y58" s="10">
        <v>70.569999999999993</v>
      </c>
      <c r="Z58" s="10">
        <v>70.989999999999995</v>
      </c>
      <c r="AA58" s="10">
        <v>70.37</v>
      </c>
      <c r="AB58" s="10">
        <v>70.5</v>
      </c>
      <c r="AC58" s="95">
        <v>2642300</v>
      </c>
      <c r="AD58" s="10">
        <v>69.959999999999994</v>
      </c>
      <c r="AE58" s="2">
        <f t="shared" si="0"/>
        <v>0.61999999999999034</v>
      </c>
      <c r="AF58" s="138">
        <f t="shared" si="1"/>
        <v>-7.6595744680851841E-3</v>
      </c>
    </row>
    <row r="59" spans="1:32" x14ac:dyDescent="0.25">
      <c r="O59" s="83">
        <v>0.93</v>
      </c>
      <c r="P59" s="83">
        <f t="shared" si="5"/>
        <v>57.083400000000005</v>
      </c>
      <c r="X59" s="133">
        <v>42597</v>
      </c>
      <c r="Y59" s="10">
        <v>71.03</v>
      </c>
      <c r="Z59" s="10">
        <v>71.17</v>
      </c>
      <c r="AA59" s="10">
        <v>70.78</v>
      </c>
      <c r="AB59" s="10">
        <v>71.040000000000006</v>
      </c>
      <c r="AC59" s="95">
        <v>2096200</v>
      </c>
      <c r="AD59" s="10">
        <v>70.5</v>
      </c>
      <c r="AE59" s="2">
        <f t="shared" si="0"/>
        <v>0.39000000000000057</v>
      </c>
      <c r="AF59" s="138">
        <f t="shared" si="1"/>
        <v>-1.8405776582188782E-3</v>
      </c>
    </row>
    <row r="60" spans="1:32" x14ac:dyDescent="0.25">
      <c r="O60" s="83">
        <v>0.92</v>
      </c>
      <c r="P60" s="83">
        <f t="shared" si="5"/>
        <v>56.469600000000007</v>
      </c>
      <c r="X60" s="133">
        <v>42594</v>
      </c>
      <c r="Y60" s="10">
        <v>71.16</v>
      </c>
      <c r="Z60" s="10">
        <v>71.45</v>
      </c>
      <c r="AA60" s="10">
        <v>71.010000000000005</v>
      </c>
      <c r="AB60" s="10">
        <v>71.17</v>
      </c>
      <c r="AC60" s="95">
        <v>1871300</v>
      </c>
      <c r="AD60" s="10">
        <v>70.63</v>
      </c>
      <c r="AE60" s="2">
        <f t="shared" si="0"/>
        <v>0.43999999999999773</v>
      </c>
      <c r="AF60" s="138">
        <f t="shared" si="1"/>
        <v>1.4178363816814699E-3</v>
      </c>
    </row>
    <row r="61" spans="1:32" x14ac:dyDescent="0.25">
      <c r="O61" s="83">
        <v>0.91</v>
      </c>
      <c r="P61" s="83">
        <f t="shared" si="5"/>
        <v>55.855800000000002</v>
      </c>
      <c r="X61" s="133">
        <v>42593</v>
      </c>
      <c r="Y61" s="10">
        <v>71.099999999999994</v>
      </c>
      <c r="Z61" s="10">
        <v>71.28</v>
      </c>
      <c r="AA61" s="10">
        <v>70.86</v>
      </c>
      <c r="AB61" s="10">
        <v>71.069999999999993</v>
      </c>
      <c r="AC61" s="95">
        <v>2212700</v>
      </c>
      <c r="AD61" s="10">
        <v>70.53</v>
      </c>
      <c r="AE61" s="2">
        <f t="shared" si="0"/>
        <v>0.42000000000000171</v>
      </c>
      <c r="AF61" s="138">
        <f t="shared" si="1"/>
        <v>1.418037436189401E-4</v>
      </c>
    </row>
    <row r="62" spans="1:32" x14ac:dyDescent="0.25">
      <c r="O62" s="83">
        <v>0.9</v>
      </c>
      <c r="P62" s="83">
        <f t="shared" si="5"/>
        <v>55.242000000000004</v>
      </c>
      <c r="X62" s="133">
        <v>42592</v>
      </c>
      <c r="Y62" s="10">
        <v>70.959999999999994</v>
      </c>
      <c r="Z62" s="10">
        <v>71.3</v>
      </c>
      <c r="AA62" s="10">
        <v>70.83</v>
      </c>
      <c r="AB62" s="10">
        <v>71.06</v>
      </c>
      <c r="AC62" s="95">
        <v>2189600</v>
      </c>
      <c r="AD62" s="10">
        <v>70.52</v>
      </c>
      <c r="AE62" s="2">
        <f t="shared" si="0"/>
        <v>0.46999999999999886</v>
      </c>
      <c r="AF62" s="138">
        <f t="shared" si="1"/>
        <v>1.8468532461997089E-3</v>
      </c>
    </row>
    <row r="63" spans="1:32" x14ac:dyDescent="0.25">
      <c r="X63" s="133">
        <v>42591</v>
      </c>
      <c r="Y63" s="10">
        <v>70.75</v>
      </c>
      <c r="Z63" s="10">
        <v>71.06</v>
      </c>
      <c r="AA63" s="10">
        <v>70.53</v>
      </c>
      <c r="AB63" s="10">
        <v>70.930000000000007</v>
      </c>
      <c r="AC63" s="95">
        <v>2333000</v>
      </c>
      <c r="AD63" s="10">
        <v>70.39</v>
      </c>
      <c r="AE63" s="2">
        <f t="shared" si="0"/>
        <v>0.53000000000000114</v>
      </c>
      <c r="AF63" s="138">
        <f t="shared" si="1"/>
        <v>4.2802111570836576E-3</v>
      </c>
    </row>
    <row r="64" spans="1:32" x14ac:dyDescent="0.25">
      <c r="X64" s="133">
        <v>42590</v>
      </c>
      <c r="Y64" s="10">
        <v>70.489999999999995</v>
      </c>
      <c r="Z64" s="10">
        <v>70.88</v>
      </c>
      <c r="AA64" s="10">
        <v>70.150000000000006</v>
      </c>
      <c r="AB64" s="10">
        <v>70.63</v>
      </c>
      <c r="AC64" s="95">
        <v>2428700</v>
      </c>
      <c r="AD64" s="10">
        <v>70.09</v>
      </c>
      <c r="AE64" s="2">
        <f t="shared" si="0"/>
        <v>0.72999999999998977</v>
      </c>
      <c r="AF64" s="138">
        <f t="shared" si="1"/>
        <v>1.1426939008711834E-3</v>
      </c>
    </row>
    <row r="65" spans="24:32" x14ac:dyDescent="0.25">
      <c r="X65" s="133">
        <v>42587</v>
      </c>
      <c r="Y65" s="10">
        <v>70.5</v>
      </c>
      <c r="Z65" s="10">
        <v>70.8</v>
      </c>
      <c r="AA65" s="10">
        <v>70.3</v>
      </c>
      <c r="AB65" s="10">
        <v>70.55</v>
      </c>
      <c r="AC65" s="95">
        <v>2539200</v>
      </c>
      <c r="AD65" s="10">
        <v>70.010000000000005</v>
      </c>
      <c r="AE65" s="2">
        <f t="shared" si="0"/>
        <v>0.5</v>
      </c>
      <c r="AF65" s="138">
        <f t="shared" si="1"/>
        <v>8.577555396711567E-4</v>
      </c>
    </row>
    <row r="66" spans="24:32" x14ac:dyDescent="0.25">
      <c r="X66" s="133">
        <v>42586</v>
      </c>
      <c r="Y66" s="10">
        <v>70</v>
      </c>
      <c r="Z66" s="10">
        <v>70.510000000000005</v>
      </c>
      <c r="AA66" s="10">
        <v>69.92</v>
      </c>
      <c r="AB66" s="10">
        <v>70.489999999999995</v>
      </c>
      <c r="AC66" s="95">
        <v>4234700</v>
      </c>
      <c r="AD66" s="10">
        <v>69.95</v>
      </c>
      <c r="AE66" s="2">
        <f t="shared" si="0"/>
        <v>0.59000000000000341</v>
      </c>
      <c r="AF66" s="138">
        <f t="shared" si="1"/>
        <v>1.0108303249097617E-2</v>
      </c>
    </row>
    <row r="67" spans="24:32" x14ac:dyDescent="0.25">
      <c r="X67" s="133">
        <v>42585</v>
      </c>
      <c r="Y67" s="10">
        <v>71.12</v>
      </c>
      <c r="Z67" s="10">
        <v>71.14</v>
      </c>
      <c r="AA67" s="10">
        <v>69.23</v>
      </c>
      <c r="AB67" s="10">
        <v>69.78</v>
      </c>
      <c r="AC67" s="95">
        <v>5387400</v>
      </c>
      <c r="AD67" s="10">
        <v>69.25</v>
      </c>
      <c r="AE67" s="2">
        <f>Z67-AA67</f>
        <v>1.9099999999999966</v>
      </c>
      <c r="AF67" s="138">
        <f>AD67/AD68-1</f>
        <v>-1.6754224052250577E-2</v>
      </c>
    </row>
    <row r="68" spans="24:32" x14ac:dyDescent="0.25">
      <c r="X68" s="133">
        <v>42584</v>
      </c>
      <c r="Y68" s="10">
        <v>71.55</v>
      </c>
      <c r="Z68" s="10">
        <v>71.72</v>
      </c>
      <c r="AA68" s="10">
        <v>70.819999999999993</v>
      </c>
      <c r="AB68" s="10">
        <v>70.97</v>
      </c>
      <c r="AC68" s="95">
        <v>4370300</v>
      </c>
      <c r="AD68" s="10">
        <v>70.430000000000007</v>
      </c>
      <c r="AE68" s="2">
        <f>Z68-AA68</f>
        <v>0.90000000000000568</v>
      </c>
      <c r="AF68" s="138" t="e">
        <f>AD68/AD69-1</f>
        <v>#DIV/0!</v>
      </c>
    </row>
    <row r="69" spans="24:32" x14ac:dyDescent="0.25">
      <c r="X69" s="133" t="s">
        <v>121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2:F36">
    <cfRule type="expression" dxfId="55" priority="9">
      <formula>F22&gt;0</formula>
    </cfRule>
    <cfRule type="expression" dxfId="54" priority="10">
      <formula>F22&lt;0</formula>
    </cfRule>
  </conditionalFormatting>
  <conditionalFormatting sqref="H22:H36">
    <cfRule type="expression" dxfId="53" priority="7">
      <formula>H22&gt;0</formula>
    </cfRule>
    <cfRule type="expression" dxfId="52" priority="8">
      <formula>H22&lt;0</formula>
    </cfRule>
  </conditionalFormatting>
  <conditionalFormatting sqref="Q8">
    <cfRule type="expression" dxfId="51" priority="3">
      <formula>Q8&gt;0</formula>
    </cfRule>
    <cfRule type="expression" dxfId="50" priority="4">
      <formula>Q8&lt;0</formula>
    </cfRule>
  </conditionalFormatting>
  <conditionalFormatting sqref="Q7">
    <cfRule type="expression" dxfId="49" priority="5">
      <formula>Q7&gt;0</formula>
    </cfRule>
    <cfRule type="expression" dxfId="48" priority="6">
      <formula>Q7&lt;0</formula>
    </cfRule>
  </conditionalFormatting>
  <conditionalFormatting sqref="M40">
    <cfRule type="expression" dxfId="47" priority="1">
      <formula>M40&gt;0</formula>
    </cfRule>
    <cfRule type="expression" dxfId="46" priority="2">
      <formula>M40&lt;0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28515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42676</v>
      </c>
      <c r="X2" s="10">
        <v>31.33</v>
      </c>
      <c r="Y2" s="10">
        <v>31.72</v>
      </c>
      <c r="Z2" s="10">
        <v>31.31</v>
      </c>
      <c r="AA2" s="10">
        <v>31.45</v>
      </c>
      <c r="AB2" s="95">
        <v>11738800</v>
      </c>
      <c r="AC2" s="10">
        <v>31.45</v>
      </c>
      <c r="AD2" s="2">
        <f>Y2-Z2</f>
        <v>0.41000000000000014</v>
      </c>
      <c r="AE2" s="138">
        <f>AC2/AC3-1</f>
        <v>-9.5298602287174905E-4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31.45</v>
      </c>
      <c r="W3" s="133">
        <v>42675</v>
      </c>
      <c r="X3" s="10">
        <v>31.7</v>
      </c>
      <c r="Y3" s="10">
        <v>32.08</v>
      </c>
      <c r="Z3" s="10">
        <v>31.19</v>
      </c>
      <c r="AA3" s="10">
        <v>31.48</v>
      </c>
      <c r="AB3" s="95">
        <v>14654600</v>
      </c>
      <c r="AC3" s="10">
        <v>31.48</v>
      </c>
      <c r="AD3" s="2">
        <f t="shared" ref="AD3:AD66" si="0">Y3-Z3</f>
        <v>0.88999999999999702</v>
      </c>
      <c r="AE3" s="138">
        <f t="shared" ref="AE3:AE66" si="1">AC3/AC4-1</f>
        <v>-3.7974683544304E-3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31.45</v>
      </c>
      <c r="R4" s="527">
        <v>-1E-3</v>
      </c>
      <c r="W4" s="133">
        <v>42674</v>
      </c>
      <c r="X4" s="10">
        <v>31.42</v>
      </c>
      <c r="Y4" s="10">
        <v>31.65</v>
      </c>
      <c r="Z4" s="10">
        <v>31.35</v>
      </c>
      <c r="AA4" s="10">
        <v>31.6</v>
      </c>
      <c r="AB4" s="95">
        <v>7954100</v>
      </c>
      <c r="AC4" s="10">
        <v>31.6</v>
      </c>
      <c r="AD4" s="2">
        <f t="shared" si="0"/>
        <v>0.29999999999999716</v>
      </c>
      <c r="AE4" s="138">
        <f t="shared" si="1"/>
        <v>8.9399744572158379E-3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42671</v>
      </c>
      <c r="X5" s="10">
        <v>31.33</v>
      </c>
      <c r="Y5" s="10">
        <v>31.76</v>
      </c>
      <c r="Z5" s="10">
        <v>31.22</v>
      </c>
      <c r="AA5" s="10">
        <v>31.32</v>
      </c>
      <c r="AB5" s="95">
        <v>10571600</v>
      </c>
      <c r="AC5" s="10">
        <v>31.32</v>
      </c>
      <c r="AD5" s="2">
        <f t="shared" si="0"/>
        <v>0.5400000000000027</v>
      </c>
      <c r="AE5" s="138">
        <f t="shared" si="1"/>
        <v>-3.1918289179688752E-4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42670</v>
      </c>
      <c r="X6" s="10">
        <v>31.75</v>
      </c>
      <c r="Y6" s="10">
        <v>31.78</v>
      </c>
      <c r="Z6" s="10">
        <v>31.19</v>
      </c>
      <c r="AA6" s="10">
        <v>31.33</v>
      </c>
      <c r="AB6" s="95">
        <v>20653600</v>
      </c>
      <c r="AC6" s="10">
        <v>31.33</v>
      </c>
      <c r="AD6" s="2">
        <f t="shared" si="0"/>
        <v>0.58999999999999986</v>
      </c>
      <c r="AE6" s="138">
        <f t="shared" si="1"/>
        <v>-7.9164027865737951E-3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184</v>
      </c>
      <c r="Q7" s="2">
        <f>Q10+Q8</f>
        <v>36.819999999999709</v>
      </c>
      <c r="R7">
        <v>0</v>
      </c>
      <c r="W7" s="133">
        <v>42669</v>
      </c>
      <c r="X7" s="10">
        <v>31.22</v>
      </c>
      <c r="Y7" s="10">
        <v>31.74</v>
      </c>
      <c r="Z7" s="10">
        <v>31.12</v>
      </c>
      <c r="AA7" s="10">
        <v>31.58</v>
      </c>
      <c r="AB7" s="95">
        <v>14955800</v>
      </c>
      <c r="AC7" s="10">
        <v>31.58</v>
      </c>
      <c r="AD7" s="2">
        <f t="shared" si="0"/>
        <v>0.61999999999999744</v>
      </c>
      <c r="AE7" s="138">
        <f t="shared" si="1"/>
        <v>-6.3291139240517769E-4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42668</v>
      </c>
      <c r="X8" s="10">
        <v>32.85</v>
      </c>
      <c r="Y8" s="10">
        <v>32.85</v>
      </c>
      <c r="Z8" s="10">
        <v>31.39</v>
      </c>
      <c r="AA8" s="10">
        <v>31.6</v>
      </c>
      <c r="AB8" s="95">
        <v>34069800</v>
      </c>
      <c r="AC8" s="10">
        <v>31.6</v>
      </c>
      <c r="AD8" s="2">
        <f t="shared" si="0"/>
        <v>1.4600000000000009</v>
      </c>
      <c r="AE8" s="138">
        <f t="shared" si="1"/>
        <v>-4.1843541540327323E-2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219</v>
      </c>
      <c r="Q9" s="138">
        <f>IF(Q2=0, 0, Q8/Q6)</f>
        <v>0</v>
      </c>
      <c r="W9" s="133">
        <v>42667</v>
      </c>
      <c r="X9" s="10">
        <v>32.18</v>
      </c>
      <c r="Y9" s="10">
        <v>33.08</v>
      </c>
      <c r="Z9" s="10">
        <v>32.15</v>
      </c>
      <c r="AA9" s="10">
        <v>32.979999999999997</v>
      </c>
      <c r="AB9" s="95">
        <v>20232300</v>
      </c>
      <c r="AC9" s="10">
        <v>32.979999999999997</v>
      </c>
      <c r="AD9" s="2">
        <f t="shared" si="0"/>
        <v>0.92999999999999972</v>
      </c>
      <c r="AE9" s="138">
        <f t="shared" si="1"/>
        <v>2.9338327091136041E-2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218</v>
      </c>
      <c r="P10" s="34"/>
      <c r="Q10" s="2">
        <f>M29</f>
        <v>36.819999999999709</v>
      </c>
      <c r="W10" s="133">
        <v>42664</v>
      </c>
      <c r="X10" s="10">
        <v>31.58</v>
      </c>
      <c r="Y10" s="10">
        <v>32.17</v>
      </c>
      <c r="Z10" s="10">
        <v>31.48</v>
      </c>
      <c r="AA10" s="10">
        <v>32.04</v>
      </c>
      <c r="AB10" s="95">
        <v>11975700</v>
      </c>
      <c r="AC10" s="10">
        <v>32.04</v>
      </c>
      <c r="AD10" s="2">
        <f t="shared" si="0"/>
        <v>0.69000000000000128</v>
      </c>
      <c r="AE10" s="138">
        <f t="shared" si="1"/>
        <v>9.1338582677165103E-3</v>
      </c>
    </row>
    <row r="11" spans="1:31" x14ac:dyDescent="0.25">
      <c r="O11" s="11" t="s">
        <v>181</v>
      </c>
      <c r="P11" s="34"/>
      <c r="Q11" s="138">
        <f>VALUE(TRIM(CLEAN(MID(U58, FIND("(", U58)+1, 5))))</f>
        <v>4.8500000000000001E-2</v>
      </c>
      <c r="W11" s="133">
        <v>42663</v>
      </c>
      <c r="X11" s="10">
        <v>31.78</v>
      </c>
      <c r="Y11" s="10">
        <v>31.86</v>
      </c>
      <c r="Z11" s="10">
        <v>31.39</v>
      </c>
      <c r="AA11" s="10">
        <v>31.75</v>
      </c>
      <c r="AB11" s="95">
        <v>8077600</v>
      </c>
      <c r="AC11" s="10">
        <v>31.75</v>
      </c>
      <c r="AD11" s="2">
        <f t="shared" si="0"/>
        <v>0.46999999999999886</v>
      </c>
      <c r="AE11" s="138">
        <f t="shared" si="1"/>
        <v>-3.1397174254317317E-3</v>
      </c>
    </row>
    <row r="12" spans="1:31" x14ac:dyDescent="0.25">
      <c r="W12" s="133">
        <v>42662</v>
      </c>
      <c r="X12" s="10">
        <v>31.54</v>
      </c>
      <c r="Y12" s="10">
        <v>31.98</v>
      </c>
      <c r="Z12" s="10">
        <v>31.48</v>
      </c>
      <c r="AA12" s="10">
        <v>31.85</v>
      </c>
      <c r="AB12" s="95">
        <v>9158600</v>
      </c>
      <c r="AC12" s="10">
        <v>31.85</v>
      </c>
      <c r="AD12" s="2">
        <f t="shared" si="0"/>
        <v>0.5</v>
      </c>
      <c r="AE12" s="138">
        <f t="shared" si="1"/>
        <v>1.4331210191082855E-2</v>
      </c>
    </row>
    <row r="13" spans="1:31" x14ac:dyDescent="0.25">
      <c r="W13" s="133">
        <v>42661</v>
      </c>
      <c r="X13" s="10">
        <v>31.83</v>
      </c>
      <c r="Y13" s="10">
        <v>31.88</v>
      </c>
      <c r="Z13" s="10">
        <v>31.19</v>
      </c>
      <c r="AA13" s="10">
        <v>31.4</v>
      </c>
      <c r="AB13" s="95">
        <v>7973300</v>
      </c>
      <c r="AC13" s="10">
        <v>31.4</v>
      </c>
      <c r="AD13" s="2">
        <f t="shared" si="0"/>
        <v>0.68999999999999773</v>
      </c>
      <c r="AE13" s="138">
        <f t="shared" si="1"/>
        <v>-5.069708491761693E-3</v>
      </c>
    </row>
    <row r="14" spans="1:31" x14ac:dyDescent="0.25">
      <c r="W14" s="133">
        <v>42660</v>
      </c>
      <c r="X14" s="10">
        <v>31.84</v>
      </c>
      <c r="Y14" s="10">
        <v>32.06</v>
      </c>
      <c r="Z14" s="10">
        <v>31.53</v>
      </c>
      <c r="AA14" s="10">
        <v>31.56</v>
      </c>
      <c r="AB14" s="95">
        <v>7476100</v>
      </c>
      <c r="AC14" s="10">
        <v>31.56</v>
      </c>
      <c r="AD14" s="2">
        <f t="shared" si="0"/>
        <v>0.53000000000000114</v>
      </c>
      <c r="AE14" s="138">
        <f t="shared" si="1"/>
        <v>-9.727016002510247E-3</v>
      </c>
    </row>
    <row r="15" spans="1:31" x14ac:dyDescent="0.25">
      <c r="W15" s="133">
        <v>42657</v>
      </c>
      <c r="X15" s="10">
        <v>31.76</v>
      </c>
      <c r="Y15" s="10">
        <v>31.99</v>
      </c>
      <c r="Z15" s="10">
        <v>31.68</v>
      </c>
      <c r="AA15" s="10">
        <v>31.87</v>
      </c>
      <c r="AB15" s="95">
        <v>11105600</v>
      </c>
      <c r="AC15" s="10">
        <v>31.87</v>
      </c>
      <c r="AD15" s="2">
        <f t="shared" si="0"/>
        <v>0.30999999999999872</v>
      </c>
      <c r="AE15" s="138">
        <f t="shared" si="1"/>
        <v>1.1424944462075537E-2</v>
      </c>
    </row>
    <row r="16" spans="1:31" x14ac:dyDescent="0.25">
      <c r="W16" s="133">
        <v>42656</v>
      </c>
      <c r="X16" s="10">
        <v>31.48</v>
      </c>
      <c r="Y16" s="10">
        <v>31.63</v>
      </c>
      <c r="Z16" s="10">
        <v>30.88</v>
      </c>
      <c r="AA16" s="10">
        <v>31.51</v>
      </c>
      <c r="AB16" s="95">
        <v>12102600</v>
      </c>
      <c r="AC16" s="10">
        <v>31.51</v>
      </c>
      <c r="AD16" s="2">
        <f t="shared" si="0"/>
        <v>0.75</v>
      </c>
      <c r="AE16" s="138">
        <f t="shared" si="1"/>
        <v>-5.3661616161615466E-3</v>
      </c>
    </row>
    <row r="17" spans="1:31" x14ac:dyDescent="0.25">
      <c r="W17" s="133">
        <v>42655</v>
      </c>
      <c r="X17" s="10">
        <v>31.9</v>
      </c>
      <c r="Y17" s="10">
        <v>31.99</v>
      </c>
      <c r="Z17" s="10">
        <v>31.65</v>
      </c>
      <c r="AA17" s="10">
        <v>31.68</v>
      </c>
      <c r="AB17" s="95">
        <v>5597600</v>
      </c>
      <c r="AC17" s="10">
        <v>31.68</v>
      </c>
      <c r="AD17" s="2">
        <f t="shared" si="0"/>
        <v>0.33999999999999986</v>
      </c>
      <c r="AE17" s="138">
        <f t="shared" si="1"/>
        <v>-6.5851364063970186E-3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42654</v>
      </c>
      <c r="X18" s="10">
        <v>32.229999999999997</v>
      </c>
      <c r="Y18" s="10">
        <v>32.28</v>
      </c>
      <c r="Z18" s="10">
        <v>31.69</v>
      </c>
      <c r="AA18" s="10">
        <v>31.89</v>
      </c>
      <c r="AB18" s="95">
        <v>7977500</v>
      </c>
      <c r="AC18" s="10">
        <v>31.89</v>
      </c>
      <c r="AD18" s="2">
        <f t="shared" si="0"/>
        <v>0.58999999999999986</v>
      </c>
      <c r="AE18" s="138">
        <f t="shared" si="1"/>
        <v>-8.0870917573871992E-3</v>
      </c>
    </row>
    <row r="19" spans="1:31" x14ac:dyDescent="0.25">
      <c r="W19" s="133">
        <v>42653</v>
      </c>
      <c r="X19" s="10">
        <v>32.31</v>
      </c>
      <c r="Y19" s="10">
        <v>32.6</v>
      </c>
      <c r="Z19" s="10">
        <v>32.119999999999997</v>
      </c>
      <c r="AA19" s="10">
        <v>32.15</v>
      </c>
      <c r="AB19" s="95">
        <v>6094800</v>
      </c>
      <c r="AC19" s="10">
        <v>32.15</v>
      </c>
      <c r="AD19" s="2">
        <f t="shared" si="0"/>
        <v>0.48000000000000398</v>
      </c>
      <c r="AE19" s="138">
        <f t="shared" si="1"/>
        <v>-5.8750773036488901E-3</v>
      </c>
    </row>
    <row r="20" spans="1:31" x14ac:dyDescent="0.25">
      <c r="W20" s="133">
        <v>42650</v>
      </c>
      <c r="X20" s="10">
        <v>32.5</v>
      </c>
      <c r="Y20" s="10">
        <v>32.6</v>
      </c>
      <c r="Z20" s="10">
        <v>32.049999999999997</v>
      </c>
      <c r="AA20" s="10">
        <v>32.340000000000003</v>
      </c>
      <c r="AB20" s="95">
        <v>8909400</v>
      </c>
      <c r="AC20" s="10">
        <v>32.340000000000003</v>
      </c>
      <c r="AD20" s="2">
        <f t="shared" si="0"/>
        <v>0.55000000000000426</v>
      </c>
      <c r="AE20" s="138">
        <f t="shared" si="1"/>
        <v>-5.840762373193864E-3</v>
      </c>
    </row>
    <row r="21" spans="1:31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W21" s="133">
        <v>42649</v>
      </c>
      <c r="X21" s="10">
        <v>32.54</v>
      </c>
      <c r="Y21" s="10">
        <v>32.64</v>
      </c>
      <c r="Z21" s="10">
        <v>32.21</v>
      </c>
      <c r="AA21" s="10">
        <v>32.53</v>
      </c>
      <c r="AB21" s="95">
        <v>8611200</v>
      </c>
      <c r="AC21" s="10">
        <v>32.53</v>
      </c>
      <c r="AD21" s="2">
        <f t="shared" si="0"/>
        <v>0.42999999999999972</v>
      </c>
      <c r="AE21" s="138">
        <f t="shared" si="1"/>
        <v>-4.5899632802937074E-3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42648</v>
      </c>
      <c r="X22" s="10">
        <v>32.31</v>
      </c>
      <c r="Y22" s="10">
        <v>32.78</v>
      </c>
      <c r="Z22" s="10">
        <v>32.229999999999997</v>
      </c>
      <c r="AA22" s="10">
        <v>32.68</v>
      </c>
      <c r="AB22" s="95">
        <v>11093500</v>
      </c>
      <c r="AC22" s="10">
        <v>32.68</v>
      </c>
      <c r="AD22" s="2">
        <f t="shared" si="0"/>
        <v>0.55000000000000426</v>
      </c>
      <c r="AE22" s="138">
        <f t="shared" si="1"/>
        <v>1.5853279452906266E-2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42647</v>
      </c>
      <c r="X23" s="10">
        <v>32.08</v>
      </c>
      <c r="Y23" s="10">
        <v>32.47</v>
      </c>
      <c r="Z23" s="10">
        <v>32.04</v>
      </c>
      <c r="AA23" s="10">
        <v>32.17</v>
      </c>
      <c r="AB23" s="95">
        <v>8506200</v>
      </c>
      <c r="AC23" s="10">
        <v>32.17</v>
      </c>
      <c r="AD23" s="2">
        <f t="shared" si="0"/>
        <v>0.42999999999999972</v>
      </c>
      <c r="AE23" s="138">
        <f t="shared" si="1"/>
        <v>4.0574282147316509E-3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42646</v>
      </c>
      <c r="X24" s="10">
        <v>31.64</v>
      </c>
      <c r="Y24" s="10">
        <v>32.24</v>
      </c>
      <c r="Z24" s="10">
        <v>31.61</v>
      </c>
      <c r="AA24" s="10">
        <v>32.04</v>
      </c>
      <c r="AB24" s="95">
        <v>11375900</v>
      </c>
      <c r="AC24" s="10">
        <v>32.04</v>
      </c>
      <c r="AD24" s="2">
        <f t="shared" si="0"/>
        <v>0.63000000000000256</v>
      </c>
      <c r="AE24" s="138">
        <f t="shared" si="1"/>
        <v>8.4985835694051381E-3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42643</v>
      </c>
      <c r="X25" s="10">
        <v>31.63</v>
      </c>
      <c r="Y25" s="10">
        <v>31.95</v>
      </c>
      <c r="Z25" s="10">
        <v>31.58</v>
      </c>
      <c r="AA25" s="10">
        <v>31.77</v>
      </c>
      <c r="AB25" s="95">
        <v>9330000</v>
      </c>
      <c r="AC25" s="10">
        <v>31.77</v>
      </c>
      <c r="AD25" s="2">
        <f t="shared" si="0"/>
        <v>0.37000000000000099</v>
      </c>
      <c r="AE25" s="138">
        <f t="shared" si="1"/>
        <v>9.212198221092649E-3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42642</v>
      </c>
      <c r="X26" s="10">
        <v>31.77</v>
      </c>
      <c r="Y26" s="10">
        <v>31.96</v>
      </c>
      <c r="Z26" s="10">
        <v>31.45</v>
      </c>
      <c r="AA26" s="10">
        <v>31.48</v>
      </c>
      <c r="AB26" s="95">
        <v>8821200</v>
      </c>
      <c r="AC26" s="10">
        <v>31.48</v>
      </c>
      <c r="AD26" s="2">
        <f t="shared" si="0"/>
        <v>0.51000000000000156</v>
      </c>
      <c r="AE26" s="138">
        <f t="shared" si="1"/>
        <v>-1.3166144200626895E-2</v>
      </c>
    </row>
    <row r="27" spans="1:31" x14ac:dyDescent="0.25">
      <c r="W27" s="133">
        <v>42641</v>
      </c>
      <c r="X27" s="10">
        <v>31.75</v>
      </c>
      <c r="Y27" s="10">
        <v>31.94</v>
      </c>
      <c r="Z27" s="10">
        <v>31.54</v>
      </c>
      <c r="AA27" s="10">
        <v>31.9</v>
      </c>
      <c r="AB27" s="95">
        <v>10713600</v>
      </c>
      <c r="AC27" s="10">
        <v>31.9</v>
      </c>
      <c r="AD27" s="2">
        <f t="shared" si="0"/>
        <v>0.40000000000000213</v>
      </c>
      <c r="AE27" s="138">
        <f t="shared" si="1"/>
        <v>9.4936708860757779E-3</v>
      </c>
    </row>
    <row r="28" spans="1:31" x14ac:dyDescent="0.25">
      <c r="W28" s="133">
        <v>42640</v>
      </c>
      <c r="X28" s="10">
        <v>31.77</v>
      </c>
      <c r="Y28" s="10">
        <v>31.96</v>
      </c>
      <c r="Z28" s="10">
        <v>31.54</v>
      </c>
      <c r="AA28" s="10">
        <v>31.6</v>
      </c>
      <c r="AB28" s="95">
        <v>14465300</v>
      </c>
      <c r="AC28" s="10">
        <v>31.6</v>
      </c>
      <c r="AD28" s="2">
        <f t="shared" si="0"/>
        <v>0.42000000000000171</v>
      </c>
      <c r="AE28" s="138">
        <f t="shared" si="1"/>
        <v>-6.2893081761006275E-3</v>
      </c>
    </row>
    <row r="29" spans="1:31" x14ac:dyDescent="0.25">
      <c r="L29" t="s">
        <v>218</v>
      </c>
      <c r="M29" s="2">
        <f>M47+K47-F47</f>
        <v>36.819999999999709</v>
      </c>
      <c r="W29" s="133">
        <v>42639</v>
      </c>
      <c r="X29" s="10">
        <v>32.020000000000003</v>
      </c>
      <c r="Y29" s="10">
        <v>32.119999999999997</v>
      </c>
      <c r="Z29" s="10">
        <v>31.75</v>
      </c>
      <c r="AA29" s="10">
        <v>31.8</v>
      </c>
      <c r="AB29" s="95">
        <v>12700900</v>
      </c>
      <c r="AC29" s="10">
        <v>31.8</v>
      </c>
      <c r="AD29" s="2">
        <f t="shared" si="0"/>
        <v>0.36999999999999744</v>
      </c>
      <c r="AE29" s="138">
        <f t="shared" si="1"/>
        <v>-9.9626400996263298E-3</v>
      </c>
    </row>
    <row r="30" spans="1:31" x14ac:dyDescent="0.25">
      <c r="A30" s="390" t="s">
        <v>1</v>
      </c>
      <c r="B30" s="390" t="s">
        <v>2</v>
      </c>
      <c r="C30" s="390" t="s">
        <v>4</v>
      </c>
      <c r="D30" s="392" t="s">
        <v>5</v>
      </c>
      <c r="E30" s="392"/>
      <c r="F30" s="392" t="s">
        <v>60</v>
      </c>
      <c r="G30" s="390" t="s">
        <v>3</v>
      </c>
      <c r="H30" s="390" t="s">
        <v>6</v>
      </c>
      <c r="I30" s="390" t="s">
        <v>7</v>
      </c>
      <c r="J30" s="390"/>
      <c r="K30" s="390" t="s">
        <v>61</v>
      </c>
      <c r="L30" s="390" t="s">
        <v>77</v>
      </c>
      <c r="M30" s="390" t="s">
        <v>38</v>
      </c>
      <c r="W30" s="133">
        <v>42636</v>
      </c>
      <c r="X30" s="10">
        <v>32.1</v>
      </c>
      <c r="Y30" s="10">
        <v>32.369999999999997</v>
      </c>
      <c r="Z30" s="10">
        <v>32.049999999999997</v>
      </c>
      <c r="AA30" s="10">
        <v>32.119999999999997</v>
      </c>
      <c r="AB30" s="95">
        <v>9812100</v>
      </c>
      <c r="AC30" s="10">
        <v>32.119999999999997</v>
      </c>
      <c r="AD30" s="2">
        <f t="shared" si="0"/>
        <v>0.32000000000000028</v>
      </c>
      <c r="AE30" s="138">
        <f t="shared" si="1"/>
        <v>-8.3359061438716964E-3</v>
      </c>
    </row>
    <row r="31" spans="1:31" x14ac:dyDescent="0.25">
      <c r="A31" s="393" t="s">
        <v>56</v>
      </c>
      <c r="B31" s="607">
        <v>42220</v>
      </c>
      <c r="C31" s="384">
        <v>40</v>
      </c>
      <c r="D31" s="385">
        <v>31.78</v>
      </c>
      <c r="E31" s="385"/>
      <c r="F31" s="385">
        <f>C31*D31</f>
        <v>1271.2</v>
      </c>
      <c r="G31" s="383">
        <v>42235</v>
      </c>
      <c r="H31" s="384">
        <v>100</v>
      </c>
      <c r="I31" s="385">
        <v>31.5</v>
      </c>
      <c r="J31" s="384">
        <v>0.06</v>
      </c>
      <c r="K31" s="384">
        <f>H31*I31-J31</f>
        <v>3149.94</v>
      </c>
      <c r="L31" s="383">
        <v>42276</v>
      </c>
      <c r="M31" s="385">
        <v>14.4</v>
      </c>
      <c r="W31" s="133">
        <v>42635</v>
      </c>
      <c r="X31" s="10">
        <v>32.270000000000003</v>
      </c>
      <c r="Y31" s="10">
        <v>32.47</v>
      </c>
      <c r="Z31" s="10">
        <v>32.270000000000003</v>
      </c>
      <c r="AA31" s="10">
        <v>32.39</v>
      </c>
      <c r="AB31" s="95">
        <v>12034000</v>
      </c>
      <c r="AC31" s="10">
        <v>32.39</v>
      </c>
      <c r="AD31" s="2">
        <f t="shared" si="0"/>
        <v>0.19999999999999574</v>
      </c>
      <c r="AE31" s="138">
        <f t="shared" si="1"/>
        <v>8.7200249143568609E-3</v>
      </c>
    </row>
    <row r="32" spans="1:31" x14ac:dyDescent="0.25">
      <c r="A32" s="394" t="s">
        <v>71</v>
      </c>
      <c r="B32" s="607"/>
      <c r="C32" s="384">
        <v>60</v>
      </c>
      <c r="D32" s="385">
        <v>31.78</v>
      </c>
      <c r="E32" s="385"/>
      <c r="F32" s="385">
        <f>C32*D32</f>
        <v>1906.8000000000002</v>
      </c>
      <c r="G32" s="383">
        <v>42284</v>
      </c>
      <c r="H32" s="384">
        <v>40</v>
      </c>
      <c r="I32" s="384">
        <v>31.55</v>
      </c>
      <c r="J32" s="384">
        <v>0.02</v>
      </c>
      <c r="K32" s="384">
        <f>H32*I32-J32</f>
        <v>1261.98</v>
      </c>
      <c r="L32" s="384"/>
      <c r="M32" s="384"/>
      <c r="W32" s="133">
        <v>42634</v>
      </c>
      <c r="X32" s="10">
        <v>31.72</v>
      </c>
      <c r="Y32" s="10">
        <v>32.159999999999997</v>
      </c>
      <c r="Z32" s="10">
        <v>31.72</v>
      </c>
      <c r="AA32" s="10">
        <v>32.11</v>
      </c>
      <c r="AB32" s="95">
        <v>14468700</v>
      </c>
      <c r="AC32" s="10">
        <v>32.11</v>
      </c>
      <c r="AD32" s="2">
        <f t="shared" si="0"/>
        <v>0.43999999999999773</v>
      </c>
      <c r="AE32" s="138">
        <f t="shared" si="1"/>
        <v>1.4533965244865721E-2</v>
      </c>
    </row>
    <row r="33" spans="1:31" x14ac:dyDescent="0.25">
      <c r="A33" s="384"/>
      <c r="B33" s="383">
        <v>42221</v>
      </c>
      <c r="C33" s="384">
        <v>10</v>
      </c>
      <c r="D33" s="385">
        <v>31.45</v>
      </c>
      <c r="E33" s="385"/>
      <c r="F33" s="385">
        <f>C33*D33</f>
        <v>314.5</v>
      </c>
      <c r="G33" s="384"/>
      <c r="H33" s="384"/>
      <c r="I33" s="384"/>
      <c r="J33" s="384"/>
      <c r="K33" s="384"/>
      <c r="L33" s="384"/>
      <c r="M33" s="384"/>
      <c r="W33" s="133">
        <v>42633</v>
      </c>
      <c r="X33" s="10">
        <v>31.91</v>
      </c>
      <c r="Y33" s="10">
        <v>31.94</v>
      </c>
      <c r="Z33" s="10">
        <v>31.33</v>
      </c>
      <c r="AA33" s="10">
        <v>31.65</v>
      </c>
      <c r="AB33" s="95">
        <v>12876200</v>
      </c>
      <c r="AC33" s="10">
        <v>31.65</v>
      </c>
      <c r="AD33" s="2">
        <f t="shared" si="0"/>
        <v>0.61000000000000298</v>
      </c>
      <c r="AE33" s="138">
        <f t="shared" si="1"/>
        <v>-2.2068095838587709E-3</v>
      </c>
    </row>
    <row r="34" spans="1:31" x14ac:dyDescent="0.25">
      <c r="A34" s="384"/>
      <c r="B34" s="383">
        <v>42233</v>
      </c>
      <c r="C34" s="384">
        <v>30</v>
      </c>
      <c r="D34" s="385">
        <v>29.9</v>
      </c>
      <c r="E34" s="385"/>
      <c r="F34" s="385">
        <f>C34*D34</f>
        <v>897</v>
      </c>
      <c r="G34" s="384"/>
      <c r="H34" s="384"/>
      <c r="I34" s="384"/>
      <c r="J34" s="384"/>
      <c r="K34" s="384"/>
      <c r="L34" s="384"/>
      <c r="M34" s="384"/>
      <c r="W34" s="133">
        <v>42632</v>
      </c>
      <c r="X34" s="10">
        <v>31.9</v>
      </c>
      <c r="Y34" s="10">
        <v>32.08</v>
      </c>
      <c r="Z34" s="10">
        <v>31.66</v>
      </c>
      <c r="AA34" s="10">
        <v>31.72</v>
      </c>
      <c r="AB34" s="95">
        <v>32234800</v>
      </c>
      <c r="AC34" s="10">
        <v>31.72</v>
      </c>
      <c r="AD34" s="2">
        <f t="shared" si="0"/>
        <v>0.41999999999999815</v>
      </c>
      <c r="AE34" s="138">
        <f t="shared" si="1"/>
        <v>2.4216984178236922E-2</v>
      </c>
    </row>
    <row r="35" spans="1:31" x14ac:dyDescent="0.25">
      <c r="A35" s="384"/>
      <c r="B35" s="384"/>
      <c r="C35" s="384"/>
      <c r="D35" s="385"/>
      <c r="E35" s="385"/>
      <c r="F35" s="385"/>
      <c r="G35" s="384"/>
      <c r="H35" s="384"/>
      <c r="I35" s="384"/>
      <c r="J35" s="384"/>
      <c r="K35" s="384"/>
      <c r="L35" s="384"/>
      <c r="M35" s="384"/>
      <c r="W35" s="133">
        <v>42629</v>
      </c>
      <c r="X35" s="10">
        <v>31.13</v>
      </c>
      <c r="Y35" s="10">
        <v>31.13</v>
      </c>
      <c r="Z35" s="10">
        <v>30.61</v>
      </c>
      <c r="AA35" s="10">
        <v>30.97</v>
      </c>
      <c r="AB35" s="95">
        <v>12780800</v>
      </c>
      <c r="AC35" s="10">
        <v>30.97</v>
      </c>
      <c r="AD35" s="2">
        <f t="shared" si="0"/>
        <v>0.51999999999999957</v>
      </c>
      <c r="AE35" s="138">
        <f t="shared" si="1"/>
        <v>-4.8200514138818651E-3</v>
      </c>
    </row>
    <row r="36" spans="1:31" x14ac:dyDescent="0.25">
      <c r="A36" s="384"/>
      <c r="B36" s="384"/>
      <c r="C36" s="384"/>
      <c r="D36" s="385"/>
      <c r="E36" s="385"/>
      <c r="F36" s="385"/>
      <c r="G36" s="384"/>
      <c r="H36" s="384"/>
      <c r="I36" s="384"/>
      <c r="J36" s="384"/>
      <c r="K36" s="384"/>
      <c r="L36" s="384"/>
      <c r="M36" s="384"/>
      <c r="W36" s="133">
        <v>42628</v>
      </c>
      <c r="X36" s="10">
        <v>30.75</v>
      </c>
      <c r="Y36" s="10">
        <v>31.23</v>
      </c>
      <c r="Z36" s="10">
        <v>30.74</v>
      </c>
      <c r="AA36" s="10">
        <v>31.12</v>
      </c>
      <c r="AB36" s="95">
        <v>13467400</v>
      </c>
      <c r="AC36" s="10">
        <v>31.12</v>
      </c>
      <c r="AD36" s="2">
        <f t="shared" si="0"/>
        <v>0.49000000000000199</v>
      </c>
      <c r="AE36" s="138">
        <f t="shared" si="1"/>
        <v>1.3350700097688017E-2</v>
      </c>
    </row>
    <row r="37" spans="1:31" x14ac:dyDescent="0.25">
      <c r="A37" s="384"/>
      <c r="B37" s="384"/>
      <c r="C37" s="384"/>
      <c r="D37" s="385"/>
      <c r="E37" s="385"/>
      <c r="F37" s="385"/>
      <c r="G37" s="384"/>
      <c r="H37" s="384"/>
      <c r="I37" s="384"/>
      <c r="J37" s="384"/>
      <c r="K37" s="384"/>
      <c r="L37" s="384"/>
      <c r="M37" s="384"/>
      <c r="W37" s="133">
        <v>42627</v>
      </c>
      <c r="X37" s="10">
        <v>30.79</v>
      </c>
      <c r="Y37" s="10">
        <v>30.87</v>
      </c>
      <c r="Z37" s="10">
        <v>30.49</v>
      </c>
      <c r="AA37" s="10">
        <v>30.71</v>
      </c>
      <c r="AB37" s="95">
        <v>12903200</v>
      </c>
      <c r="AC37" s="10">
        <v>30.71</v>
      </c>
      <c r="AD37" s="2">
        <f t="shared" si="0"/>
        <v>0.38000000000000256</v>
      </c>
      <c r="AE37" s="138">
        <f t="shared" si="1"/>
        <v>-7.4337427278603485E-3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42626</v>
      </c>
      <c r="X38" s="10">
        <v>31.02</v>
      </c>
      <c r="Y38" s="10">
        <v>31.15</v>
      </c>
      <c r="Z38" s="10">
        <v>30.82</v>
      </c>
      <c r="AA38" s="10">
        <v>30.94</v>
      </c>
      <c r="AB38" s="95">
        <v>16162900</v>
      </c>
      <c r="AC38" s="10">
        <v>30.94</v>
      </c>
      <c r="AD38" s="2">
        <f t="shared" si="0"/>
        <v>0.32999999999999829</v>
      </c>
      <c r="AE38" s="138">
        <f t="shared" si="1"/>
        <v>-7.6972418216805227E-3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42625</v>
      </c>
      <c r="X39" s="10">
        <v>30.36</v>
      </c>
      <c r="Y39" s="10">
        <v>31.35</v>
      </c>
      <c r="Z39" s="10">
        <v>30.13</v>
      </c>
      <c r="AA39" s="10">
        <v>31.18</v>
      </c>
      <c r="AB39" s="95">
        <v>17250300</v>
      </c>
      <c r="AC39" s="10">
        <v>31.18</v>
      </c>
      <c r="AD39" s="2">
        <f t="shared" si="0"/>
        <v>1.2200000000000024</v>
      </c>
      <c r="AE39" s="138">
        <f t="shared" si="1"/>
        <v>2.2965879265091749E-2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42622</v>
      </c>
      <c r="X40" s="10">
        <v>31.44</v>
      </c>
      <c r="Y40" s="10">
        <v>31.56</v>
      </c>
      <c r="Z40" s="10">
        <v>30.37</v>
      </c>
      <c r="AA40" s="10">
        <v>30.48</v>
      </c>
      <c r="AB40" s="95">
        <v>22476300</v>
      </c>
      <c r="AC40" s="10">
        <v>30.48</v>
      </c>
      <c r="AD40" s="2">
        <f t="shared" si="0"/>
        <v>1.1899999999999977</v>
      </c>
      <c r="AE40" s="138">
        <f t="shared" si="1"/>
        <v>-3.8789025543992439E-2</v>
      </c>
    </row>
    <row r="41" spans="1:31" ht="20.25" thickBot="1" x14ac:dyDescent="0.3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588" t="s">
        <v>78</v>
      </c>
      <c r="P41" s="588"/>
      <c r="W41" s="133">
        <v>42621</v>
      </c>
      <c r="X41" s="10">
        <v>31.85</v>
      </c>
      <c r="Y41" s="10">
        <v>32</v>
      </c>
      <c r="Z41" s="10">
        <v>31.68</v>
      </c>
      <c r="AA41" s="10">
        <v>31.71</v>
      </c>
      <c r="AB41" s="95">
        <v>11808200</v>
      </c>
      <c r="AC41" s="10">
        <v>31.71</v>
      </c>
      <c r="AD41" s="2">
        <f t="shared" si="0"/>
        <v>0.32000000000000028</v>
      </c>
      <c r="AE41" s="138">
        <f t="shared" si="1"/>
        <v>-5.6444026340545239E-3</v>
      </c>
    </row>
    <row r="42" spans="1:31" ht="21" thickTop="1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83">
        <v>1.1000000000000001</v>
      </c>
      <c r="P42" s="83">
        <f>O42*$Q$4</f>
        <v>34.594999999999999</v>
      </c>
      <c r="Q42" s="2"/>
      <c r="T42" s="91" t="s">
        <v>113</v>
      </c>
      <c r="W42" s="133">
        <v>42620</v>
      </c>
      <c r="X42" s="10">
        <v>31.99</v>
      </c>
      <c r="Y42" s="10">
        <v>31.99</v>
      </c>
      <c r="Z42" s="10">
        <v>31.62</v>
      </c>
      <c r="AA42" s="10">
        <v>31.89</v>
      </c>
      <c r="AB42" s="95">
        <v>12554700</v>
      </c>
      <c r="AC42" s="10">
        <v>31.89</v>
      </c>
      <c r="AD42" s="2">
        <f t="shared" si="0"/>
        <v>0.36999999999999744</v>
      </c>
      <c r="AE42" s="138" t="e">
        <f t="shared" si="1"/>
        <v>#DIV/0!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1.0900000000000001</v>
      </c>
      <c r="P43" s="83">
        <f t="shared" ref="P43:P62" si="2">O43*$Q$4</f>
        <v>34.280500000000004</v>
      </c>
      <c r="Q43" s="2"/>
      <c r="T43" s="161" t="s">
        <v>98</v>
      </c>
      <c r="U43" s="161">
        <v>31.48</v>
      </c>
      <c r="W43" s="133">
        <v>42620</v>
      </c>
      <c r="X43" s="10" t="s">
        <v>191</v>
      </c>
      <c r="Y43" s="10"/>
      <c r="Z43" s="10"/>
      <c r="AA43" s="10"/>
      <c r="AB43" s="95"/>
      <c r="AC43" s="10"/>
      <c r="AD43" s="2">
        <f t="shared" si="0"/>
        <v>0</v>
      </c>
      <c r="AE43" s="138">
        <f t="shared" si="1"/>
        <v>-1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1.08</v>
      </c>
      <c r="P44" s="83">
        <f t="shared" si="2"/>
        <v>33.966000000000001</v>
      </c>
      <c r="Q44" s="2"/>
      <c r="T44" s="10" t="s">
        <v>99</v>
      </c>
      <c r="U44" s="10">
        <v>31.33</v>
      </c>
      <c r="W44" s="133">
        <v>42619</v>
      </c>
      <c r="X44" s="10">
        <v>32.25</v>
      </c>
      <c r="Y44" s="10">
        <v>32.340000000000003</v>
      </c>
      <c r="Z44" s="10">
        <v>31.85</v>
      </c>
      <c r="AA44" s="10">
        <v>32.119999999999997</v>
      </c>
      <c r="AB44" s="95">
        <v>16774800</v>
      </c>
      <c r="AC44" s="10">
        <v>31.74</v>
      </c>
      <c r="AD44" s="2">
        <f t="shared" si="0"/>
        <v>0.49000000000000199</v>
      </c>
      <c r="AE44" s="138">
        <f t="shared" si="1"/>
        <v>-1.2586532410321372E-3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1.07</v>
      </c>
      <c r="P45" s="83">
        <f t="shared" si="2"/>
        <v>33.651499999999999</v>
      </c>
      <c r="Q45" s="2"/>
      <c r="T45" s="10" t="s">
        <v>100</v>
      </c>
      <c r="U45" s="10" t="s">
        <v>550</v>
      </c>
      <c r="W45" s="133">
        <v>42615</v>
      </c>
      <c r="X45" s="10">
        <v>31.88</v>
      </c>
      <c r="Y45" s="10">
        <v>32.200000000000003</v>
      </c>
      <c r="Z45" s="10">
        <v>31.85</v>
      </c>
      <c r="AA45" s="10">
        <v>32.159999999999997</v>
      </c>
      <c r="AB45" s="95">
        <v>10828400</v>
      </c>
      <c r="AC45" s="10">
        <v>31.78</v>
      </c>
      <c r="AD45" s="2">
        <f t="shared" si="0"/>
        <v>0.35000000000000142</v>
      </c>
      <c r="AE45" s="138">
        <f t="shared" si="1"/>
        <v>1.1457670273711029E-2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1.06</v>
      </c>
      <c r="P46" s="83">
        <f t="shared" si="2"/>
        <v>33.337000000000003</v>
      </c>
      <c r="Q46" s="2"/>
      <c r="T46" s="10" t="s">
        <v>101</v>
      </c>
      <c r="U46" s="10" t="s">
        <v>551</v>
      </c>
      <c r="W46" s="133">
        <v>42614</v>
      </c>
      <c r="X46" s="10">
        <v>31.86</v>
      </c>
      <c r="Y46" s="10">
        <v>32.549999999999997</v>
      </c>
      <c r="Z46" s="10">
        <v>31.34</v>
      </c>
      <c r="AA46" s="10">
        <v>31.8</v>
      </c>
      <c r="AB46" s="95">
        <v>14898800</v>
      </c>
      <c r="AC46" s="10">
        <v>31.42</v>
      </c>
      <c r="AD46" s="2">
        <f t="shared" si="0"/>
        <v>1.2099999999999973</v>
      </c>
      <c r="AE46" s="138">
        <f t="shared" si="1"/>
        <v>-3.8046924540265925E-3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33.022500000000001</v>
      </c>
      <c r="Q47" s="2"/>
      <c r="T47" s="10" t="s">
        <v>102</v>
      </c>
      <c r="U47" s="10">
        <v>35.78</v>
      </c>
      <c r="W47" s="133">
        <v>42613</v>
      </c>
      <c r="X47" s="10">
        <v>31.67</v>
      </c>
      <c r="Y47" s="10">
        <v>31.94</v>
      </c>
      <c r="Z47" s="10">
        <v>31.65</v>
      </c>
      <c r="AA47" s="10">
        <v>31.92</v>
      </c>
      <c r="AB47" s="95">
        <v>9625600</v>
      </c>
      <c r="AC47" s="10">
        <v>31.54</v>
      </c>
      <c r="AD47" s="2">
        <f t="shared" si="0"/>
        <v>0.2900000000000027</v>
      </c>
      <c r="AE47" s="138">
        <f t="shared" si="1"/>
        <v>7.6677316293929376E-3</v>
      </c>
    </row>
    <row r="48" spans="1:31" x14ac:dyDescent="0.25">
      <c r="O48" s="83">
        <v>1.04</v>
      </c>
      <c r="P48" s="83">
        <f t="shared" si="2"/>
        <v>32.707999999999998</v>
      </c>
      <c r="Q48" s="2"/>
      <c r="T48" s="10" t="s">
        <v>103</v>
      </c>
      <c r="U48" s="10">
        <v>1.6453199999999999</v>
      </c>
      <c r="W48" s="133">
        <v>42612</v>
      </c>
      <c r="X48" s="10">
        <v>31.81</v>
      </c>
      <c r="Y48" s="10">
        <v>32</v>
      </c>
      <c r="Z48" s="10">
        <v>31.23</v>
      </c>
      <c r="AA48" s="10">
        <v>31.67</v>
      </c>
      <c r="AB48" s="95">
        <v>10748700</v>
      </c>
      <c r="AC48" s="10">
        <v>31.3</v>
      </c>
      <c r="AD48" s="2">
        <f t="shared" si="0"/>
        <v>0.76999999999999957</v>
      </c>
      <c r="AE48" s="138">
        <f t="shared" si="1"/>
        <v>-4.136175628380534E-3</v>
      </c>
    </row>
    <row r="49" spans="15:31" x14ac:dyDescent="0.25">
      <c r="O49" s="83">
        <v>1.03</v>
      </c>
      <c r="P49" s="83">
        <f t="shared" si="2"/>
        <v>32.393500000000003</v>
      </c>
      <c r="Q49" s="2"/>
      <c r="T49" s="10" t="s">
        <v>122</v>
      </c>
      <c r="U49" s="10" t="s">
        <v>479</v>
      </c>
      <c r="W49" s="133">
        <v>42611</v>
      </c>
      <c r="X49" s="10">
        <v>31.78</v>
      </c>
      <c r="Y49" s="10">
        <v>31.96</v>
      </c>
      <c r="Z49" s="10">
        <v>31.57</v>
      </c>
      <c r="AA49" s="10">
        <v>31.81</v>
      </c>
      <c r="AB49" s="95">
        <v>7708300</v>
      </c>
      <c r="AC49" s="10">
        <v>31.43</v>
      </c>
      <c r="AD49" s="2">
        <f t="shared" si="0"/>
        <v>0.39000000000000057</v>
      </c>
      <c r="AE49" s="138">
        <f t="shared" si="1"/>
        <v>8.6649550706032752E-3</v>
      </c>
    </row>
    <row r="50" spans="15:31" x14ac:dyDescent="0.25">
      <c r="O50" s="83">
        <v>1.02</v>
      </c>
      <c r="P50" s="83">
        <f t="shared" si="2"/>
        <v>32.079000000000001</v>
      </c>
      <c r="Q50" s="2"/>
      <c r="T50" s="10"/>
      <c r="U50" s="10"/>
      <c r="W50" s="133">
        <v>42608</v>
      </c>
      <c r="X50" s="10">
        <v>31.67</v>
      </c>
      <c r="Y50" s="10">
        <v>31.82</v>
      </c>
      <c r="Z50" s="10">
        <v>31.42</v>
      </c>
      <c r="AA50" s="10">
        <v>31.53</v>
      </c>
      <c r="AB50" s="95">
        <v>10436200</v>
      </c>
      <c r="AC50" s="10">
        <v>31.16</v>
      </c>
      <c r="AD50" s="2">
        <f t="shared" si="0"/>
        <v>0.39999999999999858</v>
      </c>
      <c r="AE50" s="138">
        <f t="shared" si="1"/>
        <v>-3.2082130253452412E-4</v>
      </c>
    </row>
    <row r="51" spans="15:31" x14ac:dyDescent="0.25">
      <c r="O51" s="83">
        <v>1.01</v>
      </c>
      <c r="P51" s="83">
        <f t="shared" si="2"/>
        <v>31.764499999999998</v>
      </c>
      <c r="Q51" s="2"/>
      <c r="T51" s="10" t="s">
        <v>105</v>
      </c>
      <c r="U51" s="10" t="s">
        <v>552</v>
      </c>
      <c r="W51" s="133">
        <v>42607</v>
      </c>
      <c r="X51" s="10">
        <v>31.71</v>
      </c>
      <c r="Y51" s="10">
        <v>31.75</v>
      </c>
      <c r="Z51" s="10">
        <v>31.36</v>
      </c>
      <c r="AA51" s="10">
        <v>31.54</v>
      </c>
      <c r="AB51" s="95">
        <v>15930800</v>
      </c>
      <c r="AC51" s="10">
        <v>31.17</v>
      </c>
      <c r="AD51" s="2">
        <f t="shared" si="0"/>
        <v>0.39000000000000057</v>
      </c>
      <c r="AE51" s="138">
        <f t="shared" si="1"/>
        <v>-7.3248407643311531E-3</v>
      </c>
    </row>
    <row r="52" spans="15:31" x14ac:dyDescent="0.25">
      <c r="O52" s="83">
        <v>1</v>
      </c>
      <c r="P52" s="83">
        <f t="shared" si="2"/>
        <v>31.45</v>
      </c>
      <c r="Q52" s="2"/>
      <c r="T52" s="10" t="s">
        <v>106</v>
      </c>
      <c r="U52" s="10" t="s">
        <v>306</v>
      </c>
      <c r="W52" s="133">
        <v>42606</v>
      </c>
      <c r="X52" s="10">
        <v>31.84</v>
      </c>
      <c r="Y52" s="10">
        <v>32.090000000000003</v>
      </c>
      <c r="Z52" s="10">
        <v>31.76</v>
      </c>
      <c r="AA52" s="10">
        <v>31.78</v>
      </c>
      <c r="AB52" s="95">
        <v>8179500</v>
      </c>
      <c r="AC52" s="10">
        <v>31.4</v>
      </c>
      <c r="AD52" s="2">
        <f t="shared" si="0"/>
        <v>0.33000000000000185</v>
      </c>
      <c r="AE52" s="138">
        <f t="shared" si="1"/>
        <v>-3.8071065989847552E-3</v>
      </c>
    </row>
    <row r="53" spans="15:31" x14ac:dyDescent="0.25">
      <c r="O53" s="83">
        <v>0.99</v>
      </c>
      <c r="P53" s="83">
        <f t="shared" si="2"/>
        <v>31.1355</v>
      </c>
      <c r="Q53" s="2"/>
      <c r="T53" s="10" t="s">
        <v>107</v>
      </c>
      <c r="U53" s="95">
        <v>11763111</v>
      </c>
      <c r="W53" s="133">
        <v>42605</v>
      </c>
      <c r="X53" s="10">
        <v>31.97</v>
      </c>
      <c r="Y53" s="10">
        <v>32.049999999999997</v>
      </c>
      <c r="Z53" s="10">
        <v>31.87</v>
      </c>
      <c r="AA53" s="10">
        <v>31.9</v>
      </c>
      <c r="AB53" s="95">
        <v>10961100</v>
      </c>
      <c r="AC53" s="10">
        <v>31.52</v>
      </c>
      <c r="AD53" s="2">
        <f t="shared" si="0"/>
        <v>0.17999999999999616</v>
      </c>
      <c r="AE53" s="138">
        <f t="shared" si="1"/>
        <v>9.5268339155296644E-4</v>
      </c>
    </row>
    <row r="54" spans="15:31" x14ac:dyDescent="0.25">
      <c r="O54" s="83">
        <v>0.98</v>
      </c>
      <c r="P54" s="83">
        <f t="shared" si="2"/>
        <v>30.820999999999998</v>
      </c>
      <c r="Q54" s="2"/>
      <c r="T54" s="10" t="s">
        <v>110</v>
      </c>
      <c r="U54" s="95">
        <v>12269900</v>
      </c>
      <c r="W54" s="133">
        <v>42604</v>
      </c>
      <c r="X54" s="10">
        <v>31.79</v>
      </c>
      <c r="Y54" s="10">
        <v>31.95</v>
      </c>
      <c r="Z54" s="10">
        <v>31.7</v>
      </c>
      <c r="AA54" s="10">
        <v>31.87</v>
      </c>
      <c r="AB54" s="95">
        <v>8306000</v>
      </c>
      <c r="AC54" s="10">
        <v>31.49</v>
      </c>
      <c r="AD54" s="2">
        <f t="shared" si="0"/>
        <v>0.25</v>
      </c>
      <c r="AE54" s="138">
        <f t="shared" si="1"/>
        <v>1.2718600953893766E-3</v>
      </c>
    </row>
    <row r="55" spans="15:31" x14ac:dyDescent="0.25">
      <c r="O55" s="83">
        <v>0.97</v>
      </c>
      <c r="P55" s="83">
        <f t="shared" si="2"/>
        <v>30.506499999999999</v>
      </c>
      <c r="T55" s="10" t="s">
        <v>108</v>
      </c>
      <c r="U55" s="10" t="s">
        <v>553</v>
      </c>
      <c r="W55" s="133">
        <v>42601</v>
      </c>
      <c r="X55" s="10">
        <v>31.48</v>
      </c>
      <c r="Y55" s="10">
        <v>31.89</v>
      </c>
      <c r="Z55" s="10">
        <v>31.4</v>
      </c>
      <c r="AA55" s="10">
        <v>31.83</v>
      </c>
      <c r="AB55" s="95">
        <v>8809700</v>
      </c>
      <c r="AC55" s="10">
        <v>31.45</v>
      </c>
      <c r="AD55" s="2">
        <f t="shared" si="0"/>
        <v>0.49000000000000199</v>
      </c>
      <c r="AE55" s="138">
        <f t="shared" si="1"/>
        <v>8.6593970493906713E-3</v>
      </c>
    </row>
    <row r="56" spans="15:31" x14ac:dyDescent="0.25">
      <c r="O56" s="83">
        <v>0.96</v>
      </c>
      <c r="P56" s="83">
        <f t="shared" si="2"/>
        <v>30.191999999999997</v>
      </c>
      <c r="T56" s="10" t="s">
        <v>111</v>
      </c>
      <c r="U56" s="10">
        <v>3.59</v>
      </c>
      <c r="W56" s="133">
        <v>42600</v>
      </c>
      <c r="X56" s="10">
        <v>31.8</v>
      </c>
      <c r="Y56" s="10">
        <v>31.86</v>
      </c>
      <c r="Z56" s="10">
        <v>31.48</v>
      </c>
      <c r="AA56" s="10">
        <v>31.55</v>
      </c>
      <c r="AB56" s="95">
        <v>14089900</v>
      </c>
      <c r="AC56" s="10">
        <v>31.18</v>
      </c>
      <c r="AD56" s="2">
        <f t="shared" si="0"/>
        <v>0.37999999999999901</v>
      </c>
      <c r="AE56" s="138">
        <f t="shared" si="1"/>
        <v>-9.2151255163647194E-3</v>
      </c>
    </row>
    <row r="57" spans="15:31" x14ac:dyDescent="0.25">
      <c r="O57" s="83">
        <v>0.95</v>
      </c>
      <c r="P57" s="83">
        <f t="shared" si="2"/>
        <v>29.877499999999998</v>
      </c>
      <c r="T57" s="10" t="s">
        <v>112</v>
      </c>
      <c r="U57" s="10">
        <v>8.76</v>
      </c>
      <c r="W57" s="133">
        <v>42599</v>
      </c>
      <c r="X57" s="10">
        <v>31.71</v>
      </c>
      <c r="Y57" s="10">
        <v>31.88</v>
      </c>
      <c r="Z57" s="10">
        <v>31.55</v>
      </c>
      <c r="AA57" s="10">
        <v>31.85</v>
      </c>
      <c r="AB57" s="95">
        <v>8392400</v>
      </c>
      <c r="AC57" s="10">
        <v>31.47</v>
      </c>
      <c r="AD57" s="2">
        <f t="shared" si="0"/>
        <v>0.32999999999999829</v>
      </c>
      <c r="AE57" s="138">
        <f t="shared" si="1"/>
        <v>4.4685604851579797E-3</v>
      </c>
    </row>
    <row r="58" spans="15:31" x14ac:dyDescent="0.25">
      <c r="O58" s="83">
        <v>0.94</v>
      </c>
      <c r="P58" s="83">
        <f t="shared" si="2"/>
        <v>29.562999999999999</v>
      </c>
      <c r="T58" s="10" t="s">
        <v>109</v>
      </c>
      <c r="U58" s="10" t="s">
        <v>438</v>
      </c>
      <c r="W58" s="133">
        <v>42598</v>
      </c>
      <c r="X58" s="10">
        <v>31.81</v>
      </c>
      <c r="Y58" s="10">
        <v>31.85</v>
      </c>
      <c r="Z58" s="10">
        <v>31.61</v>
      </c>
      <c r="AA58" s="10">
        <v>31.71</v>
      </c>
      <c r="AB58" s="95">
        <v>9888500</v>
      </c>
      <c r="AC58" s="10">
        <v>31.33</v>
      </c>
      <c r="AD58" s="2">
        <f t="shared" si="0"/>
        <v>0.24000000000000199</v>
      </c>
      <c r="AE58" s="138">
        <f t="shared" si="1"/>
        <v>-4.7649301143584122E-3</v>
      </c>
    </row>
    <row r="59" spans="15:31" x14ac:dyDescent="0.25">
      <c r="O59" s="83">
        <v>0.93</v>
      </c>
      <c r="P59" s="83">
        <f t="shared" si="2"/>
        <v>29.2485</v>
      </c>
      <c r="W59" s="133">
        <v>42597</v>
      </c>
      <c r="X59" s="10">
        <v>31.59</v>
      </c>
      <c r="Y59" s="10">
        <v>31.89</v>
      </c>
      <c r="Z59" s="10">
        <v>31.55</v>
      </c>
      <c r="AA59" s="10">
        <v>31.86</v>
      </c>
      <c r="AB59" s="95">
        <v>9345300</v>
      </c>
      <c r="AC59" s="10">
        <v>31.48</v>
      </c>
      <c r="AD59" s="2">
        <f t="shared" si="0"/>
        <v>0.33999999999999986</v>
      </c>
      <c r="AE59" s="138">
        <f t="shared" si="1"/>
        <v>8.9743589743589425E-3</v>
      </c>
    </row>
    <row r="60" spans="15:31" x14ac:dyDescent="0.25">
      <c r="O60" s="83">
        <v>0.92</v>
      </c>
      <c r="P60" s="83">
        <f t="shared" si="2"/>
        <v>28.934000000000001</v>
      </c>
      <c r="W60" s="133">
        <v>42594</v>
      </c>
      <c r="X60" s="10">
        <v>31.6</v>
      </c>
      <c r="Y60" s="10">
        <v>31.75</v>
      </c>
      <c r="Z60" s="10">
        <v>31.55</v>
      </c>
      <c r="AA60" s="10">
        <v>31.57</v>
      </c>
      <c r="AB60" s="95">
        <v>9843700</v>
      </c>
      <c r="AC60" s="10">
        <v>31.2</v>
      </c>
      <c r="AD60" s="2">
        <f t="shared" si="0"/>
        <v>0.19999999999999929</v>
      </c>
      <c r="AE60" s="138">
        <f t="shared" si="1"/>
        <v>-5.4191903092126736E-3</v>
      </c>
    </row>
    <row r="61" spans="15:31" x14ac:dyDescent="0.25">
      <c r="O61" s="83">
        <v>0.91</v>
      </c>
      <c r="P61" s="83">
        <f t="shared" si="2"/>
        <v>28.619499999999999</v>
      </c>
      <c r="W61" s="133">
        <v>42593</v>
      </c>
      <c r="X61" s="10">
        <v>31.43</v>
      </c>
      <c r="Y61" s="10">
        <v>31.79</v>
      </c>
      <c r="Z61" s="10">
        <v>31.36</v>
      </c>
      <c r="AA61" s="10">
        <v>31.75</v>
      </c>
      <c r="AB61" s="95">
        <v>13210800</v>
      </c>
      <c r="AC61" s="10">
        <v>31.37</v>
      </c>
      <c r="AD61" s="2">
        <f t="shared" si="0"/>
        <v>0.42999999999999972</v>
      </c>
      <c r="AE61" s="138">
        <f t="shared" si="1"/>
        <v>1.586787564766845E-2</v>
      </c>
    </row>
    <row r="62" spans="15:31" x14ac:dyDescent="0.25">
      <c r="O62" s="83">
        <v>0.9</v>
      </c>
      <c r="P62" s="83">
        <f t="shared" si="2"/>
        <v>28.305</v>
      </c>
      <c r="W62" s="133">
        <v>42592</v>
      </c>
      <c r="X62" s="10">
        <v>31.03</v>
      </c>
      <c r="Y62" s="10">
        <v>31.27</v>
      </c>
      <c r="Z62" s="10">
        <v>30.96</v>
      </c>
      <c r="AA62" s="10">
        <v>31.25</v>
      </c>
      <c r="AB62" s="95">
        <v>10833700</v>
      </c>
      <c r="AC62" s="10">
        <v>30.88</v>
      </c>
      <c r="AD62" s="2">
        <f t="shared" si="0"/>
        <v>0.30999999999999872</v>
      </c>
      <c r="AE62" s="138">
        <f t="shared" si="1"/>
        <v>5.8631921824103816E-3</v>
      </c>
    </row>
    <row r="63" spans="15:31" x14ac:dyDescent="0.25">
      <c r="W63" s="133">
        <v>42591</v>
      </c>
      <c r="X63" s="10">
        <v>30.91</v>
      </c>
      <c r="Y63" s="10">
        <v>31.25</v>
      </c>
      <c r="Z63" s="10">
        <v>30.83</v>
      </c>
      <c r="AA63" s="10">
        <v>31.07</v>
      </c>
      <c r="AB63" s="95">
        <v>13691100</v>
      </c>
      <c r="AC63" s="10">
        <v>30.7</v>
      </c>
      <c r="AD63" s="2">
        <f t="shared" si="0"/>
        <v>0.42000000000000171</v>
      </c>
      <c r="AE63" s="138">
        <f t="shared" si="1"/>
        <v>6.2274664044574823E-3</v>
      </c>
    </row>
    <row r="64" spans="15:31" x14ac:dyDescent="0.25">
      <c r="W64" s="133">
        <v>42590</v>
      </c>
      <c r="X64" s="10">
        <v>30.92</v>
      </c>
      <c r="Y64" s="10">
        <v>31.06</v>
      </c>
      <c r="Z64" s="10">
        <v>30.8</v>
      </c>
      <c r="AA64" s="10">
        <v>30.88</v>
      </c>
      <c r="AB64" s="95">
        <v>10470900</v>
      </c>
      <c r="AC64" s="10">
        <v>30.51</v>
      </c>
      <c r="AD64" s="2">
        <f t="shared" si="0"/>
        <v>0.25999999999999801</v>
      </c>
      <c r="AE64" s="138">
        <f t="shared" si="1"/>
        <v>2.2996057818660542E-3</v>
      </c>
    </row>
    <row r="65" spans="23:31" x14ac:dyDescent="0.25">
      <c r="W65" s="133">
        <v>42587</v>
      </c>
      <c r="X65" s="10">
        <v>30.51</v>
      </c>
      <c r="Y65" s="10">
        <v>30.89</v>
      </c>
      <c r="Z65" s="10">
        <v>30.5</v>
      </c>
      <c r="AA65" s="10">
        <v>30.8</v>
      </c>
      <c r="AB65" s="95">
        <v>13135900</v>
      </c>
      <c r="AC65" s="10">
        <v>30.44</v>
      </c>
      <c r="AD65" s="2">
        <f t="shared" si="0"/>
        <v>0.39000000000000057</v>
      </c>
      <c r="AE65" s="138">
        <f t="shared" si="1"/>
        <v>1.5343562374916742E-2</v>
      </c>
    </row>
    <row r="66" spans="23:31" x14ac:dyDescent="0.25">
      <c r="W66" s="133">
        <v>42586</v>
      </c>
      <c r="X66" s="10">
        <v>30.24</v>
      </c>
      <c r="Y66" s="10">
        <v>30.53</v>
      </c>
      <c r="Z66" s="10">
        <v>30.23</v>
      </c>
      <c r="AA66" s="10">
        <v>30.34</v>
      </c>
      <c r="AB66" s="95">
        <v>8660900</v>
      </c>
      <c r="AC66" s="10">
        <v>29.98</v>
      </c>
      <c r="AD66" s="2">
        <f t="shared" si="0"/>
        <v>0.30000000000000071</v>
      </c>
      <c r="AE66" s="138">
        <f t="shared" si="1"/>
        <v>3.3467202141901353E-3</v>
      </c>
    </row>
    <row r="67" spans="23:31" x14ac:dyDescent="0.25">
      <c r="W67" s="133">
        <v>42585</v>
      </c>
      <c r="X67" s="10">
        <v>30</v>
      </c>
      <c r="Y67" s="10">
        <v>30.25</v>
      </c>
      <c r="Z67" s="10">
        <v>29.91</v>
      </c>
      <c r="AA67" s="10">
        <v>30.24</v>
      </c>
      <c r="AB67" s="95">
        <v>14504200</v>
      </c>
      <c r="AC67" s="10">
        <v>29.88</v>
      </c>
      <c r="AD67" s="2">
        <f>Y67-Z67</f>
        <v>0.33999999999999986</v>
      </c>
      <c r="AE67" s="138">
        <f>AC67/AC68-1</f>
        <v>1.0141987829614729E-2</v>
      </c>
    </row>
    <row r="68" spans="23:31" x14ac:dyDescent="0.25">
      <c r="W68" s="133">
        <v>42584</v>
      </c>
      <c r="X68" s="10">
        <v>31.03</v>
      </c>
      <c r="Y68" s="10">
        <v>31.08</v>
      </c>
      <c r="Z68" s="10">
        <v>29.82</v>
      </c>
      <c r="AA68" s="10">
        <v>29.93</v>
      </c>
      <c r="AB68" s="95">
        <v>24346900</v>
      </c>
      <c r="AC68" s="10">
        <v>29.58</v>
      </c>
      <c r="AD68" s="2">
        <f>Y68-Z68</f>
        <v>1.259999999999998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8.4257812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159</v>
      </c>
      <c r="AJ1" s="11" t="s">
        <v>160</v>
      </c>
      <c r="AK1" s="11" t="s">
        <v>161</v>
      </c>
      <c r="AL1" s="11" t="s">
        <v>162</v>
      </c>
      <c r="AO1" s="11" t="s">
        <v>163</v>
      </c>
      <c r="AP1" s="11" t="s">
        <v>59</v>
      </c>
      <c r="AQ1" s="11" t="s">
        <v>165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144</v>
      </c>
      <c r="W2" s="133">
        <v>42676</v>
      </c>
      <c r="X2" s="10">
        <v>145.76</v>
      </c>
      <c r="Y2" s="10">
        <v>146.96</v>
      </c>
      <c r="Z2" s="10">
        <v>145.52000000000001</v>
      </c>
      <c r="AA2" s="10">
        <v>145.80000000000001</v>
      </c>
      <c r="AB2" s="95">
        <v>1791000</v>
      </c>
      <c r="AC2" s="10">
        <v>145.80000000000001</v>
      </c>
      <c r="AD2" s="2"/>
      <c r="AE2" s="138"/>
      <c r="AP2" t="s">
        <v>164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145.80000000000001</v>
      </c>
      <c r="W3" s="133">
        <v>42675</v>
      </c>
      <c r="X3" s="10">
        <v>148</v>
      </c>
      <c r="Y3" s="10">
        <v>148</v>
      </c>
      <c r="Z3" s="10">
        <v>144.34</v>
      </c>
      <c r="AA3" s="10">
        <v>146.02000000000001</v>
      </c>
      <c r="AB3" s="95">
        <v>1885400</v>
      </c>
      <c r="AC3" s="10">
        <v>146.02000000000001</v>
      </c>
      <c r="AD3" s="2"/>
      <c r="AE3" s="138"/>
      <c r="AI3" t="s">
        <v>172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145.80000000000001</v>
      </c>
      <c r="R4" s="527">
        <v>-1.5E-3</v>
      </c>
      <c r="W4" s="133">
        <v>42674</v>
      </c>
      <c r="X4" s="10">
        <v>147.44999999999999</v>
      </c>
      <c r="Y4" s="10">
        <v>148.41</v>
      </c>
      <c r="Z4" s="10">
        <v>146.96</v>
      </c>
      <c r="AA4" s="10">
        <v>147.03</v>
      </c>
      <c r="AB4" s="95">
        <v>1345800</v>
      </c>
      <c r="AC4" s="10">
        <v>147.03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0</v>
      </c>
      <c r="W5" s="133">
        <v>42671</v>
      </c>
      <c r="X5" s="10">
        <v>149.5</v>
      </c>
      <c r="Y5" s="10">
        <v>149.74</v>
      </c>
      <c r="Z5" s="10">
        <v>147.04</v>
      </c>
      <c r="AA5" s="10">
        <v>147.21</v>
      </c>
      <c r="AB5" s="95">
        <v>1805900</v>
      </c>
      <c r="AC5" s="10">
        <v>147.21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42670</v>
      </c>
      <c r="X6" s="10">
        <v>151.99</v>
      </c>
      <c r="Y6" s="10">
        <v>153.28</v>
      </c>
      <c r="Z6" s="10">
        <v>148.53</v>
      </c>
      <c r="AA6" s="10">
        <v>149.22</v>
      </c>
      <c r="AB6" s="95">
        <v>2999800</v>
      </c>
      <c r="AC6" s="10">
        <v>149.22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184</v>
      </c>
      <c r="Q7" s="2">
        <f>Q10+Q8</f>
        <v>171.47000000000003</v>
      </c>
      <c r="R7">
        <v>0</v>
      </c>
      <c r="W7" s="133">
        <v>42669</v>
      </c>
      <c r="X7" s="10">
        <v>147.16999999999999</v>
      </c>
      <c r="Y7" s="10">
        <v>148.13999999999999</v>
      </c>
      <c r="Z7" s="10">
        <v>146.15</v>
      </c>
      <c r="AA7" s="10">
        <v>148.04</v>
      </c>
      <c r="AB7" s="95">
        <v>3958100</v>
      </c>
      <c r="AC7" s="10">
        <v>148.04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187</v>
      </c>
      <c r="P8" s="34"/>
      <c r="Q8" s="2">
        <f>K18+M18-F18+Q2*Q4</f>
        <v>0</v>
      </c>
      <c r="W8" s="133">
        <v>42668</v>
      </c>
      <c r="X8" s="10">
        <v>149.35</v>
      </c>
      <c r="Y8" s="10">
        <v>150.66</v>
      </c>
      <c r="Z8" s="10">
        <v>147.75</v>
      </c>
      <c r="AA8" s="10">
        <v>147.97</v>
      </c>
      <c r="AB8" s="95">
        <v>2431300</v>
      </c>
      <c r="AC8" s="10">
        <v>147.97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219</v>
      </c>
      <c r="Q9" s="138">
        <f>IF(Q2=0, 0, Q8/Q6)</f>
        <v>0</v>
      </c>
      <c r="W9" s="133">
        <v>42667</v>
      </c>
      <c r="X9" s="10">
        <v>151.72999999999999</v>
      </c>
      <c r="Y9" s="10">
        <v>153.4</v>
      </c>
      <c r="Z9" s="10">
        <v>150.96</v>
      </c>
      <c r="AA9" s="10">
        <v>153.11000000000001</v>
      </c>
      <c r="AB9" s="95">
        <v>2098500</v>
      </c>
      <c r="AC9" s="10">
        <v>153.11000000000001</v>
      </c>
      <c r="AD9" s="2"/>
      <c r="AE9" s="138"/>
    </row>
    <row r="10" spans="1:43" x14ac:dyDescent="0.25">
      <c r="O10" s="11" t="s">
        <v>218</v>
      </c>
      <c r="P10" s="34"/>
      <c r="Q10" s="2">
        <f>M34</f>
        <v>171.47000000000003</v>
      </c>
      <c r="W10" s="133">
        <v>42664</v>
      </c>
      <c r="X10" s="10">
        <v>150.69999999999999</v>
      </c>
      <c r="Y10" s="10">
        <v>150.79</v>
      </c>
      <c r="Z10" s="10">
        <v>149.76</v>
      </c>
      <c r="AA10" s="10">
        <v>150.66</v>
      </c>
      <c r="AB10" s="95">
        <v>1589500</v>
      </c>
      <c r="AC10" s="10">
        <v>150.66</v>
      </c>
      <c r="AD10" s="2"/>
      <c r="AE10" s="138"/>
    </row>
    <row r="11" spans="1:43" x14ac:dyDescent="0.25">
      <c r="O11" s="11" t="s">
        <v>181</v>
      </c>
      <c r="P11" s="34"/>
      <c r="Q11" s="138">
        <f>IF(U58="N/A (N/A)", 0, VALUE(TRIM(CLEAN(MID(U58, FIND("(", U58)+1, 5)))))</f>
        <v>4.1000000000000003E-3</v>
      </c>
      <c r="W11" s="133">
        <v>42663</v>
      </c>
      <c r="X11" s="10">
        <v>151.81</v>
      </c>
      <c r="Y11" s="10">
        <v>152.12</v>
      </c>
      <c r="Z11" s="10">
        <v>151.09</v>
      </c>
      <c r="AA11" s="10">
        <v>151.66</v>
      </c>
      <c r="AB11" s="95">
        <v>2005200</v>
      </c>
      <c r="AC11" s="10">
        <v>151.66</v>
      </c>
      <c r="AD11" s="2"/>
      <c r="AE11" s="138"/>
    </row>
    <row r="12" spans="1:43" x14ac:dyDescent="0.25">
      <c r="W12" s="133">
        <v>42662</v>
      </c>
      <c r="X12" s="10">
        <v>151.11000000000001</v>
      </c>
      <c r="Y12" s="10">
        <v>152.03</v>
      </c>
      <c r="Z12" s="10">
        <v>151.01</v>
      </c>
      <c r="AA12" s="10">
        <v>151.80000000000001</v>
      </c>
      <c r="AB12" s="95">
        <v>1859500</v>
      </c>
      <c r="AC12" s="10">
        <v>151.80000000000001</v>
      </c>
      <c r="AD12" s="2"/>
      <c r="AE12" s="138"/>
    </row>
    <row r="13" spans="1:43" x14ac:dyDescent="0.25">
      <c r="W13" s="133">
        <v>42661</v>
      </c>
      <c r="X13" s="10">
        <v>152.19</v>
      </c>
      <c r="Y13" s="10">
        <v>152.32</v>
      </c>
      <c r="Z13" s="10">
        <v>151.06</v>
      </c>
      <c r="AA13" s="10">
        <v>151.66999999999999</v>
      </c>
      <c r="AB13" s="95">
        <v>1727300</v>
      </c>
      <c r="AC13" s="10">
        <v>151.66999999999999</v>
      </c>
      <c r="AD13" s="2"/>
      <c r="AE13" s="138"/>
    </row>
    <row r="14" spans="1:43" x14ac:dyDescent="0.25">
      <c r="W14" s="133">
        <v>42660</v>
      </c>
      <c r="X14" s="10">
        <v>151.85</v>
      </c>
      <c r="Y14" s="10">
        <v>151.85</v>
      </c>
      <c r="Z14" s="10">
        <v>150.30000000000001</v>
      </c>
      <c r="AA14" s="10">
        <v>150.78</v>
      </c>
      <c r="AB14" s="95">
        <v>1614000</v>
      </c>
      <c r="AC14" s="10">
        <v>150.78</v>
      </c>
      <c r="AD14" s="2"/>
      <c r="AE14" s="138"/>
    </row>
    <row r="15" spans="1:43" x14ac:dyDescent="0.25">
      <c r="W15" s="133">
        <v>42657</v>
      </c>
      <c r="X15" s="10">
        <v>152.88999999999999</v>
      </c>
      <c r="Y15" s="10">
        <v>152.93</v>
      </c>
      <c r="Z15" s="10">
        <v>151.5</v>
      </c>
      <c r="AA15" s="10">
        <v>151.71</v>
      </c>
      <c r="AB15" s="95">
        <v>1477900</v>
      </c>
      <c r="AC15" s="10">
        <v>151.71</v>
      </c>
      <c r="AD15" s="2"/>
      <c r="AE15" s="138"/>
    </row>
    <row r="16" spans="1:43" x14ac:dyDescent="0.25">
      <c r="W16" s="133">
        <v>42656</v>
      </c>
      <c r="X16" s="10">
        <v>152.75</v>
      </c>
      <c r="Y16" s="10">
        <v>153.13999999999999</v>
      </c>
      <c r="Z16" s="10">
        <v>151.11000000000001</v>
      </c>
      <c r="AA16" s="10">
        <v>152.03</v>
      </c>
      <c r="AB16" s="95">
        <v>2191800</v>
      </c>
      <c r="AC16" s="10">
        <v>152.03</v>
      </c>
      <c r="AD16" s="2"/>
      <c r="AE16" s="138"/>
    </row>
    <row r="17" spans="1:31" x14ac:dyDescent="0.25">
      <c r="W17" s="133">
        <v>42655</v>
      </c>
      <c r="X17" s="10">
        <v>154.99</v>
      </c>
      <c r="Y17" s="10">
        <v>155.26</v>
      </c>
      <c r="Z17" s="10">
        <v>153.59</v>
      </c>
      <c r="AA17" s="10">
        <v>153.80000000000001</v>
      </c>
      <c r="AB17" s="95">
        <v>1088600</v>
      </c>
      <c r="AC17" s="10">
        <v>153.80000000000001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42654</v>
      </c>
      <c r="X18" s="10">
        <v>156</v>
      </c>
      <c r="Y18" s="10">
        <v>156.59</v>
      </c>
      <c r="Z18" s="10">
        <v>153.79</v>
      </c>
      <c r="AA18" s="10">
        <v>154.9</v>
      </c>
      <c r="AB18" s="95">
        <v>2697500</v>
      </c>
      <c r="AC18" s="10">
        <v>154.9</v>
      </c>
      <c r="AD18" s="2"/>
      <c r="AE18" s="138"/>
    </row>
    <row r="19" spans="1:31" x14ac:dyDescent="0.25">
      <c r="W19" s="133">
        <v>42653</v>
      </c>
      <c r="X19" s="10">
        <v>159.24</v>
      </c>
      <c r="Y19" s="10">
        <v>160.1</v>
      </c>
      <c r="Z19" s="10">
        <v>158.55000000000001</v>
      </c>
      <c r="AA19" s="10">
        <v>159.11000000000001</v>
      </c>
      <c r="AB19" s="95">
        <v>927800</v>
      </c>
      <c r="AC19" s="10">
        <v>159.11000000000001</v>
      </c>
      <c r="AD19" s="2"/>
      <c r="AE19" s="138"/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4" t="s">
        <v>158</v>
      </c>
      <c r="W20" s="133">
        <v>42650</v>
      </c>
      <c r="X20" s="10">
        <v>159</v>
      </c>
      <c r="Y20" s="10">
        <v>159</v>
      </c>
      <c r="Z20" s="10">
        <v>157</v>
      </c>
      <c r="AA20" s="10">
        <v>158.21</v>
      </c>
      <c r="AB20" s="95">
        <v>1087000</v>
      </c>
      <c r="AC20" s="10">
        <v>158.21</v>
      </c>
      <c r="AD20" s="2"/>
      <c r="AE20" s="138"/>
    </row>
    <row r="21" spans="1:31" x14ac:dyDescent="0.25">
      <c r="B21" s="193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31">
        <f>(E21-D21)/D21</f>
        <v>2.0647773279352202E-2</v>
      </c>
      <c r="I21" s="40"/>
      <c r="W21" s="133">
        <v>42649</v>
      </c>
      <c r="X21" s="10">
        <v>158.51</v>
      </c>
      <c r="Y21" s="10">
        <v>158.51</v>
      </c>
      <c r="Z21" s="10">
        <v>157.21</v>
      </c>
      <c r="AA21" s="10">
        <v>158.44</v>
      </c>
      <c r="AB21" s="95">
        <v>998100</v>
      </c>
      <c r="AC21" s="10">
        <v>158.44</v>
      </c>
      <c r="AD21" s="2"/>
      <c r="AE21" s="138"/>
    </row>
    <row r="22" spans="1:31" x14ac:dyDescent="0.25">
      <c r="B22" s="193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31">
        <f>(E22-D22)/D22</f>
        <v>6.4291497975708489E-2</v>
      </c>
      <c r="I22" s="40"/>
      <c r="W22" s="133">
        <v>42648</v>
      </c>
      <c r="X22" s="10">
        <v>158.41</v>
      </c>
      <c r="Y22" s="10">
        <v>158.80000000000001</v>
      </c>
      <c r="Z22" s="10">
        <v>157.68</v>
      </c>
      <c r="AA22" s="10">
        <v>158.28</v>
      </c>
      <c r="AB22" s="95">
        <v>1171500</v>
      </c>
      <c r="AC22" s="10">
        <v>158.28</v>
      </c>
      <c r="AD22" s="2"/>
      <c r="AE22" s="138"/>
    </row>
    <row r="23" spans="1:31" x14ac:dyDescent="0.25">
      <c r="B23" s="193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31">
        <f>(E23-D23)/D23</f>
        <v>9.5384615384615387E-2</v>
      </c>
      <c r="I23" s="40"/>
      <c r="W23" s="133">
        <v>42647</v>
      </c>
      <c r="X23" s="10">
        <v>158.97999999999999</v>
      </c>
      <c r="Y23" s="10">
        <v>159.44</v>
      </c>
      <c r="Z23" s="10">
        <v>156.47</v>
      </c>
      <c r="AA23" s="10">
        <v>157.57</v>
      </c>
      <c r="AB23" s="95">
        <v>1124700</v>
      </c>
      <c r="AC23" s="10">
        <v>157.57</v>
      </c>
      <c r="AD23" s="2"/>
      <c r="AE23" s="138"/>
    </row>
    <row r="24" spans="1:31" x14ac:dyDescent="0.25">
      <c r="B24" s="193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31">
        <f>(E24-D24)/D24</f>
        <v>0.11838056680161947</v>
      </c>
      <c r="I24" s="40"/>
      <c r="W24" s="133">
        <v>42646</v>
      </c>
      <c r="X24" s="10">
        <v>157.94999999999999</v>
      </c>
      <c r="Y24" s="10">
        <v>159.22</v>
      </c>
      <c r="Z24" s="10">
        <v>157.57</v>
      </c>
      <c r="AA24" s="10">
        <v>159.12</v>
      </c>
      <c r="AB24" s="95">
        <v>1304500</v>
      </c>
      <c r="AC24" s="10">
        <v>159.12</v>
      </c>
      <c r="AD24" s="2"/>
      <c r="AE24" s="138"/>
    </row>
    <row r="25" spans="1:31" x14ac:dyDescent="0.25">
      <c r="B25" s="193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32"/>
      <c r="I25" s="40"/>
      <c r="W25" s="133">
        <v>42643</v>
      </c>
      <c r="X25" s="10">
        <v>156.69999999999999</v>
      </c>
      <c r="Y25" s="10">
        <v>159.53</v>
      </c>
      <c r="Z25" s="10">
        <v>156.69999999999999</v>
      </c>
      <c r="AA25" s="10">
        <v>159.06</v>
      </c>
      <c r="AB25" s="95">
        <v>1985900</v>
      </c>
      <c r="AC25" s="10">
        <v>159.06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42642</v>
      </c>
      <c r="X26" s="10">
        <v>158.63</v>
      </c>
      <c r="Y26" s="10">
        <v>159.27000000000001</v>
      </c>
      <c r="Z26" s="10">
        <v>155.34</v>
      </c>
      <c r="AA26" s="10">
        <v>156.06</v>
      </c>
      <c r="AB26" s="95">
        <v>1473900</v>
      </c>
      <c r="AC26" s="10">
        <v>156.06</v>
      </c>
      <c r="AD26" s="2"/>
      <c r="AE26" s="138"/>
    </row>
    <row r="27" spans="1:31" x14ac:dyDescent="0.25">
      <c r="B27" s="193"/>
      <c r="C27" s="10"/>
      <c r="D27" s="40"/>
      <c r="E27" s="40"/>
      <c r="F27" s="40"/>
      <c r="G27" s="40"/>
      <c r="H27" s="232"/>
      <c r="I27" s="40"/>
      <c r="W27" s="133">
        <v>42641</v>
      </c>
      <c r="X27" s="10">
        <v>159.09</v>
      </c>
      <c r="Y27" s="10">
        <v>159.09</v>
      </c>
      <c r="Z27" s="10">
        <v>157.13999999999999</v>
      </c>
      <c r="AA27" s="10">
        <v>158.63999999999999</v>
      </c>
      <c r="AB27" s="95">
        <v>946700</v>
      </c>
      <c r="AC27" s="10">
        <v>158.63999999999999</v>
      </c>
      <c r="AD27" s="2"/>
      <c r="AE27" s="138"/>
    </row>
    <row r="28" spans="1:31" x14ac:dyDescent="0.25">
      <c r="B28" s="193"/>
      <c r="C28" s="10"/>
      <c r="D28" s="40"/>
      <c r="E28" s="40"/>
      <c r="F28" s="40"/>
      <c r="G28" s="40"/>
      <c r="H28" s="232"/>
      <c r="I28" s="40"/>
      <c r="W28" s="133">
        <v>42640</v>
      </c>
      <c r="X28" s="10">
        <v>156.44999999999999</v>
      </c>
      <c r="Y28" s="10">
        <v>159.02000000000001</v>
      </c>
      <c r="Z28" s="10">
        <v>155.83000000000001</v>
      </c>
      <c r="AA28" s="10">
        <v>158.88</v>
      </c>
      <c r="AB28" s="95">
        <v>1874200</v>
      </c>
      <c r="AC28" s="10">
        <v>158.88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2"/>
      <c r="I29" s="40"/>
      <c r="W29" s="133">
        <v>42639</v>
      </c>
      <c r="X29" s="10">
        <v>156.97999999999999</v>
      </c>
      <c r="Y29" s="10">
        <v>156.97999999999999</v>
      </c>
      <c r="Z29" s="10">
        <v>155.61000000000001</v>
      </c>
      <c r="AA29" s="10">
        <v>156.16</v>
      </c>
      <c r="AB29" s="95">
        <v>1650500</v>
      </c>
      <c r="AC29" s="10">
        <v>156.16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2"/>
      <c r="I30" s="40"/>
      <c r="W30" s="133">
        <v>42636</v>
      </c>
      <c r="X30" s="10">
        <v>156.85</v>
      </c>
      <c r="Y30" s="10">
        <v>158.15</v>
      </c>
      <c r="Z30" s="10">
        <v>156.71</v>
      </c>
      <c r="AA30" s="10">
        <v>157.66</v>
      </c>
      <c r="AB30" s="95">
        <v>1626200</v>
      </c>
      <c r="AC30" s="10">
        <v>157.66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42635</v>
      </c>
      <c r="X31" s="10">
        <v>156.41</v>
      </c>
      <c r="Y31" s="10">
        <v>158.11000000000001</v>
      </c>
      <c r="Z31" s="10">
        <v>155.68</v>
      </c>
      <c r="AA31" s="10">
        <v>157.66</v>
      </c>
      <c r="AB31" s="95">
        <v>1599000</v>
      </c>
      <c r="AC31" s="10">
        <v>157.66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42634</v>
      </c>
      <c r="X32" s="10">
        <v>152.46</v>
      </c>
      <c r="Y32" s="10">
        <v>155.62</v>
      </c>
      <c r="Z32" s="10">
        <v>152.12</v>
      </c>
      <c r="AA32" s="10">
        <v>155.41999999999999</v>
      </c>
      <c r="AB32" s="95">
        <v>1791200</v>
      </c>
      <c r="AC32" s="10">
        <v>155.41999999999999</v>
      </c>
      <c r="AD32" s="2"/>
      <c r="AE32" s="138"/>
    </row>
    <row r="33" spans="1:31" x14ac:dyDescent="0.25">
      <c r="W33" s="133">
        <v>42633</v>
      </c>
      <c r="X33" s="10">
        <v>151.37</v>
      </c>
      <c r="Y33" s="10">
        <v>152.53</v>
      </c>
      <c r="Z33" s="10">
        <v>150.46</v>
      </c>
      <c r="AA33" s="10">
        <v>151.62</v>
      </c>
      <c r="AB33" s="95">
        <v>1488200</v>
      </c>
      <c r="AC33" s="10">
        <v>151.62</v>
      </c>
      <c r="AD33" s="2"/>
      <c r="AE33" s="138"/>
    </row>
    <row r="34" spans="1:31" x14ac:dyDescent="0.25">
      <c r="L34" t="s">
        <v>218</v>
      </c>
      <c r="M34" s="2">
        <f>M45+K45-F45</f>
        <v>171.47000000000003</v>
      </c>
      <c r="W34" s="133">
        <v>42632</v>
      </c>
      <c r="X34" s="10">
        <v>150.18</v>
      </c>
      <c r="Y34" s="10">
        <v>151.28</v>
      </c>
      <c r="Z34" s="10">
        <v>149.91</v>
      </c>
      <c r="AA34" s="10">
        <v>150</v>
      </c>
      <c r="AB34" s="95">
        <v>1058900</v>
      </c>
      <c r="AC34" s="10">
        <v>150</v>
      </c>
      <c r="AD34" s="2"/>
      <c r="AE34" s="138"/>
    </row>
    <row r="35" spans="1:31" x14ac:dyDescent="0.25">
      <c r="A35" s="390" t="s">
        <v>1</v>
      </c>
      <c r="B35" s="390" t="s">
        <v>2</v>
      </c>
      <c r="C35" s="390" t="s">
        <v>4</v>
      </c>
      <c r="D35" s="390" t="s">
        <v>5</v>
      </c>
      <c r="E35" s="392" t="s">
        <v>94</v>
      </c>
      <c r="F35" s="390" t="s">
        <v>60</v>
      </c>
      <c r="G35" s="390" t="s">
        <v>3</v>
      </c>
      <c r="H35" s="390" t="s">
        <v>6</v>
      </c>
      <c r="I35" s="390" t="s">
        <v>7</v>
      </c>
      <c r="J35" s="390" t="s">
        <v>95</v>
      </c>
      <c r="K35" s="390" t="s">
        <v>61</v>
      </c>
      <c r="L35" s="390" t="s">
        <v>77</v>
      </c>
      <c r="M35" s="390" t="s">
        <v>38</v>
      </c>
      <c r="W35" s="133">
        <v>42629</v>
      </c>
      <c r="X35" s="10">
        <v>150.16999999999999</v>
      </c>
      <c r="Y35" s="10">
        <v>150.38999999999999</v>
      </c>
      <c r="Z35" s="10">
        <v>148.94999999999999</v>
      </c>
      <c r="AA35" s="10">
        <v>150.05000000000001</v>
      </c>
      <c r="AB35" s="95">
        <v>1985500</v>
      </c>
      <c r="AC35" s="10">
        <v>150.05000000000001</v>
      </c>
      <c r="AD35" s="2"/>
      <c r="AE35" s="138"/>
    </row>
    <row r="36" spans="1:31" x14ac:dyDescent="0.25">
      <c r="A36" s="393" t="s">
        <v>0</v>
      </c>
      <c r="B36" s="383">
        <v>42403</v>
      </c>
      <c r="C36" s="384">
        <v>10</v>
      </c>
      <c r="D36" s="385">
        <v>123.5</v>
      </c>
      <c r="E36" s="385">
        <v>0</v>
      </c>
      <c r="F36" s="385">
        <f>D36*C36+E36</f>
        <v>1235</v>
      </c>
      <c r="G36" s="383">
        <v>42436</v>
      </c>
      <c r="H36" s="388">
        <v>10</v>
      </c>
      <c r="I36" s="385">
        <v>140.65</v>
      </c>
      <c r="J36" s="385">
        <v>0.03</v>
      </c>
      <c r="K36" s="384">
        <f>I36*H36-J36</f>
        <v>1406.47</v>
      </c>
      <c r="L36" s="383"/>
      <c r="M36" s="385"/>
      <c r="W36" s="133">
        <v>42628</v>
      </c>
      <c r="X36" s="10">
        <v>148.37</v>
      </c>
      <c r="Y36" s="10">
        <v>150.81</v>
      </c>
      <c r="Z36" s="10">
        <v>147.94999999999999</v>
      </c>
      <c r="AA36" s="10">
        <v>150</v>
      </c>
      <c r="AB36" s="95">
        <v>2085500</v>
      </c>
      <c r="AC36" s="10">
        <v>150</v>
      </c>
      <c r="AD36" s="2"/>
      <c r="AE36" s="138"/>
    </row>
    <row r="37" spans="1:31" x14ac:dyDescent="0.25">
      <c r="A37" s="394" t="s">
        <v>71</v>
      </c>
      <c r="B37" s="383"/>
      <c r="C37" s="384"/>
      <c r="D37" s="385"/>
      <c r="E37" s="385"/>
      <c r="F37" s="385"/>
      <c r="G37" s="383"/>
      <c r="H37" s="388"/>
      <c r="I37" s="385"/>
      <c r="J37" s="385"/>
      <c r="K37" s="384"/>
      <c r="L37" s="383"/>
      <c r="M37" s="385"/>
      <c r="W37" s="133">
        <v>42627</v>
      </c>
      <c r="X37" s="10">
        <v>145.01</v>
      </c>
      <c r="Y37" s="10">
        <v>147.87</v>
      </c>
      <c r="Z37" s="10">
        <v>145.01</v>
      </c>
      <c r="AA37" s="10">
        <v>147.85</v>
      </c>
      <c r="AB37" s="95">
        <v>3221700</v>
      </c>
      <c r="AC37" s="10">
        <v>147.85</v>
      </c>
      <c r="AD37" s="2"/>
      <c r="AE37" s="138"/>
    </row>
    <row r="38" spans="1:31" x14ac:dyDescent="0.25">
      <c r="A38" s="384"/>
      <c r="B38" s="383"/>
      <c r="C38" s="384"/>
      <c r="D38" s="385"/>
      <c r="E38" s="385"/>
      <c r="F38" s="385"/>
      <c r="G38" s="383"/>
      <c r="H38" s="388"/>
      <c r="I38" s="384"/>
      <c r="J38" s="385"/>
      <c r="K38" s="384"/>
      <c r="L38" s="384"/>
      <c r="M38" s="384"/>
      <c r="W38" s="133">
        <v>42626</v>
      </c>
      <c r="X38" s="10">
        <v>145.25</v>
      </c>
      <c r="Y38" s="10">
        <v>145.86000000000001</v>
      </c>
      <c r="Z38" s="10">
        <v>143.11000000000001</v>
      </c>
      <c r="AA38" s="10">
        <v>145.15</v>
      </c>
      <c r="AB38" s="95">
        <v>1933900</v>
      </c>
      <c r="AC38" s="10">
        <v>145.15</v>
      </c>
      <c r="AD38" s="2"/>
      <c r="AE38" s="138"/>
    </row>
    <row r="39" spans="1:31" x14ac:dyDescent="0.25">
      <c r="A39" s="384"/>
      <c r="B39" s="383"/>
      <c r="C39" s="384"/>
      <c r="D39" s="385"/>
      <c r="E39" s="385"/>
      <c r="F39" s="385"/>
      <c r="G39" s="384"/>
      <c r="H39" s="388"/>
      <c r="I39" s="385"/>
      <c r="J39" s="385"/>
      <c r="K39" s="384"/>
      <c r="L39" s="384"/>
      <c r="M39" s="384"/>
      <c r="W39" s="133">
        <v>42626</v>
      </c>
      <c r="X39" s="10" t="s">
        <v>182</v>
      </c>
      <c r="Y39" s="10"/>
      <c r="Z39" s="10"/>
      <c r="AA39" s="10"/>
      <c r="AB39" s="95"/>
      <c r="AC39" s="10"/>
      <c r="AD39" s="2"/>
      <c r="AE39" s="138"/>
    </row>
    <row r="40" spans="1:31" x14ac:dyDescent="0.25">
      <c r="A40" s="384"/>
      <c r="B40" s="383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42625</v>
      </c>
      <c r="X40" s="10">
        <v>143.19</v>
      </c>
      <c r="Y40" s="10">
        <v>146.76</v>
      </c>
      <c r="Z40" s="10">
        <v>143.01</v>
      </c>
      <c r="AA40" s="10">
        <v>146.4</v>
      </c>
      <c r="AB40" s="95">
        <v>1932500</v>
      </c>
      <c r="AC40" s="10">
        <v>146.25</v>
      </c>
      <c r="AD40" s="2"/>
      <c r="AE40" s="138"/>
    </row>
    <row r="41" spans="1:31" x14ac:dyDescent="0.25">
      <c r="A41" s="384"/>
      <c r="B41" s="383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W41" s="133">
        <v>42622</v>
      </c>
      <c r="X41" s="10">
        <v>148.09</v>
      </c>
      <c r="Y41" s="10">
        <v>148.52000000000001</v>
      </c>
      <c r="Z41" s="10">
        <v>143.68</v>
      </c>
      <c r="AA41" s="10">
        <v>143.68</v>
      </c>
      <c r="AB41" s="95">
        <v>2995200</v>
      </c>
      <c r="AC41" s="10">
        <v>143.53</v>
      </c>
      <c r="AD41" s="2"/>
      <c r="AE41" s="138"/>
    </row>
    <row r="42" spans="1:31" ht="20.25" thickBot="1" x14ac:dyDescent="0.35">
      <c r="A42" s="384"/>
      <c r="B42" s="383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T42" s="91" t="s">
        <v>113</v>
      </c>
      <c r="W42" s="133">
        <v>42621</v>
      </c>
      <c r="X42" s="10">
        <v>150.4</v>
      </c>
      <c r="Y42" s="10">
        <v>151.24</v>
      </c>
      <c r="Z42" s="10">
        <v>150.38</v>
      </c>
      <c r="AA42" s="10">
        <v>150.65</v>
      </c>
      <c r="AB42" s="95">
        <v>1399400</v>
      </c>
      <c r="AC42" s="10">
        <v>150.5</v>
      </c>
      <c r="AD42" s="2"/>
      <c r="AE42" s="138"/>
    </row>
    <row r="43" spans="1:31" ht="15.75" thickTop="1" x14ac:dyDescent="0.25">
      <c r="A43" s="384"/>
      <c r="B43" s="383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T43" s="340" t="s">
        <v>98</v>
      </c>
      <c r="U43" s="340">
        <v>146.02000000000001</v>
      </c>
      <c r="W43" s="133">
        <v>42620</v>
      </c>
      <c r="X43" s="10">
        <v>150.63</v>
      </c>
      <c r="Y43" s="10">
        <v>151.43</v>
      </c>
      <c r="Z43" s="10">
        <v>150.29</v>
      </c>
      <c r="AA43" s="10">
        <v>150.5</v>
      </c>
      <c r="AB43" s="95">
        <v>1527300</v>
      </c>
      <c r="AC43" s="10">
        <v>150.35</v>
      </c>
      <c r="AD43" s="2"/>
      <c r="AE43" s="138"/>
    </row>
    <row r="44" spans="1:31" x14ac:dyDescent="0.25">
      <c r="A44" s="384"/>
      <c r="B44" s="384"/>
      <c r="C44" s="384"/>
      <c r="D44" s="384"/>
      <c r="E44" s="385"/>
      <c r="F44" s="384"/>
      <c r="G44" s="384"/>
      <c r="H44" s="384"/>
      <c r="I44" s="384"/>
      <c r="J44" s="384"/>
      <c r="K44" s="384"/>
      <c r="L44" s="384"/>
      <c r="M44" s="384"/>
      <c r="T44" s="100" t="s">
        <v>99</v>
      </c>
      <c r="U44" s="100">
        <v>145.76</v>
      </c>
      <c r="W44" s="133">
        <v>42619</v>
      </c>
      <c r="X44" s="10">
        <v>151.25</v>
      </c>
      <c r="Y44" s="10">
        <v>151.38999999999999</v>
      </c>
      <c r="Z44" s="10">
        <v>150.66999999999999</v>
      </c>
      <c r="AA44" s="10">
        <v>151</v>
      </c>
      <c r="AB44" s="95">
        <v>1498000</v>
      </c>
      <c r="AC44" s="10">
        <v>150.85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588" t="s">
        <v>78</v>
      </c>
      <c r="P45" s="588"/>
      <c r="T45" s="100" t="s">
        <v>100</v>
      </c>
      <c r="U45" s="100" t="s">
        <v>554</v>
      </c>
      <c r="W45" s="133">
        <v>42615</v>
      </c>
      <c r="X45" s="10">
        <v>151.22999999999999</v>
      </c>
      <c r="Y45" s="10">
        <v>151.84</v>
      </c>
      <c r="Z45" s="10">
        <v>150.66999999999999</v>
      </c>
      <c r="AA45" s="10">
        <v>151.18</v>
      </c>
      <c r="AB45" s="95">
        <v>1104200</v>
      </c>
      <c r="AC45" s="10">
        <v>151.03</v>
      </c>
      <c r="AD45" s="2"/>
      <c r="AE45" s="138"/>
    </row>
    <row r="46" spans="1:31" ht="15.75" thickTop="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1.1000000000000001</v>
      </c>
      <c r="P46" s="83">
        <f>O46*$Q$4</f>
        <v>160.38000000000002</v>
      </c>
      <c r="Q46" s="2"/>
      <c r="T46" s="100" t="s">
        <v>101</v>
      </c>
      <c r="U46" s="100" t="s">
        <v>555</v>
      </c>
      <c r="W46" s="133">
        <v>42614</v>
      </c>
      <c r="X46" s="10">
        <v>152.65</v>
      </c>
      <c r="Y46" s="10">
        <v>152.83000000000001</v>
      </c>
      <c r="Z46" s="10">
        <v>150.4</v>
      </c>
      <c r="AA46" s="10">
        <v>150.94999999999999</v>
      </c>
      <c r="AB46" s="95">
        <v>1306000</v>
      </c>
      <c r="AC46" s="10">
        <v>150.80000000000001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158.92200000000003</v>
      </c>
      <c r="Q47" s="2"/>
      <c r="T47" s="100" t="s">
        <v>102</v>
      </c>
      <c r="U47" s="100">
        <v>174.12</v>
      </c>
      <c r="W47" s="133">
        <v>42613</v>
      </c>
      <c r="X47" s="10">
        <v>153.16999999999999</v>
      </c>
      <c r="Y47" s="10">
        <v>153.4</v>
      </c>
      <c r="Z47" s="10">
        <v>151.56</v>
      </c>
      <c r="AA47" s="10">
        <v>152.19</v>
      </c>
      <c r="AB47" s="95">
        <v>1053800</v>
      </c>
      <c r="AC47" s="10">
        <v>152.03</v>
      </c>
      <c r="AD47" s="2"/>
      <c r="AE47" s="138"/>
    </row>
    <row r="48" spans="1:31" x14ac:dyDescent="0.25">
      <c r="O48" s="83">
        <v>1.08</v>
      </c>
      <c r="P48" s="83">
        <f t="shared" si="0"/>
        <v>157.46400000000003</v>
      </c>
      <c r="Q48" s="2"/>
      <c r="T48" s="100" t="s">
        <v>103</v>
      </c>
      <c r="U48" s="100">
        <v>0.98072000000000004</v>
      </c>
      <c r="W48" s="133">
        <v>42612</v>
      </c>
      <c r="X48" s="10">
        <v>153.80000000000001</v>
      </c>
      <c r="Y48" s="10">
        <v>154.04</v>
      </c>
      <c r="Z48" s="10">
        <v>152.06</v>
      </c>
      <c r="AA48" s="10">
        <v>153.16</v>
      </c>
      <c r="AB48" s="95">
        <v>966500</v>
      </c>
      <c r="AC48" s="10">
        <v>153</v>
      </c>
      <c r="AD48" s="2"/>
      <c r="AE48" s="138"/>
    </row>
    <row r="49" spans="15:31" x14ac:dyDescent="0.25">
      <c r="O49" s="83">
        <v>1.07</v>
      </c>
      <c r="P49" s="83">
        <f t="shared" si="0"/>
        <v>156.00600000000003</v>
      </c>
      <c r="Q49" s="2"/>
      <c r="T49" s="100" t="s">
        <v>122</v>
      </c>
      <c r="U49" s="100" t="s">
        <v>413</v>
      </c>
      <c r="W49" s="133">
        <v>42611</v>
      </c>
      <c r="X49" s="10">
        <v>152.28</v>
      </c>
      <c r="Y49" s="10">
        <v>154.11000000000001</v>
      </c>
      <c r="Z49" s="10">
        <v>152.16999999999999</v>
      </c>
      <c r="AA49" s="10">
        <v>153.51</v>
      </c>
      <c r="AB49" s="95">
        <v>986700</v>
      </c>
      <c r="AC49" s="10">
        <v>153.35</v>
      </c>
      <c r="AD49" s="2"/>
      <c r="AE49" s="138"/>
    </row>
    <row r="50" spans="15:31" x14ac:dyDescent="0.25">
      <c r="O50" s="83">
        <v>1.06</v>
      </c>
      <c r="P50" s="83">
        <f t="shared" si="0"/>
        <v>154.54800000000003</v>
      </c>
      <c r="Q50" s="2"/>
      <c r="T50" s="100"/>
      <c r="U50" s="100"/>
      <c r="W50" s="133">
        <v>42608</v>
      </c>
      <c r="X50" s="10">
        <v>151.91999999999999</v>
      </c>
      <c r="Y50" s="10">
        <v>153.05000000000001</v>
      </c>
      <c r="Z50" s="10">
        <v>151.44999999999999</v>
      </c>
      <c r="AA50" s="10">
        <v>152.36000000000001</v>
      </c>
      <c r="AB50" s="95">
        <v>1158300</v>
      </c>
      <c r="AC50" s="10">
        <v>152.19999999999999</v>
      </c>
      <c r="AD50" s="2"/>
      <c r="AE50" s="138"/>
    </row>
    <row r="51" spans="15:31" x14ac:dyDescent="0.25">
      <c r="O51" s="83">
        <v>1.05</v>
      </c>
      <c r="P51" s="83">
        <f t="shared" si="0"/>
        <v>153.09000000000003</v>
      </c>
      <c r="Q51" s="2"/>
      <c r="T51" s="100" t="s">
        <v>105</v>
      </c>
      <c r="U51" s="100" t="s">
        <v>556</v>
      </c>
      <c r="W51" s="133">
        <v>42607</v>
      </c>
      <c r="X51" s="10">
        <v>151.29</v>
      </c>
      <c r="Y51" s="10">
        <v>152.38999999999999</v>
      </c>
      <c r="Z51" s="10">
        <v>150.75</v>
      </c>
      <c r="AA51" s="10">
        <v>151.35</v>
      </c>
      <c r="AB51" s="95">
        <v>1358100</v>
      </c>
      <c r="AC51" s="10">
        <v>151.19</v>
      </c>
      <c r="AD51" s="2"/>
      <c r="AE51" s="138"/>
    </row>
    <row r="52" spans="15:31" x14ac:dyDescent="0.25">
      <c r="O52" s="83">
        <v>1.04</v>
      </c>
      <c r="P52" s="83">
        <f t="shared" si="0"/>
        <v>151.63200000000001</v>
      </c>
      <c r="Q52" s="2"/>
      <c r="T52" s="100" t="s">
        <v>106</v>
      </c>
      <c r="U52" s="100" t="s">
        <v>360</v>
      </c>
      <c r="W52" s="133">
        <v>42606</v>
      </c>
      <c r="X52" s="10">
        <v>154.36000000000001</v>
      </c>
      <c r="Y52" s="10">
        <v>154.5</v>
      </c>
      <c r="Z52" s="10">
        <v>150.78</v>
      </c>
      <c r="AA52" s="10">
        <v>151.26</v>
      </c>
      <c r="AB52" s="95">
        <v>1513700</v>
      </c>
      <c r="AC52" s="10">
        <v>151.11000000000001</v>
      </c>
      <c r="AD52" s="2"/>
      <c r="AE52" s="138"/>
    </row>
    <row r="53" spans="15:31" x14ac:dyDescent="0.25">
      <c r="O53" s="83">
        <v>1.03</v>
      </c>
      <c r="P53" s="83">
        <f t="shared" si="0"/>
        <v>150.17400000000001</v>
      </c>
      <c r="Q53" s="2"/>
      <c r="T53" s="100" t="s">
        <v>107</v>
      </c>
      <c r="U53" s="101">
        <v>1791216</v>
      </c>
      <c r="W53" s="133">
        <v>42605</v>
      </c>
      <c r="X53" s="10">
        <v>154.56</v>
      </c>
      <c r="Y53" s="10">
        <v>156.19</v>
      </c>
      <c r="Z53" s="10">
        <v>154.16999999999999</v>
      </c>
      <c r="AA53" s="10">
        <v>154.55000000000001</v>
      </c>
      <c r="AB53" s="95">
        <v>1064700</v>
      </c>
      <c r="AC53" s="10">
        <v>154.38999999999999</v>
      </c>
      <c r="AD53" s="2"/>
      <c r="AE53" s="138"/>
    </row>
    <row r="54" spans="15:31" x14ac:dyDescent="0.25">
      <c r="O54" s="83">
        <v>1.02</v>
      </c>
      <c r="P54" s="83">
        <f t="shared" si="0"/>
        <v>148.71600000000001</v>
      </c>
      <c r="Q54" s="2"/>
      <c r="T54" s="100" t="s">
        <v>110</v>
      </c>
      <c r="U54" s="101">
        <v>1526680</v>
      </c>
      <c r="W54" s="133">
        <v>42604</v>
      </c>
      <c r="X54" s="10">
        <v>153.68</v>
      </c>
      <c r="Y54" s="10">
        <v>154.27000000000001</v>
      </c>
      <c r="Z54" s="10">
        <v>153.28</v>
      </c>
      <c r="AA54" s="10">
        <v>153.99</v>
      </c>
      <c r="AB54" s="95">
        <v>705900</v>
      </c>
      <c r="AC54" s="10">
        <v>153.83000000000001</v>
      </c>
      <c r="AD54" s="2"/>
      <c r="AE54" s="138"/>
    </row>
    <row r="55" spans="15:31" x14ac:dyDescent="0.25">
      <c r="O55" s="83">
        <v>1.01</v>
      </c>
      <c r="P55" s="83">
        <f t="shared" si="0"/>
        <v>147.25800000000001</v>
      </c>
      <c r="Q55" s="2"/>
      <c r="T55" s="100" t="s">
        <v>108</v>
      </c>
      <c r="U55" s="100" t="s">
        <v>557</v>
      </c>
      <c r="W55" s="133">
        <v>42601</v>
      </c>
      <c r="X55" s="10">
        <v>152.88</v>
      </c>
      <c r="Y55" s="10">
        <v>153.81</v>
      </c>
      <c r="Z55" s="10">
        <v>152.5</v>
      </c>
      <c r="AA55" s="10">
        <v>153.58000000000001</v>
      </c>
      <c r="AB55" s="95">
        <v>1498000</v>
      </c>
      <c r="AC55" s="10">
        <v>153.41999999999999</v>
      </c>
      <c r="AD55" s="2"/>
      <c r="AE55" s="138"/>
    </row>
    <row r="56" spans="15:31" x14ac:dyDescent="0.25">
      <c r="O56" s="83">
        <v>1</v>
      </c>
      <c r="P56" s="83">
        <f t="shared" si="0"/>
        <v>145.80000000000001</v>
      </c>
      <c r="Q56" s="2"/>
      <c r="T56" s="100" t="s">
        <v>111</v>
      </c>
      <c r="U56" s="100">
        <v>29.14</v>
      </c>
      <c r="W56" s="133">
        <v>42600</v>
      </c>
      <c r="X56" s="10">
        <v>154.22</v>
      </c>
      <c r="Y56" s="10">
        <v>154.47</v>
      </c>
      <c r="Z56" s="10">
        <v>152.74</v>
      </c>
      <c r="AA56" s="10">
        <v>153.35</v>
      </c>
      <c r="AB56" s="95">
        <v>2155800</v>
      </c>
      <c r="AC56" s="10">
        <v>153.19</v>
      </c>
      <c r="AD56" s="2"/>
      <c r="AE56" s="138"/>
    </row>
    <row r="57" spans="15:31" x14ac:dyDescent="0.25">
      <c r="O57" s="83">
        <v>0.99</v>
      </c>
      <c r="P57" s="83">
        <f t="shared" si="0"/>
        <v>144.34200000000001</v>
      </c>
      <c r="Q57" s="2"/>
      <c r="T57" s="100" t="s">
        <v>112</v>
      </c>
      <c r="U57" s="100">
        <v>5</v>
      </c>
      <c r="W57" s="133">
        <v>42599</v>
      </c>
      <c r="X57" s="10">
        <v>155.46</v>
      </c>
      <c r="Y57" s="10">
        <v>155.54</v>
      </c>
      <c r="Z57" s="10">
        <v>153.66999999999999</v>
      </c>
      <c r="AA57" s="10">
        <v>154.66999999999999</v>
      </c>
      <c r="AB57" s="95">
        <v>916400</v>
      </c>
      <c r="AC57" s="10">
        <v>154.51</v>
      </c>
      <c r="AD57" s="2"/>
      <c r="AE57" s="138"/>
    </row>
    <row r="58" spans="15:31" x14ac:dyDescent="0.25">
      <c r="O58" s="83">
        <v>0.98</v>
      </c>
      <c r="P58" s="83">
        <f t="shared" si="0"/>
        <v>142.88400000000001</v>
      </c>
      <c r="Q58" s="2"/>
      <c r="T58" s="100" t="s">
        <v>109</v>
      </c>
      <c r="U58" s="100" t="s">
        <v>403</v>
      </c>
      <c r="W58" s="133">
        <v>42598</v>
      </c>
      <c r="X58" s="10">
        <v>155.62</v>
      </c>
      <c r="Y58" s="10">
        <v>155.96</v>
      </c>
      <c r="Z58" s="10">
        <v>154.97</v>
      </c>
      <c r="AA58" s="10">
        <v>154.97</v>
      </c>
      <c r="AB58" s="95">
        <v>861300</v>
      </c>
      <c r="AC58" s="10">
        <v>154.81</v>
      </c>
      <c r="AD58" s="2"/>
      <c r="AE58" s="138"/>
    </row>
    <row r="59" spans="15:31" x14ac:dyDescent="0.25">
      <c r="O59" s="83">
        <v>0.97</v>
      </c>
      <c r="P59" s="83">
        <f t="shared" si="0"/>
        <v>141.42600000000002</v>
      </c>
      <c r="W59" s="133">
        <v>42597</v>
      </c>
      <c r="X59" s="10">
        <v>155.69</v>
      </c>
      <c r="Y59" s="10">
        <v>156.46</v>
      </c>
      <c r="Z59" s="10">
        <v>155.29</v>
      </c>
      <c r="AA59" s="10">
        <v>155.97</v>
      </c>
      <c r="AB59" s="95">
        <v>959100</v>
      </c>
      <c r="AC59" s="10">
        <v>155.81</v>
      </c>
      <c r="AD59" s="2"/>
      <c r="AE59" s="138"/>
    </row>
    <row r="60" spans="15:31" x14ac:dyDescent="0.25">
      <c r="O60" s="83">
        <v>0.96</v>
      </c>
      <c r="P60" s="83">
        <f t="shared" si="0"/>
        <v>139.96800000000002</v>
      </c>
      <c r="W60" s="133">
        <v>42594</v>
      </c>
      <c r="X60" s="10">
        <v>156.77000000000001</v>
      </c>
      <c r="Y60" s="10">
        <v>156.84</v>
      </c>
      <c r="Z60" s="10">
        <v>155.05000000000001</v>
      </c>
      <c r="AA60" s="10">
        <v>155.49</v>
      </c>
      <c r="AB60" s="95">
        <v>864700</v>
      </c>
      <c r="AC60" s="10">
        <v>155.33000000000001</v>
      </c>
      <c r="AD60" s="2"/>
      <c r="AE60" s="138"/>
    </row>
    <row r="61" spans="15:31" x14ac:dyDescent="0.25">
      <c r="O61" s="83">
        <v>0.95</v>
      </c>
      <c r="P61" s="83">
        <f t="shared" si="0"/>
        <v>138.51</v>
      </c>
      <c r="W61" s="133">
        <v>42593</v>
      </c>
      <c r="X61" s="10">
        <v>156.24</v>
      </c>
      <c r="Y61" s="10">
        <v>157.55000000000001</v>
      </c>
      <c r="Z61" s="10">
        <v>155.84</v>
      </c>
      <c r="AA61" s="10">
        <v>157.46</v>
      </c>
      <c r="AB61" s="95">
        <v>781100</v>
      </c>
      <c r="AC61" s="10">
        <v>157.30000000000001</v>
      </c>
      <c r="AD61" s="2"/>
      <c r="AE61" s="138"/>
    </row>
    <row r="62" spans="15:31" x14ac:dyDescent="0.25">
      <c r="O62" s="83">
        <v>0.94</v>
      </c>
      <c r="P62" s="83">
        <f t="shared" si="0"/>
        <v>137.05199999999999</v>
      </c>
      <c r="W62" s="133">
        <v>42592</v>
      </c>
      <c r="X62" s="10">
        <v>156.79</v>
      </c>
      <c r="Y62" s="10">
        <v>157.37</v>
      </c>
      <c r="Z62" s="10">
        <v>155.6</v>
      </c>
      <c r="AA62" s="10">
        <v>156.01</v>
      </c>
      <c r="AB62" s="95">
        <v>687300</v>
      </c>
      <c r="AC62" s="10">
        <v>155.85</v>
      </c>
      <c r="AD62" s="2"/>
      <c r="AE62" s="138"/>
    </row>
    <row r="63" spans="15:31" x14ac:dyDescent="0.25">
      <c r="O63" s="83">
        <v>0.93</v>
      </c>
      <c r="P63" s="83">
        <f t="shared" si="0"/>
        <v>135.59400000000002</v>
      </c>
      <c r="W63" s="133">
        <v>42591</v>
      </c>
      <c r="X63" s="10">
        <v>156.54</v>
      </c>
      <c r="Y63" s="10">
        <v>157.25</v>
      </c>
      <c r="Z63" s="10">
        <v>156.25</v>
      </c>
      <c r="AA63" s="10">
        <v>156.68</v>
      </c>
      <c r="AB63" s="95">
        <v>584900</v>
      </c>
      <c r="AC63" s="10">
        <v>156.52000000000001</v>
      </c>
      <c r="AD63" s="2"/>
      <c r="AE63" s="138"/>
    </row>
    <row r="64" spans="15:31" x14ac:dyDescent="0.25">
      <c r="O64" s="83">
        <v>0.92</v>
      </c>
      <c r="P64" s="83">
        <f t="shared" si="0"/>
        <v>134.13600000000002</v>
      </c>
      <c r="W64" s="133">
        <v>42590</v>
      </c>
      <c r="X64" s="10">
        <v>157.44</v>
      </c>
      <c r="Y64" s="10">
        <v>157.81</v>
      </c>
      <c r="Z64" s="10">
        <v>156.16</v>
      </c>
      <c r="AA64" s="10">
        <v>156.52000000000001</v>
      </c>
      <c r="AB64" s="95">
        <v>833800</v>
      </c>
      <c r="AC64" s="10">
        <v>156.36000000000001</v>
      </c>
      <c r="AD64" s="2"/>
      <c r="AE64" s="138"/>
    </row>
    <row r="65" spans="15:31" x14ac:dyDescent="0.25">
      <c r="O65" s="83">
        <v>0.91</v>
      </c>
      <c r="P65" s="83">
        <f t="shared" si="0"/>
        <v>132.67800000000003</v>
      </c>
      <c r="W65" s="133">
        <v>42587</v>
      </c>
      <c r="X65" s="10">
        <v>157.32</v>
      </c>
      <c r="Y65" s="10">
        <v>157.81</v>
      </c>
      <c r="Z65" s="10">
        <v>156.82</v>
      </c>
      <c r="AA65" s="10">
        <v>157.51</v>
      </c>
      <c r="AB65" s="95">
        <v>935600</v>
      </c>
      <c r="AC65" s="10">
        <v>157.35</v>
      </c>
      <c r="AD65" s="2"/>
      <c r="AE65" s="138"/>
    </row>
    <row r="66" spans="15:31" x14ac:dyDescent="0.25">
      <c r="O66" s="83">
        <v>0.9</v>
      </c>
      <c r="P66" s="83">
        <f t="shared" si="0"/>
        <v>131.22000000000003</v>
      </c>
      <c r="W66" s="133">
        <v>42586</v>
      </c>
      <c r="X66" s="10">
        <v>156.62</v>
      </c>
      <c r="Y66" s="10">
        <v>157.69</v>
      </c>
      <c r="Z66" s="10">
        <v>156.25</v>
      </c>
      <c r="AA66" s="10">
        <v>156.41999999999999</v>
      </c>
      <c r="AB66" s="95">
        <v>893300</v>
      </c>
      <c r="AC66" s="10">
        <v>156.26</v>
      </c>
      <c r="AD66" s="2"/>
      <c r="AE66" s="138"/>
    </row>
    <row r="67" spans="15:31" x14ac:dyDescent="0.25">
      <c r="W67" s="133">
        <v>42585</v>
      </c>
      <c r="X67" s="10">
        <v>156.83000000000001</v>
      </c>
      <c r="Y67" s="10">
        <v>156.83000000000001</v>
      </c>
      <c r="Z67" s="10">
        <v>155.66999999999999</v>
      </c>
      <c r="AA67" s="10">
        <v>156</v>
      </c>
      <c r="AB67" s="95">
        <v>1039700</v>
      </c>
      <c r="AC67" s="10">
        <v>155.84</v>
      </c>
      <c r="AD67" s="2"/>
      <c r="AE67" s="138"/>
    </row>
    <row r="68" spans="15:31" x14ac:dyDescent="0.25">
      <c r="W68" s="133">
        <v>42584</v>
      </c>
      <c r="X68" s="10">
        <v>159.53</v>
      </c>
      <c r="Y68" s="10">
        <v>159.79</v>
      </c>
      <c r="Z68" s="10">
        <v>155.88999999999999</v>
      </c>
      <c r="AA68" s="10">
        <v>156.44</v>
      </c>
      <c r="AB68" s="95">
        <v>1711300</v>
      </c>
      <c r="AC68" s="10">
        <v>156.28</v>
      </c>
      <c r="AD68" s="2"/>
      <c r="AE68" s="138"/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159</v>
      </c>
      <c r="AJ1" s="11" t="s">
        <v>160</v>
      </c>
      <c r="AK1" s="11" t="s">
        <v>161</v>
      </c>
      <c r="AL1" s="11" t="s">
        <v>162</v>
      </c>
      <c r="AO1" s="11" t="s">
        <v>163</v>
      </c>
      <c r="AP1" s="11" t="s">
        <v>59</v>
      </c>
      <c r="AQ1" s="11" t="s">
        <v>165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144</v>
      </c>
      <c r="W2" s="133">
        <v>42676</v>
      </c>
      <c r="X2" s="10">
        <v>32.549999999999997</v>
      </c>
      <c r="Y2" s="10">
        <v>32.65</v>
      </c>
      <c r="Z2" s="10">
        <v>31.95</v>
      </c>
      <c r="AA2" s="10">
        <v>32.049999999999997</v>
      </c>
      <c r="AB2" s="95">
        <v>537400</v>
      </c>
      <c r="AC2" s="10">
        <v>32.049999999999997</v>
      </c>
      <c r="AD2" s="2">
        <f>Y2-Z2</f>
        <v>0.69999999999999929</v>
      </c>
      <c r="AE2" s="138">
        <f>AC2/AC3-1</f>
        <v>-1.6871165644171904E-2</v>
      </c>
      <c r="AP2" t="s">
        <v>164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32.049999999999997</v>
      </c>
      <c r="W3" s="133">
        <v>42675</v>
      </c>
      <c r="X3" s="10">
        <v>33.4</v>
      </c>
      <c r="Y3" s="10">
        <v>33.4</v>
      </c>
      <c r="Z3" s="10">
        <v>32.450000000000003</v>
      </c>
      <c r="AA3" s="10">
        <v>32.6</v>
      </c>
      <c r="AB3" s="95">
        <v>504600</v>
      </c>
      <c r="AC3" s="10">
        <v>32.6</v>
      </c>
      <c r="AD3" s="2">
        <f t="shared" ref="AD3:AD66" si="0">Y3-Z3</f>
        <v>0.94999999999999574</v>
      </c>
      <c r="AE3" s="138">
        <f t="shared" ref="AE3:AE66" si="1">AC3/AC4-1</f>
        <v>-1.3615733736762392E-2</v>
      </c>
      <c r="AI3" t="s">
        <v>172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32.049999999999997</v>
      </c>
      <c r="R4" s="527">
        <v>-1.6899999999999998E-2</v>
      </c>
      <c r="W4" s="133">
        <v>42674</v>
      </c>
      <c r="X4" s="10">
        <v>33.15</v>
      </c>
      <c r="Y4" s="10">
        <v>33.450000000000003</v>
      </c>
      <c r="Z4" s="10">
        <v>32.979999999999997</v>
      </c>
      <c r="AA4" s="10">
        <v>33.049999999999997</v>
      </c>
      <c r="AB4" s="95">
        <v>667900</v>
      </c>
      <c r="AC4" s="10">
        <v>33.049999999999997</v>
      </c>
      <c r="AD4" s="2">
        <f t="shared" si="0"/>
        <v>0.47000000000000597</v>
      </c>
      <c r="AE4" s="138">
        <f t="shared" si="1"/>
        <v>2.1224984839296468E-3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42671</v>
      </c>
      <c r="X5" s="10">
        <v>32.869999999999997</v>
      </c>
      <c r="Y5" s="10">
        <v>33.479999999999997</v>
      </c>
      <c r="Z5" s="10">
        <v>32.869999999999997</v>
      </c>
      <c r="AA5" s="10">
        <v>32.979999999999997</v>
      </c>
      <c r="AB5" s="95">
        <v>864900</v>
      </c>
      <c r="AC5" s="10">
        <v>32.979999999999997</v>
      </c>
      <c r="AD5" s="2">
        <f t="shared" si="0"/>
        <v>0.60999999999999943</v>
      </c>
      <c r="AE5" s="138">
        <f t="shared" si="1"/>
        <v>-6.6265060240965346E-3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42670</v>
      </c>
      <c r="X6" s="10">
        <v>34.74</v>
      </c>
      <c r="Y6" s="10">
        <v>34.74</v>
      </c>
      <c r="Z6" s="10">
        <v>32.83</v>
      </c>
      <c r="AA6" s="10">
        <v>33.200000000000003</v>
      </c>
      <c r="AB6" s="95">
        <v>1290900</v>
      </c>
      <c r="AC6" s="10">
        <v>33.200000000000003</v>
      </c>
      <c r="AD6" s="2">
        <f t="shared" si="0"/>
        <v>1.9100000000000037</v>
      </c>
      <c r="AE6" s="138">
        <f t="shared" si="1"/>
        <v>-5.0071530758226013E-2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184</v>
      </c>
      <c r="Q7" s="2">
        <f>Q10+Q8</f>
        <v>529.88000000000284</v>
      </c>
      <c r="R7">
        <v>0</v>
      </c>
      <c r="W7" s="133">
        <v>42669</v>
      </c>
      <c r="X7" s="10">
        <v>34.35</v>
      </c>
      <c r="Y7" s="10">
        <v>35.33</v>
      </c>
      <c r="Z7" s="10">
        <v>34.35</v>
      </c>
      <c r="AA7" s="10">
        <v>34.950000000000003</v>
      </c>
      <c r="AB7" s="95">
        <v>997700</v>
      </c>
      <c r="AC7" s="10">
        <v>34.950000000000003</v>
      </c>
      <c r="AD7" s="2">
        <f t="shared" si="0"/>
        <v>0.97999999999999687</v>
      </c>
      <c r="AE7" s="138">
        <f t="shared" si="1"/>
        <v>1.0407632263659927E-2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42668</v>
      </c>
      <c r="X8" s="10">
        <v>34.32</v>
      </c>
      <c r="Y8" s="10">
        <v>34.72</v>
      </c>
      <c r="Z8" s="10">
        <v>34.159999999999997</v>
      </c>
      <c r="AA8" s="10">
        <v>34.590000000000003</v>
      </c>
      <c r="AB8" s="95">
        <v>592800</v>
      </c>
      <c r="AC8" s="10">
        <v>34.590000000000003</v>
      </c>
      <c r="AD8" s="2">
        <f t="shared" si="0"/>
        <v>0.56000000000000227</v>
      </c>
      <c r="AE8" s="138">
        <f t="shared" si="1"/>
        <v>5.5232558139535204E-3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219</v>
      </c>
      <c r="Q9" s="138">
        <f>IF(Q2=0, 0, Q8/Q6)</f>
        <v>0</v>
      </c>
      <c r="W9" s="133">
        <v>42667</v>
      </c>
      <c r="X9" s="10">
        <v>34.950000000000003</v>
      </c>
      <c r="Y9" s="10">
        <v>35.11</v>
      </c>
      <c r="Z9" s="10">
        <v>34.19</v>
      </c>
      <c r="AA9" s="10">
        <v>34.4</v>
      </c>
      <c r="AB9" s="95">
        <v>423700</v>
      </c>
      <c r="AC9" s="10">
        <v>34.4</v>
      </c>
      <c r="AD9" s="2">
        <f t="shared" si="0"/>
        <v>0.92000000000000171</v>
      </c>
      <c r="AE9" s="138">
        <f t="shared" si="1"/>
        <v>-1.7411491584445882E-3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218</v>
      </c>
      <c r="P10" s="34"/>
      <c r="Q10" s="2">
        <f>M36</f>
        <v>529.88000000000284</v>
      </c>
      <c r="W10" s="133">
        <v>42664</v>
      </c>
      <c r="X10" s="10">
        <v>33.92</v>
      </c>
      <c r="Y10" s="10">
        <v>34.65</v>
      </c>
      <c r="Z10" s="10">
        <v>33.47</v>
      </c>
      <c r="AA10" s="10">
        <v>34.46</v>
      </c>
      <c r="AB10" s="95">
        <v>548300</v>
      </c>
      <c r="AC10" s="10">
        <v>34.46</v>
      </c>
      <c r="AD10" s="2">
        <f t="shared" si="0"/>
        <v>1.1799999999999997</v>
      </c>
      <c r="AE10" s="138">
        <f t="shared" si="1"/>
        <v>7.307804735457557E-3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181</v>
      </c>
      <c r="P11" s="34"/>
      <c r="Q11" s="138">
        <f>IF(U58="N/A (N/A)", 0, VALUE(TRIM(CLEAN(MID(U58, FIND("(", U58)+1, 5)))))</f>
        <v>3.15E-2</v>
      </c>
      <c r="W11" s="133">
        <v>42663</v>
      </c>
      <c r="X11" s="10">
        <v>34.369999999999997</v>
      </c>
      <c r="Y11" s="10">
        <v>34.69</v>
      </c>
      <c r="Z11" s="10">
        <v>34.119999999999997</v>
      </c>
      <c r="AA11" s="10">
        <v>34.21</v>
      </c>
      <c r="AB11" s="95">
        <v>354700</v>
      </c>
      <c r="AC11" s="10">
        <v>34.21</v>
      </c>
      <c r="AD11" s="2">
        <f t="shared" si="0"/>
        <v>0.57000000000000028</v>
      </c>
      <c r="AE11" s="138">
        <f t="shared" si="1"/>
        <v>-1.0985834056085664E-2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42662</v>
      </c>
      <c r="X12" s="10">
        <v>34.729999999999997</v>
      </c>
      <c r="Y12" s="10">
        <v>34.75</v>
      </c>
      <c r="Z12" s="10">
        <v>34.14</v>
      </c>
      <c r="AA12" s="10">
        <v>34.590000000000003</v>
      </c>
      <c r="AB12" s="95">
        <v>743400</v>
      </c>
      <c r="AC12" s="10">
        <v>34.590000000000003</v>
      </c>
      <c r="AD12" s="2">
        <f t="shared" si="0"/>
        <v>0.60999999999999943</v>
      </c>
      <c r="AE12" s="138">
        <f t="shared" si="1"/>
        <v>-1.7316017316015841E-3</v>
      </c>
    </row>
    <row r="13" spans="1:43" x14ac:dyDescent="0.25">
      <c r="W13" s="133">
        <v>42661</v>
      </c>
      <c r="X13" s="10">
        <v>35.1</v>
      </c>
      <c r="Y13" s="10">
        <v>35.11</v>
      </c>
      <c r="Z13" s="10">
        <v>34.340000000000003</v>
      </c>
      <c r="AA13" s="10">
        <v>34.65</v>
      </c>
      <c r="AB13" s="95">
        <v>348700</v>
      </c>
      <c r="AC13" s="10">
        <v>34.65</v>
      </c>
      <c r="AD13" s="2">
        <f t="shared" si="0"/>
        <v>0.76999999999999602</v>
      </c>
      <c r="AE13" s="138">
        <f t="shared" si="1"/>
        <v>3.7659327925838593E-3</v>
      </c>
    </row>
    <row r="14" spans="1:43" x14ac:dyDescent="0.25">
      <c r="W14" s="133">
        <v>42660</v>
      </c>
      <c r="X14" s="10">
        <v>34.380000000000003</v>
      </c>
      <c r="Y14" s="10">
        <v>34.78</v>
      </c>
      <c r="Z14" s="10">
        <v>34.369999999999997</v>
      </c>
      <c r="AA14" s="10">
        <v>34.520000000000003</v>
      </c>
      <c r="AB14" s="95">
        <v>289600</v>
      </c>
      <c r="AC14" s="10">
        <v>34.520000000000003</v>
      </c>
      <c r="AD14" s="2">
        <f t="shared" si="0"/>
        <v>0.41000000000000369</v>
      </c>
      <c r="AE14" s="138">
        <f t="shared" si="1"/>
        <v>2.9052876234747504E-3</v>
      </c>
    </row>
    <row r="15" spans="1:43" x14ac:dyDescent="0.25">
      <c r="W15" s="133">
        <v>42657</v>
      </c>
      <c r="X15" s="10">
        <v>34.67</v>
      </c>
      <c r="Y15" s="10">
        <v>34.76</v>
      </c>
      <c r="Z15" s="10">
        <v>34.130000000000003</v>
      </c>
      <c r="AA15" s="10">
        <v>34.42</v>
      </c>
      <c r="AB15" s="95">
        <v>383600</v>
      </c>
      <c r="AC15" s="10">
        <v>34.42</v>
      </c>
      <c r="AD15" s="2">
        <f t="shared" si="0"/>
        <v>0.62999999999999545</v>
      </c>
      <c r="AE15" s="138">
        <f t="shared" si="1"/>
        <v>4.6701692936370609E-3</v>
      </c>
    </row>
    <row r="16" spans="1:43" x14ac:dyDescent="0.25">
      <c r="W16" s="133">
        <v>42656</v>
      </c>
      <c r="X16" s="10">
        <v>34.21</v>
      </c>
      <c r="Y16" s="10">
        <v>34.42</v>
      </c>
      <c r="Z16" s="10">
        <v>34.020000000000003</v>
      </c>
      <c r="AA16" s="10">
        <v>34.26</v>
      </c>
      <c r="AB16" s="95">
        <v>326900</v>
      </c>
      <c r="AC16" s="10">
        <v>34.26</v>
      </c>
      <c r="AD16" s="2">
        <f t="shared" si="0"/>
        <v>0.39999999999999858</v>
      </c>
      <c r="AE16" s="138">
        <f t="shared" si="1"/>
        <v>-1.2964563526361328E-2</v>
      </c>
    </row>
    <row r="17" spans="1:31" x14ac:dyDescent="0.25">
      <c r="W17" s="133">
        <v>42655</v>
      </c>
      <c r="X17" s="10">
        <v>34.54</v>
      </c>
      <c r="Y17" s="10">
        <v>34.880000000000003</v>
      </c>
      <c r="Z17" s="10">
        <v>34.21</v>
      </c>
      <c r="AA17" s="10">
        <v>34.71</v>
      </c>
      <c r="AB17" s="95">
        <v>383000</v>
      </c>
      <c r="AC17" s="10">
        <v>34.71</v>
      </c>
      <c r="AD17" s="2">
        <f t="shared" si="0"/>
        <v>0.67000000000000171</v>
      </c>
      <c r="AE17" s="138">
        <f t="shared" si="1"/>
        <v>6.3786604812989811E-3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42654</v>
      </c>
      <c r="X18" s="10">
        <v>34.69</v>
      </c>
      <c r="Y18" s="10">
        <v>34.840000000000003</v>
      </c>
      <c r="Z18" s="10">
        <v>34.340000000000003</v>
      </c>
      <c r="AA18" s="10">
        <v>34.49</v>
      </c>
      <c r="AB18" s="95">
        <v>372900</v>
      </c>
      <c r="AC18" s="10">
        <v>34.49</v>
      </c>
      <c r="AD18" s="2">
        <f t="shared" si="0"/>
        <v>0.5</v>
      </c>
      <c r="AE18" s="138">
        <f t="shared" si="1"/>
        <v>-1.1464603038119803E-2</v>
      </c>
    </row>
    <row r="19" spans="1:31" x14ac:dyDescent="0.25">
      <c r="W19" s="133">
        <v>42653</v>
      </c>
      <c r="X19" s="10">
        <v>35.07</v>
      </c>
      <c r="Y19" s="10">
        <v>35.409999999999997</v>
      </c>
      <c r="Z19" s="10">
        <v>34.79</v>
      </c>
      <c r="AA19" s="10">
        <v>34.89</v>
      </c>
      <c r="AB19" s="95">
        <v>439000</v>
      </c>
      <c r="AC19" s="10">
        <v>34.89</v>
      </c>
      <c r="AD19" s="2">
        <f t="shared" si="0"/>
        <v>0.61999999999999744</v>
      </c>
      <c r="AE19" s="138">
        <f t="shared" si="1"/>
        <v>-1.7167381974249052E-3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4" t="s">
        <v>158</v>
      </c>
      <c r="W20" s="133">
        <v>42650</v>
      </c>
      <c r="X20" s="10">
        <v>35.83</v>
      </c>
      <c r="Y20" s="10">
        <v>35.83</v>
      </c>
      <c r="Z20" s="10">
        <v>34.61</v>
      </c>
      <c r="AA20" s="10">
        <v>34.950000000000003</v>
      </c>
      <c r="AB20" s="95">
        <v>626100</v>
      </c>
      <c r="AC20" s="10">
        <v>34.950000000000003</v>
      </c>
      <c r="AD20" s="2">
        <f t="shared" si="0"/>
        <v>1.2199999999999989</v>
      </c>
      <c r="AE20" s="138">
        <f t="shared" si="1"/>
        <v>-2.5648173961527632E-2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42649</v>
      </c>
      <c r="X21" s="10">
        <v>35.270000000000003</v>
      </c>
      <c r="Y21" s="10">
        <v>35.869999999999997</v>
      </c>
      <c r="Z21" s="10">
        <v>35.11</v>
      </c>
      <c r="AA21" s="10">
        <v>35.869999999999997</v>
      </c>
      <c r="AB21" s="95">
        <v>485500</v>
      </c>
      <c r="AC21" s="10">
        <v>35.869999999999997</v>
      </c>
      <c r="AD21" s="2">
        <f t="shared" si="0"/>
        <v>0.75999999999999801</v>
      </c>
      <c r="AE21" s="138">
        <f t="shared" si="1"/>
        <v>1.299068059870101E-2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42648</v>
      </c>
      <c r="X22" s="10">
        <v>34.75</v>
      </c>
      <c r="Y22" s="10">
        <v>35.44</v>
      </c>
      <c r="Z22" s="10">
        <v>34.75</v>
      </c>
      <c r="AA22" s="10">
        <v>35.409999999999997</v>
      </c>
      <c r="AB22" s="95">
        <v>414900</v>
      </c>
      <c r="AC22" s="10">
        <v>35.409999999999997</v>
      </c>
      <c r="AD22" s="2">
        <f t="shared" si="0"/>
        <v>0.68999999999999773</v>
      </c>
      <c r="AE22" s="138">
        <f t="shared" si="1"/>
        <v>2.4594907407407218E-2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42647</v>
      </c>
      <c r="X23" s="10">
        <v>35</v>
      </c>
      <c r="Y23" s="10">
        <v>35.229999999999997</v>
      </c>
      <c r="Z23" s="10">
        <v>34.479999999999997</v>
      </c>
      <c r="AA23" s="10">
        <v>34.56</v>
      </c>
      <c r="AB23" s="95">
        <v>447300</v>
      </c>
      <c r="AC23" s="10">
        <v>34.56</v>
      </c>
      <c r="AD23" s="2">
        <f t="shared" si="0"/>
        <v>0.75</v>
      </c>
      <c r="AE23" s="138">
        <f t="shared" si="1"/>
        <v>-9.1743119266055606E-3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42646</v>
      </c>
      <c r="X24" s="10">
        <v>34.950000000000003</v>
      </c>
      <c r="Y24" s="10">
        <v>35.270000000000003</v>
      </c>
      <c r="Z24" s="10">
        <v>34.79</v>
      </c>
      <c r="AA24" s="10">
        <v>34.880000000000003</v>
      </c>
      <c r="AB24" s="95">
        <v>507700</v>
      </c>
      <c r="AC24" s="10">
        <v>34.880000000000003</v>
      </c>
      <c r="AD24" s="2">
        <f t="shared" si="0"/>
        <v>0.48000000000000398</v>
      </c>
      <c r="AE24" s="138">
        <f t="shared" si="1"/>
        <v>-7.3989755264655122E-3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42643</v>
      </c>
      <c r="X25" s="10">
        <v>34.65</v>
      </c>
      <c r="Y25" s="10">
        <v>35.28</v>
      </c>
      <c r="Z25" s="10">
        <v>34.6</v>
      </c>
      <c r="AA25" s="10">
        <v>35.14</v>
      </c>
      <c r="AB25" s="95">
        <v>632900</v>
      </c>
      <c r="AC25" s="10">
        <v>35.14</v>
      </c>
      <c r="AD25" s="2">
        <f t="shared" si="0"/>
        <v>0.67999999999999972</v>
      </c>
      <c r="AE25" s="138">
        <f t="shared" si="1"/>
        <v>1.678240740740744E-2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42642</v>
      </c>
      <c r="X26" s="10">
        <v>34.5</v>
      </c>
      <c r="Y26" s="10">
        <v>34.950000000000003</v>
      </c>
      <c r="Z26" s="10">
        <v>34.46</v>
      </c>
      <c r="AA26" s="10">
        <v>34.56</v>
      </c>
      <c r="AB26" s="95">
        <v>562400</v>
      </c>
      <c r="AC26" s="10">
        <v>34.56</v>
      </c>
      <c r="AD26" s="2">
        <f t="shared" si="0"/>
        <v>0.49000000000000199</v>
      </c>
      <c r="AE26" s="138">
        <f t="shared" si="1"/>
        <v>-3.7474776592676395E-3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42641</v>
      </c>
      <c r="X27" s="10">
        <v>34.04</v>
      </c>
      <c r="Y27" s="10">
        <v>34.71</v>
      </c>
      <c r="Z27" s="10">
        <v>33.86</v>
      </c>
      <c r="AA27" s="10">
        <v>34.69</v>
      </c>
      <c r="AB27" s="95">
        <v>366500</v>
      </c>
      <c r="AC27" s="10">
        <v>34.69</v>
      </c>
      <c r="AD27" s="2">
        <f t="shared" si="0"/>
        <v>0.85000000000000142</v>
      </c>
      <c r="AE27" s="138">
        <f t="shared" si="1"/>
        <v>2.602780242531777E-2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42640</v>
      </c>
      <c r="X28" s="10">
        <v>33.29</v>
      </c>
      <c r="Y28" s="10">
        <v>33.89</v>
      </c>
      <c r="Z28" s="10">
        <v>33.29</v>
      </c>
      <c r="AA28" s="10">
        <v>33.81</v>
      </c>
      <c r="AB28" s="95">
        <v>553900</v>
      </c>
      <c r="AC28" s="10">
        <v>33.81</v>
      </c>
      <c r="AD28" s="2">
        <f t="shared" si="0"/>
        <v>0.60000000000000142</v>
      </c>
      <c r="AE28" s="138">
        <f t="shared" si="1"/>
        <v>5.6513979773944456E-3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42639</v>
      </c>
      <c r="X29" s="10">
        <v>33.159999999999997</v>
      </c>
      <c r="Y29" s="10">
        <v>33.76</v>
      </c>
      <c r="Z29" s="10">
        <v>32.96</v>
      </c>
      <c r="AA29" s="10">
        <v>33.619999999999997</v>
      </c>
      <c r="AB29" s="95">
        <v>666100</v>
      </c>
      <c r="AC29" s="10">
        <v>33.619999999999997</v>
      </c>
      <c r="AD29" s="2">
        <f t="shared" si="0"/>
        <v>0.79999999999999716</v>
      </c>
      <c r="AE29" s="138">
        <f t="shared" si="1"/>
        <v>1.0823812387251941E-2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42636</v>
      </c>
      <c r="X30" s="10">
        <v>33.49</v>
      </c>
      <c r="Y30" s="10">
        <v>33.64</v>
      </c>
      <c r="Z30" s="10">
        <v>33.020000000000003</v>
      </c>
      <c r="AA30" s="10">
        <v>33.26</v>
      </c>
      <c r="AB30" s="95">
        <v>411600</v>
      </c>
      <c r="AC30" s="10">
        <v>33.26</v>
      </c>
      <c r="AD30" s="2">
        <f t="shared" si="0"/>
        <v>0.61999999999999744</v>
      </c>
      <c r="AE30" s="138">
        <f t="shared" si="1"/>
        <v>-1.2177012177012281E-2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42635</v>
      </c>
      <c r="X31" s="10">
        <v>33.340000000000003</v>
      </c>
      <c r="Y31" s="10">
        <v>33.68</v>
      </c>
      <c r="Z31" s="10">
        <v>33.25</v>
      </c>
      <c r="AA31" s="10">
        <v>33.67</v>
      </c>
      <c r="AB31" s="95">
        <v>549100</v>
      </c>
      <c r="AC31" s="10">
        <v>33.67</v>
      </c>
      <c r="AD31" s="2">
        <f t="shared" si="0"/>
        <v>0.42999999999999972</v>
      </c>
      <c r="AE31" s="138">
        <f t="shared" si="1"/>
        <v>2.2471910112359605E-2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42634</v>
      </c>
      <c r="X32" s="10">
        <v>32.409999999999997</v>
      </c>
      <c r="Y32" s="10">
        <v>32.950000000000003</v>
      </c>
      <c r="Z32" s="10">
        <v>32.29</v>
      </c>
      <c r="AA32" s="10">
        <v>32.93</v>
      </c>
      <c r="AB32" s="95">
        <v>363400</v>
      </c>
      <c r="AC32" s="10">
        <v>32.93</v>
      </c>
      <c r="AD32" s="2">
        <f t="shared" si="0"/>
        <v>0.66000000000000369</v>
      </c>
      <c r="AE32" s="138">
        <f t="shared" si="1"/>
        <v>2.2036002482929806E-2</v>
      </c>
    </row>
    <row r="33" spans="1:31" x14ac:dyDescent="0.25">
      <c r="W33" s="133">
        <v>42633</v>
      </c>
      <c r="X33" s="10">
        <v>32.6</v>
      </c>
      <c r="Y33" s="10">
        <v>32.64</v>
      </c>
      <c r="Z33" s="10">
        <v>32.22</v>
      </c>
      <c r="AA33" s="10">
        <v>32.22</v>
      </c>
      <c r="AB33" s="95">
        <v>356500</v>
      </c>
      <c r="AC33" s="10">
        <v>32.22</v>
      </c>
      <c r="AD33" s="2">
        <f t="shared" si="0"/>
        <v>0.42000000000000171</v>
      </c>
      <c r="AE33" s="138">
        <f t="shared" si="1"/>
        <v>-6.781750924784169E-3</v>
      </c>
    </row>
    <row r="34" spans="1:31" x14ac:dyDescent="0.25">
      <c r="W34" s="133">
        <v>42632</v>
      </c>
      <c r="X34" s="10">
        <v>32.61</v>
      </c>
      <c r="Y34" s="10">
        <v>32.840000000000003</v>
      </c>
      <c r="Z34" s="10">
        <v>32.270000000000003</v>
      </c>
      <c r="AA34" s="10">
        <v>32.44</v>
      </c>
      <c r="AB34" s="95">
        <v>690600</v>
      </c>
      <c r="AC34" s="10">
        <v>32.44</v>
      </c>
      <c r="AD34" s="2">
        <f t="shared" si="0"/>
        <v>0.57000000000000028</v>
      </c>
      <c r="AE34" s="138">
        <f t="shared" si="1"/>
        <v>8.39291265153852E-3</v>
      </c>
    </row>
    <row r="35" spans="1:31" x14ac:dyDescent="0.25">
      <c r="W35" s="133">
        <v>42629</v>
      </c>
      <c r="X35" s="10">
        <v>32.200000000000003</v>
      </c>
      <c r="Y35" s="10">
        <v>32.369999999999997</v>
      </c>
      <c r="Z35" s="10">
        <v>31.86</v>
      </c>
      <c r="AA35" s="10">
        <v>32.17</v>
      </c>
      <c r="AB35" s="95">
        <v>697200</v>
      </c>
      <c r="AC35" s="10">
        <v>32.17</v>
      </c>
      <c r="AD35" s="2">
        <f t="shared" si="0"/>
        <v>0.50999999999999801</v>
      </c>
      <c r="AE35" s="138">
        <f t="shared" si="1"/>
        <v>-1.1066707654472818E-2</v>
      </c>
    </row>
    <row r="36" spans="1:31" x14ac:dyDescent="0.25">
      <c r="L36" t="s">
        <v>218</v>
      </c>
      <c r="M36" s="2">
        <f>M47+K47-F47</f>
        <v>529.88000000000284</v>
      </c>
      <c r="W36" s="133">
        <v>42628</v>
      </c>
      <c r="X36" s="10">
        <v>31.92</v>
      </c>
      <c r="Y36" s="10">
        <v>32.590000000000003</v>
      </c>
      <c r="Z36" s="10">
        <v>31.76</v>
      </c>
      <c r="AA36" s="10">
        <v>32.53</v>
      </c>
      <c r="AB36" s="95">
        <v>660300</v>
      </c>
      <c r="AC36" s="10">
        <v>32.53</v>
      </c>
      <c r="AD36" s="2">
        <f t="shared" si="0"/>
        <v>0.83000000000000185</v>
      </c>
      <c r="AE36" s="138">
        <f t="shared" si="1"/>
        <v>2.0709130844053902E-2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0" t="s">
        <v>5</v>
      </c>
      <c r="E37" s="392" t="s">
        <v>94</v>
      </c>
      <c r="F37" s="390" t="s">
        <v>60</v>
      </c>
      <c r="G37" s="390" t="s">
        <v>3</v>
      </c>
      <c r="H37" s="390" t="s">
        <v>6</v>
      </c>
      <c r="I37" s="390" t="s">
        <v>7</v>
      </c>
      <c r="J37" s="390" t="s">
        <v>95</v>
      </c>
      <c r="K37" s="390" t="s">
        <v>61</v>
      </c>
      <c r="L37" s="390" t="s">
        <v>77</v>
      </c>
      <c r="M37" s="390" t="s">
        <v>38</v>
      </c>
      <c r="W37" s="133">
        <v>42627</v>
      </c>
      <c r="X37" s="10">
        <v>32.42</v>
      </c>
      <c r="Y37" s="10">
        <v>32.56</v>
      </c>
      <c r="Z37" s="10">
        <v>31.71</v>
      </c>
      <c r="AA37" s="10">
        <v>31.87</v>
      </c>
      <c r="AB37" s="95">
        <v>583300</v>
      </c>
      <c r="AC37" s="10">
        <v>31.87</v>
      </c>
      <c r="AD37" s="2">
        <f t="shared" si="0"/>
        <v>0.85000000000000142</v>
      </c>
      <c r="AE37" s="138">
        <f t="shared" si="1"/>
        <v>-1.4837712519319979E-2</v>
      </c>
    </row>
    <row r="38" spans="1:31" x14ac:dyDescent="0.25">
      <c r="A38" s="393" t="s">
        <v>39</v>
      </c>
      <c r="B38" s="383">
        <v>42179</v>
      </c>
      <c r="C38" s="384">
        <v>10</v>
      </c>
      <c r="D38" s="385">
        <v>37.799999999999997</v>
      </c>
      <c r="E38" s="385">
        <v>0</v>
      </c>
      <c r="F38" s="385">
        <f t="shared" ref="F38:F45" si="4">C38*D38</f>
        <v>378</v>
      </c>
      <c r="G38" s="383">
        <v>42310</v>
      </c>
      <c r="H38" s="388">
        <v>170</v>
      </c>
      <c r="I38" s="385">
        <v>30.28</v>
      </c>
      <c r="J38" s="385">
        <v>7.04</v>
      </c>
      <c r="K38" s="384">
        <f>H38*I38-J38</f>
        <v>5140.5600000000004</v>
      </c>
      <c r="L38" s="383">
        <v>42250</v>
      </c>
      <c r="M38" s="385">
        <v>20.8</v>
      </c>
      <c r="W38" s="133">
        <v>42626</v>
      </c>
      <c r="X38" s="10">
        <v>32.799999999999997</v>
      </c>
      <c r="Y38" s="10">
        <v>33.08</v>
      </c>
      <c r="Z38" s="10">
        <v>32.049999999999997</v>
      </c>
      <c r="AA38" s="10">
        <v>32.35</v>
      </c>
      <c r="AB38" s="95">
        <v>615400</v>
      </c>
      <c r="AC38" s="10">
        <v>32.35</v>
      </c>
      <c r="AD38" s="2">
        <f t="shared" si="0"/>
        <v>1.0300000000000011</v>
      </c>
      <c r="AE38" s="138">
        <f t="shared" si="1"/>
        <v>-3.0566376985316057E-2</v>
      </c>
    </row>
    <row r="39" spans="1:31" x14ac:dyDescent="0.25">
      <c r="A39" s="394" t="s">
        <v>71</v>
      </c>
      <c r="B39" s="383">
        <v>42194</v>
      </c>
      <c r="C39" s="384">
        <v>10</v>
      </c>
      <c r="D39" s="385">
        <v>35.5</v>
      </c>
      <c r="E39" s="385">
        <v>0</v>
      </c>
      <c r="F39" s="385">
        <f t="shared" si="4"/>
        <v>355</v>
      </c>
      <c r="G39" s="383">
        <v>42314</v>
      </c>
      <c r="H39" s="388">
        <v>80</v>
      </c>
      <c r="I39" s="385">
        <v>32.5</v>
      </c>
      <c r="J39" s="385">
        <v>0.05</v>
      </c>
      <c r="K39" s="384">
        <f>H39*I39-J39</f>
        <v>2599.9499999999998</v>
      </c>
      <c r="L39" s="383">
        <v>42345</v>
      </c>
      <c r="M39" s="385">
        <v>23.4</v>
      </c>
      <c r="W39" s="133">
        <v>42625</v>
      </c>
      <c r="X39" s="10">
        <v>32.33</v>
      </c>
      <c r="Y39" s="10">
        <v>33.5</v>
      </c>
      <c r="Z39" s="10">
        <v>32.33</v>
      </c>
      <c r="AA39" s="10">
        <v>33.369999999999997</v>
      </c>
      <c r="AB39" s="95">
        <v>488600</v>
      </c>
      <c r="AC39" s="10">
        <v>33.369999999999997</v>
      </c>
      <c r="AD39" s="2">
        <f t="shared" si="0"/>
        <v>1.1700000000000017</v>
      </c>
      <c r="AE39" s="138">
        <f t="shared" si="1"/>
        <v>1.8931297709923633E-2</v>
      </c>
    </row>
    <row r="40" spans="1:31" x14ac:dyDescent="0.25">
      <c r="A40" s="384"/>
      <c r="B40" s="383">
        <v>42230</v>
      </c>
      <c r="C40" s="384">
        <v>20</v>
      </c>
      <c r="D40" s="385">
        <v>32.9</v>
      </c>
      <c r="E40" s="385">
        <v>0</v>
      </c>
      <c r="F40" s="385">
        <f t="shared" si="4"/>
        <v>658</v>
      </c>
      <c r="G40" s="383">
        <v>42010</v>
      </c>
      <c r="H40" s="388">
        <v>40</v>
      </c>
      <c r="I40" s="384">
        <v>28.92</v>
      </c>
      <c r="J40" s="385">
        <v>0.02</v>
      </c>
      <c r="K40" s="384">
        <f>H40*I40-J40</f>
        <v>1156.7800000000002</v>
      </c>
      <c r="L40" s="384"/>
      <c r="M40" s="384"/>
      <c r="W40" s="133">
        <v>42622</v>
      </c>
      <c r="X40" s="10">
        <v>33.479999999999997</v>
      </c>
      <c r="Y40" s="10">
        <v>33.49</v>
      </c>
      <c r="Z40" s="10">
        <v>32.74</v>
      </c>
      <c r="AA40" s="10">
        <v>32.75</v>
      </c>
      <c r="AB40" s="95">
        <v>1094200</v>
      </c>
      <c r="AC40" s="10">
        <v>32.75</v>
      </c>
      <c r="AD40" s="2">
        <f t="shared" si="0"/>
        <v>0.75</v>
      </c>
      <c r="AE40" s="138">
        <f t="shared" si="1"/>
        <v>-2.7612826603325424E-2</v>
      </c>
    </row>
    <row r="41" spans="1:31" x14ac:dyDescent="0.25">
      <c r="A41" s="384"/>
      <c r="B41" s="383">
        <v>42240</v>
      </c>
      <c r="C41" s="384">
        <v>40</v>
      </c>
      <c r="D41" s="385">
        <v>32.4</v>
      </c>
      <c r="E41" s="385">
        <v>0</v>
      </c>
      <c r="F41" s="385">
        <f t="shared" si="4"/>
        <v>1296</v>
      </c>
      <c r="G41" s="383">
        <v>42404</v>
      </c>
      <c r="H41" s="388">
        <v>90</v>
      </c>
      <c r="I41" s="385">
        <v>28.55</v>
      </c>
      <c r="J41" s="385">
        <v>0.05</v>
      </c>
      <c r="K41" s="384">
        <f>H41*I41-J41</f>
        <v>2569.4499999999998</v>
      </c>
      <c r="L41" s="384"/>
      <c r="M41" s="384"/>
      <c r="W41" s="133">
        <v>42621</v>
      </c>
      <c r="X41" s="10">
        <v>33.74</v>
      </c>
      <c r="Y41" s="10">
        <v>33.880000000000003</v>
      </c>
      <c r="Z41" s="10">
        <v>33.57</v>
      </c>
      <c r="AA41" s="10">
        <v>33.68</v>
      </c>
      <c r="AB41" s="95">
        <v>253800</v>
      </c>
      <c r="AC41" s="10">
        <v>33.68</v>
      </c>
      <c r="AD41" s="2">
        <f t="shared" si="0"/>
        <v>0.31000000000000227</v>
      </c>
      <c r="AE41" s="138">
        <f t="shared" si="1"/>
        <v>-3.8450162673765442E-3</v>
      </c>
    </row>
    <row r="42" spans="1:31" ht="20.25" thickBot="1" x14ac:dyDescent="0.35">
      <c r="A42" s="384"/>
      <c r="B42" s="383">
        <v>42275</v>
      </c>
      <c r="C42" s="384">
        <v>90</v>
      </c>
      <c r="D42" s="385">
        <v>29.2</v>
      </c>
      <c r="E42" s="385">
        <v>0</v>
      </c>
      <c r="F42" s="385">
        <f t="shared" si="4"/>
        <v>2628</v>
      </c>
      <c r="G42" s="383">
        <v>42412</v>
      </c>
      <c r="H42" s="388">
        <v>90</v>
      </c>
      <c r="I42" s="385">
        <v>29.55</v>
      </c>
      <c r="J42" s="385">
        <v>0.06</v>
      </c>
      <c r="K42" s="384">
        <f>H42*I42-J42</f>
        <v>2659.44</v>
      </c>
      <c r="L42" s="384"/>
      <c r="M42" s="384"/>
      <c r="O42" s="421" t="s">
        <v>78</v>
      </c>
      <c r="P42" s="421"/>
      <c r="T42" s="91" t="s">
        <v>113</v>
      </c>
      <c r="W42" s="133">
        <v>42620</v>
      </c>
      <c r="X42" s="10">
        <v>33.369999999999997</v>
      </c>
      <c r="Y42" s="10">
        <v>33.81</v>
      </c>
      <c r="Z42" s="10">
        <v>33.369999999999997</v>
      </c>
      <c r="AA42" s="10">
        <v>33.81</v>
      </c>
      <c r="AB42" s="95">
        <v>300300</v>
      </c>
      <c r="AC42" s="10">
        <v>33.81</v>
      </c>
      <c r="AD42" s="2">
        <f t="shared" si="0"/>
        <v>0.44000000000000483</v>
      </c>
      <c r="AE42" s="138">
        <f t="shared" si="1"/>
        <v>8.9525514771711112E-3</v>
      </c>
    </row>
    <row r="43" spans="1:31" ht="15.75" thickTop="1" x14ac:dyDescent="0.25">
      <c r="A43" s="384"/>
      <c r="B43" s="383">
        <v>42298</v>
      </c>
      <c r="C43" s="384">
        <v>170</v>
      </c>
      <c r="D43" s="385">
        <v>28.4</v>
      </c>
      <c r="E43" s="385">
        <v>0</v>
      </c>
      <c r="F43" s="385">
        <f t="shared" si="4"/>
        <v>4828</v>
      </c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35.255000000000003</v>
      </c>
      <c r="T43" s="93" t="s">
        <v>98</v>
      </c>
      <c r="U43" s="439">
        <v>32.6</v>
      </c>
      <c r="W43" s="133">
        <v>42619</v>
      </c>
      <c r="X43" s="10">
        <v>34.01</v>
      </c>
      <c r="Y43" s="10">
        <v>34.15</v>
      </c>
      <c r="Z43" s="10">
        <v>33.42</v>
      </c>
      <c r="AA43" s="10">
        <v>33.51</v>
      </c>
      <c r="AB43" s="95">
        <v>369700</v>
      </c>
      <c r="AC43" s="10">
        <v>33.51</v>
      </c>
      <c r="AD43" s="2">
        <f t="shared" si="0"/>
        <v>0.72999999999999687</v>
      </c>
      <c r="AE43" s="138">
        <f t="shared" si="1"/>
        <v>-1.2960235640648188E-2</v>
      </c>
    </row>
    <row r="44" spans="1:31" x14ac:dyDescent="0.25">
      <c r="A44" s="384"/>
      <c r="B44" s="383">
        <v>42360</v>
      </c>
      <c r="C44" s="384">
        <v>40</v>
      </c>
      <c r="D44" s="385">
        <v>27.25</v>
      </c>
      <c r="E44" s="385">
        <v>0</v>
      </c>
      <c r="F44" s="385">
        <f t="shared" si="4"/>
        <v>1090</v>
      </c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5">O44*$Q$4</f>
        <v>34.9345</v>
      </c>
      <c r="T44" s="93" t="s">
        <v>99</v>
      </c>
      <c r="U44" s="439">
        <v>32.549999999999997</v>
      </c>
      <c r="W44" s="133">
        <v>42615</v>
      </c>
      <c r="X44" s="10">
        <v>34.08</v>
      </c>
      <c r="Y44" s="10">
        <v>34.14</v>
      </c>
      <c r="Z44" s="10">
        <v>33.799999999999997</v>
      </c>
      <c r="AA44" s="10">
        <v>33.950000000000003</v>
      </c>
      <c r="AB44" s="95">
        <v>266800</v>
      </c>
      <c r="AC44" s="10">
        <v>33.950000000000003</v>
      </c>
      <c r="AD44" s="2">
        <f t="shared" si="0"/>
        <v>0.34000000000000341</v>
      </c>
      <c r="AE44" s="138">
        <f t="shared" si="1"/>
        <v>7.4183976261128493E-3</v>
      </c>
    </row>
    <row r="45" spans="1:31" x14ac:dyDescent="0.25">
      <c r="A45" s="384"/>
      <c r="B45" s="383">
        <v>42376</v>
      </c>
      <c r="C45" s="384">
        <v>90</v>
      </c>
      <c r="D45" s="385">
        <v>26.75</v>
      </c>
      <c r="E45" s="385">
        <v>0</v>
      </c>
      <c r="F45" s="385">
        <f t="shared" si="4"/>
        <v>2407.5</v>
      </c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5"/>
        <v>34.613999999999997</v>
      </c>
      <c r="T45" s="93" t="s">
        <v>100</v>
      </c>
      <c r="U45" s="439" t="s">
        <v>558</v>
      </c>
      <c r="W45" s="133">
        <v>42614</v>
      </c>
      <c r="X45" s="10">
        <v>33.92</v>
      </c>
      <c r="Y45" s="10">
        <v>33.99</v>
      </c>
      <c r="Z45" s="10">
        <v>33.270000000000003</v>
      </c>
      <c r="AA45" s="10">
        <v>33.700000000000003</v>
      </c>
      <c r="AB45" s="95">
        <v>559700</v>
      </c>
      <c r="AC45" s="10">
        <v>33.700000000000003</v>
      </c>
      <c r="AD45" s="2">
        <f t="shared" si="0"/>
        <v>0.71999999999999886</v>
      </c>
      <c r="AE45" s="138">
        <f t="shared" si="1"/>
        <v>-5.0191910245053206E-3</v>
      </c>
    </row>
    <row r="46" spans="1:3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5"/>
        <v>34.293500000000002</v>
      </c>
      <c r="Q46" s="2"/>
      <c r="T46" s="93" t="s">
        <v>101</v>
      </c>
      <c r="U46" s="439" t="s">
        <v>559</v>
      </c>
      <c r="W46" s="133">
        <v>42613</v>
      </c>
      <c r="X46" s="10">
        <v>34.25</v>
      </c>
      <c r="Y46" s="10">
        <v>34.47</v>
      </c>
      <c r="Z46" s="10">
        <v>33.619999999999997</v>
      </c>
      <c r="AA46" s="10">
        <v>33.869999999999997</v>
      </c>
      <c r="AB46" s="95">
        <v>547900</v>
      </c>
      <c r="AC46" s="10">
        <v>33.869999999999997</v>
      </c>
      <c r="AD46" s="2">
        <f t="shared" si="0"/>
        <v>0.85000000000000142</v>
      </c>
      <c r="AE46" s="138">
        <f t="shared" si="1"/>
        <v>-1.4834205933682565E-2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33.972999999999999</v>
      </c>
      <c r="Q47" s="2"/>
      <c r="T47" s="93" t="s">
        <v>102</v>
      </c>
      <c r="U47" s="439">
        <v>33.83</v>
      </c>
      <c r="W47" s="133">
        <v>42612</v>
      </c>
      <c r="X47" s="10">
        <v>34.270000000000003</v>
      </c>
      <c r="Y47" s="10">
        <v>34.57</v>
      </c>
      <c r="Z47" s="10">
        <v>34.25</v>
      </c>
      <c r="AA47" s="10">
        <v>34.380000000000003</v>
      </c>
      <c r="AB47" s="95">
        <v>327100</v>
      </c>
      <c r="AC47" s="10">
        <v>34.380000000000003</v>
      </c>
      <c r="AD47" s="2">
        <f t="shared" si="0"/>
        <v>0.32000000000000028</v>
      </c>
      <c r="AE47" s="138">
        <f t="shared" si="1"/>
        <v>0</v>
      </c>
    </row>
    <row r="48" spans="1:31" x14ac:dyDescent="0.25">
      <c r="A48" s="384"/>
      <c r="B48" s="384"/>
      <c r="C48" s="384"/>
      <c r="D48" s="384"/>
      <c r="E48" s="385"/>
      <c r="F48" s="384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5"/>
        <v>33.652499999999996</v>
      </c>
      <c r="Q48" s="2"/>
      <c r="T48" s="93" t="s">
        <v>103</v>
      </c>
      <c r="U48" s="439">
        <v>1.37043</v>
      </c>
      <c r="W48" s="133">
        <v>42611</v>
      </c>
      <c r="X48" s="10">
        <v>34.21</v>
      </c>
      <c r="Y48" s="10">
        <v>34.5</v>
      </c>
      <c r="Z48" s="10">
        <v>34.200000000000003</v>
      </c>
      <c r="AA48" s="10">
        <v>34.380000000000003</v>
      </c>
      <c r="AB48" s="95">
        <v>350800</v>
      </c>
      <c r="AC48" s="10">
        <v>34.380000000000003</v>
      </c>
      <c r="AD48" s="2">
        <f t="shared" si="0"/>
        <v>0.29999999999999716</v>
      </c>
      <c r="AE48" s="138">
        <f t="shared" si="1"/>
        <v>6.7349926793558446E-3</v>
      </c>
    </row>
    <row r="49" spans="15:31" x14ac:dyDescent="0.25">
      <c r="O49" s="83">
        <v>1.04</v>
      </c>
      <c r="P49" s="83">
        <f t="shared" si="5"/>
        <v>33.332000000000001</v>
      </c>
      <c r="Q49" s="2"/>
      <c r="T49" s="93" t="s">
        <v>122</v>
      </c>
      <c r="U49" s="439" t="s">
        <v>479</v>
      </c>
      <c r="W49" s="133">
        <v>42608</v>
      </c>
      <c r="X49" s="10">
        <v>34.32</v>
      </c>
      <c r="Y49" s="10">
        <v>34.619999999999997</v>
      </c>
      <c r="Z49" s="10">
        <v>34.01</v>
      </c>
      <c r="AA49" s="10">
        <v>34.15</v>
      </c>
      <c r="AB49" s="95">
        <v>337500</v>
      </c>
      <c r="AC49" s="10">
        <v>34.15</v>
      </c>
      <c r="AD49" s="2">
        <f t="shared" si="0"/>
        <v>0.60999999999999943</v>
      </c>
      <c r="AE49" s="138">
        <f t="shared" si="1"/>
        <v>-1.4619883040937198E-3</v>
      </c>
    </row>
    <row r="50" spans="15:31" x14ac:dyDescent="0.25">
      <c r="O50" s="83">
        <v>1.03</v>
      </c>
      <c r="P50" s="83">
        <f t="shared" si="5"/>
        <v>33.011499999999998</v>
      </c>
      <c r="Q50" s="2"/>
      <c r="T50" s="93"/>
      <c r="U50" s="439"/>
      <c r="W50" s="133">
        <v>42607</v>
      </c>
      <c r="X50" s="10">
        <v>33.82</v>
      </c>
      <c r="Y50" s="10">
        <v>34.380000000000003</v>
      </c>
      <c r="Z50" s="10">
        <v>33.81</v>
      </c>
      <c r="AA50" s="10">
        <v>34.200000000000003</v>
      </c>
      <c r="AB50" s="95">
        <v>455400</v>
      </c>
      <c r="AC50" s="10">
        <v>34.200000000000003</v>
      </c>
      <c r="AD50" s="2">
        <f t="shared" si="0"/>
        <v>0.57000000000000028</v>
      </c>
      <c r="AE50" s="138">
        <f t="shared" si="1"/>
        <v>3.815673613149384E-3</v>
      </c>
    </row>
    <row r="51" spans="15:31" x14ac:dyDescent="0.25">
      <c r="O51" s="83">
        <v>1.02</v>
      </c>
      <c r="P51" s="83">
        <f t="shared" si="5"/>
        <v>32.690999999999995</v>
      </c>
      <c r="Q51" s="2"/>
      <c r="T51" s="93" t="s">
        <v>105</v>
      </c>
      <c r="U51" s="439" t="s">
        <v>560</v>
      </c>
      <c r="W51" s="133">
        <v>42606</v>
      </c>
      <c r="X51" s="10">
        <v>34.17</v>
      </c>
      <c r="Y51" s="10">
        <v>34.409999999999997</v>
      </c>
      <c r="Z51" s="10">
        <v>34.01</v>
      </c>
      <c r="AA51" s="10">
        <v>34.07</v>
      </c>
      <c r="AB51" s="95">
        <v>472900</v>
      </c>
      <c r="AC51" s="10">
        <v>34.07</v>
      </c>
      <c r="AD51" s="2">
        <f t="shared" si="0"/>
        <v>0.39999999999999858</v>
      </c>
      <c r="AE51" s="138">
        <f t="shared" si="1"/>
        <v>-6.7055393586005207E-3</v>
      </c>
    </row>
    <row r="52" spans="15:31" x14ac:dyDescent="0.25">
      <c r="O52" s="83">
        <v>1.01</v>
      </c>
      <c r="P52" s="83">
        <f t="shared" si="5"/>
        <v>32.3705</v>
      </c>
      <c r="Q52" s="2"/>
      <c r="T52" s="93" t="s">
        <v>106</v>
      </c>
      <c r="U52" s="439" t="s">
        <v>251</v>
      </c>
      <c r="W52" s="133">
        <v>42605</v>
      </c>
      <c r="X52" s="10">
        <v>33.82</v>
      </c>
      <c r="Y52" s="10">
        <v>34.380000000000003</v>
      </c>
      <c r="Z52" s="10">
        <v>33.82</v>
      </c>
      <c r="AA52" s="10">
        <v>34.299999999999997</v>
      </c>
      <c r="AB52" s="95">
        <v>491200</v>
      </c>
      <c r="AC52" s="10">
        <v>34.299999999999997</v>
      </c>
      <c r="AD52" s="2">
        <f t="shared" si="0"/>
        <v>0.56000000000000227</v>
      </c>
      <c r="AE52" s="138">
        <f t="shared" si="1"/>
        <v>1.9619500594530326E-2</v>
      </c>
    </row>
    <row r="53" spans="15:31" x14ac:dyDescent="0.25">
      <c r="O53" s="83">
        <v>1</v>
      </c>
      <c r="P53" s="83">
        <f t="shared" si="5"/>
        <v>32.049999999999997</v>
      </c>
      <c r="Q53" s="2"/>
      <c r="T53" s="93" t="s">
        <v>107</v>
      </c>
      <c r="U53" s="440">
        <v>537485</v>
      </c>
      <c r="W53" s="133">
        <v>42604</v>
      </c>
      <c r="X53" s="10">
        <v>33.24</v>
      </c>
      <c r="Y53" s="10">
        <v>33.659999999999997</v>
      </c>
      <c r="Z53" s="10">
        <v>33.229999999999997</v>
      </c>
      <c r="AA53" s="10">
        <v>33.64</v>
      </c>
      <c r="AB53" s="95">
        <v>266900</v>
      </c>
      <c r="AC53" s="10">
        <v>33.64</v>
      </c>
      <c r="AD53" s="2">
        <f t="shared" si="0"/>
        <v>0.42999999999999972</v>
      </c>
      <c r="AE53" s="138">
        <f t="shared" si="1"/>
        <v>-2.3724792408066353E-3</v>
      </c>
    </row>
    <row r="54" spans="15:31" x14ac:dyDescent="0.25">
      <c r="O54" s="83">
        <v>0.99</v>
      </c>
      <c r="P54" s="83">
        <f t="shared" si="5"/>
        <v>31.729499999999998</v>
      </c>
      <c r="Q54" s="2"/>
      <c r="T54" s="93" t="s">
        <v>110</v>
      </c>
      <c r="U54" s="440">
        <v>497191</v>
      </c>
      <c r="W54" s="133">
        <v>42601</v>
      </c>
      <c r="X54" s="10">
        <v>33.36</v>
      </c>
      <c r="Y54" s="10">
        <v>33.81</v>
      </c>
      <c r="Z54" s="10">
        <v>33.159999999999997</v>
      </c>
      <c r="AA54" s="10">
        <v>33.72</v>
      </c>
      <c r="AB54" s="95">
        <v>281600</v>
      </c>
      <c r="AC54" s="10">
        <v>33.72</v>
      </c>
      <c r="AD54" s="2">
        <f t="shared" si="0"/>
        <v>0.65000000000000568</v>
      </c>
      <c r="AE54" s="138">
        <f t="shared" si="1"/>
        <v>3.5714285714285587E-3</v>
      </c>
    </row>
    <row r="55" spans="15:31" x14ac:dyDescent="0.25">
      <c r="O55" s="83">
        <v>0.98</v>
      </c>
      <c r="P55" s="83">
        <f t="shared" si="5"/>
        <v>31.408999999999995</v>
      </c>
      <c r="Q55" s="2"/>
      <c r="T55" s="93" t="s">
        <v>108</v>
      </c>
      <c r="U55" s="439" t="s">
        <v>561</v>
      </c>
      <c r="W55" s="133">
        <v>42600</v>
      </c>
      <c r="X55" s="10">
        <v>33.590000000000003</v>
      </c>
      <c r="Y55" s="10">
        <v>33.72</v>
      </c>
      <c r="Z55" s="10">
        <v>33.5</v>
      </c>
      <c r="AA55" s="10">
        <v>33.6</v>
      </c>
      <c r="AB55" s="95">
        <v>328700</v>
      </c>
      <c r="AC55" s="10">
        <v>33.6</v>
      </c>
      <c r="AD55" s="2">
        <f t="shared" si="0"/>
        <v>0.21999999999999886</v>
      </c>
      <c r="AE55" s="138">
        <f t="shared" si="1"/>
        <v>-8.9206066012492702E-4</v>
      </c>
    </row>
    <row r="56" spans="15:31" x14ac:dyDescent="0.25">
      <c r="O56" s="83">
        <v>0.97</v>
      </c>
      <c r="P56" s="83">
        <f t="shared" si="5"/>
        <v>31.088499999999996</v>
      </c>
      <c r="Q56" s="2"/>
      <c r="T56" s="93" t="s">
        <v>111</v>
      </c>
      <c r="U56" s="439">
        <v>27.65</v>
      </c>
      <c r="W56" s="133">
        <v>42599</v>
      </c>
      <c r="X56" s="10">
        <v>33.5</v>
      </c>
      <c r="Y56" s="10">
        <v>33.67</v>
      </c>
      <c r="Z56" s="10">
        <v>33.33</v>
      </c>
      <c r="AA56" s="10">
        <v>33.630000000000003</v>
      </c>
      <c r="AB56" s="95">
        <v>324900</v>
      </c>
      <c r="AC56" s="10">
        <v>33.630000000000003</v>
      </c>
      <c r="AD56" s="2">
        <f t="shared" si="0"/>
        <v>0.34000000000000341</v>
      </c>
      <c r="AE56" s="138">
        <f t="shared" si="1"/>
        <v>2.6833631484795006E-3</v>
      </c>
    </row>
    <row r="57" spans="15:31" x14ac:dyDescent="0.25">
      <c r="O57" s="83">
        <v>0.96</v>
      </c>
      <c r="P57" s="83">
        <f t="shared" si="5"/>
        <v>30.767999999999997</v>
      </c>
      <c r="Q57" s="2"/>
      <c r="T57" s="93" t="s">
        <v>112</v>
      </c>
      <c r="U57" s="439">
        <v>1.1599999999999999</v>
      </c>
      <c r="W57" s="133">
        <v>42598</v>
      </c>
      <c r="X57" s="10">
        <v>33.700000000000003</v>
      </c>
      <c r="Y57" s="10">
        <v>33.770000000000003</v>
      </c>
      <c r="Z57" s="10">
        <v>33.42</v>
      </c>
      <c r="AA57" s="10">
        <v>33.54</v>
      </c>
      <c r="AB57" s="95">
        <v>251900</v>
      </c>
      <c r="AC57" s="10">
        <v>33.54</v>
      </c>
      <c r="AD57" s="2">
        <f t="shared" si="0"/>
        <v>0.35000000000000142</v>
      </c>
      <c r="AE57" s="138">
        <f t="shared" si="1"/>
        <v>-5.3380782918149849E-3</v>
      </c>
    </row>
    <row r="58" spans="15:31" x14ac:dyDescent="0.25">
      <c r="O58" s="83">
        <v>0.95</v>
      </c>
      <c r="P58" s="83">
        <f t="shared" si="5"/>
        <v>30.447499999999994</v>
      </c>
      <c r="Q58" s="2"/>
      <c r="T58" s="93" t="s">
        <v>109</v>
      </c>
      <c r="U58" s="439" t="s">
        <v>439</v>
      </c>
      <c r="W58" s="133">
        <v>42597</v>
      </c>
      <c r="X58" s="10">
        <v>33.659999999999997</v>
      </c>
      <c r="Y58" s="10">
        <v>33.840000000000003</v>
      </c>
      <c r="Z58" s="10">
        <v>33.53</v>
      </c>
      <c r="AA58" s="10">
        <v>33.72</v>
      </c>
      <c r="AB58" s="95">
        <v>416800</v>
      </c>
      <c r="AC58" s="10">
        <v>33.72</v>
      </c>
      <c r="AD58" s="2">
        <f t="shared" si="0"/>
        <v>0.31000000000000227</v>
      </c>
      <c r="AE58" s="138">
        <f t="shared" si="1"/>
        <v>5.966587112171684E-3</v>
      </c>
    </row>
    <row r="59" spans="15:31" x14ac:dyDescent="0.25">
      <c r="O59" s="83">
        <v>0.94</v>
      </c>
      <c r="P59" s="83">
        <f t="shared" si="5"/>
        <v>30.126999999999995</v>
      </c>
      <c r="W59" s="133">
        <v>42594</v>
      </c>
      <c r="X59" s="10">
        <v>33.74</v>
      </c>
      <c r="Y59" s="10">
        <v>33.89</v>
      </c>
      <c r="Z59" s="10">
        <v>33.43</v>
      </c>
      <c r="AA59" s="10">
        <v>33.520000000000003</v>
      </c>
      <c r="AB59" s="95">
        <v>300900</v>
      </c>
      <c r="AC59" s="10">
        <v>33.520000000000003</v>
      </c>
      <c r="AD59" s="2">
        <f t="shared" si="0"/>
        <v>0.46000000000000085</v>
      </c>
      <c r="AE59" s="138">
        <f t="shared" si="1"/>
        <v>-1.0625737898465104E-2</v>
      </c>
    </row>
    <row r="60" spans="15:31" x14ac:dyDescent="0.25">
      <c r="O60" s="83">
        <v>0.93</v>
      </c>
      <c r="P60" s="83">
        <f t="shared" si="5"/>
        <v>29.8065</v>
      </c>
      <c r="W60" s="133">
        <v>42593</v>
      </c>
      <c r="X60" s="10">
        <v>33.659999999999997</v>
      </c>
      <c r="Y60" s="10">
        <v>34.06</v>
      </c>
      <c r="Z60" s="10">
        <v>33.659999999999997</v>
      </c>
      <c r="AA60" s="10">
        <v>33.880000000000003</v>
      </c>
      <c r="AB60" s="95">
        <v>398400</v>
      </c>
      <c r="AC60" s="10">
        <v>33.880000000000003</v>
      </c>
      <c r="AD60" s="2">
        <f t="shared" si="0"/>
        <v>0.40000000000000568</v>
      </c>
      <c r="AE60" s="138" t="e">
        <f t="shared" si="1"/>
        <v>#DIV/0!</v>
      </c>
    </row>
    <row r="61" spans="15:31" x14ac:dyDescent="0.25">
      <c r="O61" s="83">
        <v>0.92</v>
      </c>
      <c r="P61" s="83">
        <f t="shared" si="5"/>
        <v>29.485999999999997</v>
      </c>
      <c r="W61" s="133">
        <v>42593</v>
      </c>
      <c r="X61" s="10" t="s">
        <v>141</v>
      </c>
      <c r="Y61" s="10"/>
      <c r="Z61" s="10"/>
      <c r="AA61" s="10"/>
      <c r="AB61" s="95"/>
      <c r="AC61" s="10"/>
      <c r="AD61" s="2">
        <f t="shared" si="0"/>
        <v>0</v>
      </c>
      <c r="AE61" s="138">
        <f t="shared" si="1"/>
        <v>-1</v>
      </c>
    </row>
    <row r="62" spans="15:31" x14ac:dyDescent="0.25">
      <c r="O62" s="83">
        <v>0.91</v>
      </c>
      <c r="P62" s="83">
        <f t="shared" si="5"/>
        <v>29.165499999999998</v>
      </c>
      <c r="W62" s="133">
        <v>42592</v>
      </c>
      <c r="X62" s="10">
        <v>34.01</v>
      </c>
      <c r="Y62" s="10">
        <v>34.07</v>
      </c>
      <c r="Z62" s="10">
        <v>33.67</v>
      </c>
      <c r="AA62" s="10">
        <v>33.729999999999997</v>
      </c>
      <c r="AB62" s="95">
        <v>319300</v>
      </c>
      <c r="AC62" s="10">
        <v>33.47</v>
      </c>
      <c r="AD62" s="2">
        <f t="shared" si="0"/>
        <v>0.39999999999999858</v>
      </c>
      <c r="AE62" s="138">
        <f t="shared" si="1"/>
        <v>-4.4616299821534922E-3</v>
      </c>
    </row>
    <row r="63" spans="15:31" x14ac:dyDescent="0.25">
      <c r="O63" s="83">
        <v>0.9</v>
      </c>
      <c r="P63" s="83">
        <f t="shared" si="5"/>
        <v>28.844999999999999</v>
      </c>
      <c r="W63" s="133">
        <v>42591</v>
      </c>
      <c r="X63" s="10">
        <v>34.049999999999997</v>
      </c>
      <c r="Y63" s="10">
        <v>34.21</v>
      </c>
      <c r="Z63" s="10">
        <v>33.79</v>
      </c>
      <c r="AA63" s="10">
        <v>33.880000000000003</v>
      </c>
      <c r="AB63" s="95">
        <v>346800</v>
      </c>
      <c r="AC63" s="10">
        <v>33.619999999999997</v>
      </c>
      <c r="AD63" s="2">
        <f t="shared" si="0"/>
        <v>0.42000000000000171</v>
      </c>
      <c r="AE63" s="138">
        <f t="shared" si="1"/>
        <v>-8.2595870206489952E-3</v>
      </c>
    </row>
    <row r="64" spans="15:31" x14ac:dyDescent="0.25">
      <c r="W64" s="133">
        <v>42590</v>
      </c>
      <c r="X64" s="10">
        <v>34.130000000000003</v>
      </c>
      <c r="Y64" s="10">
        <v>34.369999999999997</v>
      </c>
      <c r="Z64" s="10">
        <v>34.03</v>
      </c>
      <c r="AA64" s="10">
        <v>34.159999999999997</v>
      </c>
      <c r="AB64" s="95">
        <v>517700</v>
      </c>
      <c r="AC64" s="10">
        <v>33.9</v>
      </c>
      <c r="AD64" s="2">
        <f t="shared" si="0"/>
        <v>0.33999999999999631</v>
      </c>
      <c r="AE64" s="138">
        <f t="shared" si="1"/>
        <v>4.4444444444444731E-3</v>
      </c>
    </row>
    <row r="65" spans="23:31" x14ac:dyDescent="0.25">
      <c r="W65" s="133">
        <v>42587</v>
      </c>
      <c r="X65" s="10">
        <v>33.57</v>
      </c>
      <c r="Y65" s="10">
        <v>34.119999999999997</v>
      </c>
      <c r="Z65" s="10">
        <v>33.520000000000003</v>
      </c>
      <c r="AA65" s="10">
        <v>34.01</v>
      </c>
      <c r="AB65" s="95">
        <v>482500</v>
      </c>
      <c r="AC65" s="10">
        <v>33.75</v>
      </c>
      <c r="AD65" s="2">
        <f t="shared" si="0"/>
        <v>0.59999999999999432</v>
      </c>
      <c r="AE65" s="138">
        <f t="shared" si="1"/>
        <v>1.9637462235649439E-2</v>
      </c>
    </row>
    <row r="66" spans="23:31" x14ac:dyDescent="0.25">
      <c r="W66" s="133">
        <v>42586</v>
      </c>
      <c r="X66" s="10">
        <v>33.35</v>
      </c>
      <c r="Y66" s="10">
        <v>33.69</v>
      </c>
      <c r="Z66" s="10">
        <v>33.33</v>
      </c>
      <c r="AA66" s="10">
        <v>33.36</v>
      </c>
      <c r="AB66" s="95">
        <v>665800</v>
      </c>
      <c r="AC66" s="10">
        <v>33.1</v>
      </c>
      <c r="AD66" s="2">
        <f t="shared" si="0"/>
        <v>0.35999999999999943</v>
      </c>
      <c r="AE66" s="138">
        <f t="shared" si="1"/>
        <v>-1.8094089264172331E-3</v>
      </c>
    </row>
    <row r="67" spans="23:31" x14ac:dyDescent="0.25">
      <c r="W67" s="133">
        <v>42585</v>
      </c>
      <c r="X67" s="10">
        <v>33.28</v>
      </c>
      <c r="Y67" s="10">
        <v>33.590000000000003</v>
      </c>
      <c r="Z67" s="10">
        <v>33.14</v>
      </c>
      <c r="AA67" s="10">
        <v>33.42</v>
      </c>
      <c r="AB67" s="95">
        <v>838600</v>
      </c>
      <c r="AC67" s="10">
        <v>33.159999999999997</v>
      </c>
      <c r="AD67" s="2">
        <f>Y67-Z67</f>
        <v>0.45000000000000284</v>
      </c>
      <c r="AE67" s="138">
        <f>AC67/AC68-1</f>
        <v>2.4183796856105388E-3</v>
      </c>
    </row>
    <row r="68" spans="23:31" x14ac:dyDescent="0.25">
      <c r="W68" s="133">
        <v>42584</v>
      </c>
      <c r="X68" s="10">
        <v>33.57</v>
      </c>
      <c r="Y68" s="10">
        <v>33.770000000000003</v>
      </c>
      <c r="Z68" s="10">
        <v>33.159999999999997</v>
      </c>
      <c r="AA68" s="10">
        <v>33.340000000000003</v>
      </c>
      <c r="AB68" s="95">
        <v>876700</v>
      </c>
      <c r="AC68" s="10">
        <v>33.08</v>
      </c>
      <c r="AD68" s="2">
        <f>Y68-Z68</f>
        <v>0.61000000000000654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144</v>
      </c>
      <c r="W2" s="133">
        <v>42676</v>
      </c>
      <c r="X2" s="10">
        <v>101.85</v>
      </c>
      <c r="Y2" s="10">
        <v>102.56</v>
      </c>
      <c r="Z2" s="10">
        <v>101.16</v>
      </c>
      <c r="AA2" s="10">
        <v>101.54</v>
      </c>
      <c r="AB2" s="95">
        <v>4113300</v>
      </c>
      <c r="AC2" s="10">
        <v>101.54</v>
      </c>
      <c r="AD2" s="2">
        <f>Y2-Z2</f>
        <v>1.4000000000000057</v>
      </c>
      <c r="AE2" s="138">
        <f>AC2/AC3-1</f>
        <v>-4.6073914322125598E-3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101.54</v>
      </c>
      <c r="W3" s="133">
        <v>42675</v>
      </c>
      <c r="X3" s="10">
        <v>102.41</v>
      </c>
      <c r="Y3" s="10">
        <v>102.92</v>
      </c>
      <c r="Z3" s="10">
        <v>101.3</v>
      </c>
      <c r="AA3" s="10">
        <v>102.01</v>
      </c>
      <c r="AB3" s="95">
        <v>4042300</v>
      </c>
      <c r="AC3" s="10">
        <v>102.01</v>
      </c>
      <c r="AD3" s="2">
        <f t="shared" ref="AD3:AD66" si="0">Y3-Z3</f>
        <v>1.6200000000000045</v>
      </c>
      <c r="AE3" s="138">
        <f t="shared" ref="AE3:AE66" si="1">AC3/AC4-1</f>
        <v>-1.8590998043052087E-3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101.54</v>
      </c>
      <c r="R4" s="527">
        <v>-4.5999999999999999E-3</v>
      </c>
      <c r="W4" s="133">
        <v>42674</v>
      </c>
      <c r="X4" s="10">
        <v>102.01</v>
      </c>
      <c r="Y4" s="10">
        <v>102.6</v>
      </c>
      <c r="Z4" s="10">
        <v>101.9</v>
      </c>
      <c r="AA4" s="10">
        <v>102.2</v>
      </c>
      <c r="AB4" s="95">
        <v>4014500</v>
      </c>
      <c r="AC4" s="10">
        <v>102.2</v>
      </c>
      <c r="AD4" s="2">
        <f t="shared" si="0"/>
        <v>0.69999999999998863</v>
      </c>
      <c r="AE4" s="138">
        <f t="shared" si="1"/>
        <v>3.5349567949725103E-3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42671</v>
      </c>
      <c r="X5" s="10">
        <v>100.52</v>
      </c>
      <c r="Y5" s="10">
        <v>102.14</v>
      </c>
      <c r="Z5" s="10">
        <v>100.52</v>
      </c>
      <c r="AA5" s="10">
        <v>101.84</v>
      </c>
      <c r="AB5" s="95">
        <v>4449100</v>
      </c>
      <c r="AC5" s="10">
        <v>101.84</v>
      </c>
      <c r="AD5" s="2">
        <f t="shared" si="0"/>
        <v>1.6200000000000045</v>
      </c>
      <c r="AE5" s="138">
        <f t="shared" si="1"/>
        <v>1.7687618666933247E-2</v>
      </c>
    </row>
    <row r="6" spans="1:31" x14ac:dyDescent="0.25">
      <c r="O6" s="11" t="s">
        <v>64</v>
      </c>
      <c r="Q6" s="2">
        <f>Q3*Q2</f>
        <v>0</v>
      </c>
      <c r="W6" s="133">
        <v>42670</v>
      </c>
      <c r="X6" s="10">
        <v>101.48</v>
      </c>
      <c r="Y6" s="10">
        <v>101.62</v>
      </c>
      <c r="Z6" s="10">
        <v>99.99</v>
      </c>
      <c r="AA6" s="10">
        <v>100.07</v>
      </c>
      <c r="AB6" s="95">
        <v>3550000</v>
      </c>
      <c r="AC6" s="10">
        <v>100.07</v>
      </c>
      <c r="AD6" s="2">
        <f t="shared" si="0"/>
        <v>1.6300000000000097</v>
      </c>
      <c r="AE6" s="138">
        <f t="shared" si="1"/>
        <v>-9.306009306009444E-3</v>
      </c>
    </row>
    <row r="7" spans="1:31" x14ac:dyDescent="0.25">
      <c r="O7" s="11" t="s">
        <v>184</v>
      </c>
      <c r="Q7" s="2">
        <f>Q10+Q8</f>
        <v>114.84999999999991</v>
      </c>
      <c r="R7">
        <v>0</v>
      </c>
      <c r="W7" s="133">
        <v>42669</v>
      </c>
      <c r="X7" s="10">
        <v>101</v>
      </c>
      <c r="Y7" s="10">
        <v>101.82</v>
      </c>
      <c r="Z7" s="10">
        <v>100.75</v>
      </c>
      <c r="AA7" s="10">
        <v>101.01</v>
      </c>
      <c r="AB7" s="95">
        <v>3734100</v>
      </c>
      <c r="AC7" s="10">
        <v>101.01</v>
      </c>
      <c r="AD7" s="2">
        <f t="shared" si="0"/>
        <v>1.0699999999999932</v>
      </c>
      <c r="AE7" s="138">
        <f t="shared" si="1"/>
        <v>-3.4530386740331265E-3</v>
      </c>
    </row>
    <row r="8" spans="1:31" x14ac:dyDescent="0.25">
      <c r="O8" s="11" t="s">
        <v>187</v>
      </c>
      <c r="P8" s="34"/>
      <c r="Q8" s="2">
        <f>K18+M18-F18+Q2*Q4</f>
        <v>0</v>
      </c>
      <c r="W8" s="133">
        <v>42668</v>
      </c>
      <c r="X8" s="10">
        <v>101.11</v>
      </c>
      <c r="Y8" s="10">
        <v>102.1</v>
      </c>
      <c r="Z8" s="10">
        <v>100.46</v>
      </c>
      <c r="AA8" s="10">
        <v>101.36</v>
      </c>
      <c r="AB8" s="95">
        <v>6752300</v>
      </c>
      <c r="AC8" s="10">
        <v>101.36</v>
      </c>
      <c r="AD8" s="2">
        <f t="shared" si="0"/>
        <v>1.6400000000000006</v>
      </c>
      <c r="AE8" s="138">
        <f t="shared" si="1"/>
        <v>1.8488745980707488E-2</v>
      </c>
    </row>
    <row r="9" spans="1:31" x14ac:dyDescent="0.25">
      <c r="O9" s="11" t="s">
        <v>219</v>
      </c>
      <c r="Q9" s="138">
        <f>IF(Q2=0, 0, Q8/Q6)</f>
        <v>0</v>
      </c>
      <c r="W9" s="133">
        <v>42667</v>
      </c>
      <c r="X9" s="10">
        <v>99.34</v>
      </c>
      <c r="Y9" s="10">
        <v>99.86</v>
      </c>
      <c r="Z9" s="10">
        <v>99.08</v>
      </c>
      <c r="AA9" s="10">
        <v>99.52</v>
      </c>
      <c r="AB9" s="95">
        <v>4288100</v>
      </c>
      <c r="AC9" s="10">
        <v>99.52</v>
      </c>
      <c r="AD9" s="2">
        <f t="shared" si="0"/>
        <v>0.78000000000000114</v>
      </c>
      <c r="AE9" s="138">
        <f t="shared" si="1"/>
        <v>8.6145738319651777E-3</v>
      </c>
    </row>
    <row r="10" spans="1:31" x14ac:dyDescent="0.25">
      <c r="O10" s="11" t="s">
        <v>218</v>
      </c>
      <c r="P10" s="34"/>
      <c r="Q10" s="2">
        <f>M27</f>
        <v>114.84999999999991</v>
      </c>
      <c r="W10" s="133">
        <v>42664</v>
      </c>
      <c r="X10" s="10">
        <v>98.38</v>
      </c>
      <c r="Y10" s="10">
        <v>98.78</v>
      </c>
      <c r="Z10" s="10">
        <v>97.62</v>
      </c>
      <c r="AA10" s="10">
        <v>98.67</v>
      </c>
      <c r="AB10" s="95">
        <v>4095000</v>
      </c>
      <c r="AC10" s="10">
        <v>98.67</v>
      </c>
      <c r="AD10" s="2">
        <f t="shared" si="0"/>
        <v>1.1599999999999966</v>
      </c>
      <c r="AE10" s="138">
        <f t="shared" si="1"/>
        <v>-6.2443347769161051E-3</v>
      </c>
    </row>
    <row r="11" spans="1:31" x14ac:dyDescent="0.25">
      <c r="O11" s="11" t="s">
        <v>181</v>
      </c>
      <c r="P11" s="34"/>
      <c r="Q11" s="138">
        <f>IF(U58="N/A (N/A)", 0, VALUE(TRIM(CLEAN(MID(U58, FIND("(", U58)+1, 5)))))</f>
        <v>2.5899999999999999E-2</v>
      </c>
      <c r="W11" s="133">
        <v>42663</v>
      </c>
      <c r="X11" s="10">
        <v>99.75</v>
      </c>
      <c r="Y11" s="10">
        <v>100.18</v>
      </c>
      <c r="Z11" s="10">
        <v>99.27</v>
      </c>
      <c r="AA11" s="10">
        <v>99.29</v>
      </c>
      <c r="AB11" s="95">
        <v>3876700</v>
      </c>
      <c r="AC11" s="10">
        <v>99.29</v>
      </c>
      <c r="AD11" s="2">
        <f t="shared" si="0"/>
        <v>0.9100000000000108</v>
      </c>
      <c r="AE11" s="138">
        <f t="shared" si="1"/>
        <v>-4.7113071371290838E-3</v>
      </c>
    </row>
    <row r="12" spans="1:31" x14ac:dyDescent="0.25">
      <c r="W12" s="133">
        <v>42662</v>
      </c>
      <c r="X12" s="10">
        <v>100.26</v>
      </c>
      <c r="Y12" s="10">
        <v>100.43</v>
      </c>
      <c r="Z12" s="10">
        <v>99.74</v>
      </c>
      <c r="AA12" s="10">
        <v>99.76</v>
      </c>
      <c r="AB12" s="95">
        <v>4013900</v>
      </c>
      <c r="AC12" s="10">
        <v>99.76</v>
      </c>
      <c r="AD12" s="2">
        <f t="shared" si="0"/>
        <v>0.69000000000001194</v>
      </c>
      <c r="AE12" s="138">
        <f t="shared" si="1"/>
        <v>-2.3002300230021699E-3</v>
      </c>
    </row>
    <row r="13" spans="1:31" x14ac:dyDescent="0.25">
      <c r="W13" s="133">
        <v>42661</v>
      </c>
      <c r="X13" s="10">
        <v>100.49</v>
      </c>
      <c r="Y13" s="10">
        <v>100.58</v>
      </c>
      <c r="Z13" s="10">
        <v>99.68</v>
      </c>
      <c r="AA13" s="10">
        <v>99.99</v>
      </c>
      <c r="AB13" s="95">
        <v>3043800</v>
      </c>
      <c r="AC13" s="10">
        <v>99.99</v>
      </c>
      <c r="AD13" s="2">
        <f t="shared" si="0"/>
        <v>0.89999999999999147</v>
      </c>
      <c r="AE13" s="138">
        <f t="shared" si="1"/>
        <v>2.8081436164877349E-3</v>
      </c>
    </row>
    <row r="14" spans="1:31" x14ac:dyDescent="0.25">
      <c r="W14" s="133">
        <v>42660</v>
      </c>
      <c r="X14" s="10">
        <v>100.13</v>
      </c>
      <c r="Y14" s="10">
        <v>100.44</v>
      </c>
      <c r="Z14" s="10">
        <v>99.65</v>
      </c>
      <c r="AA14" s="10">
        <v>99.71</v>
      </c>
      <c r="AB14" s="95">
        <v>2452400</v>
      </c>
      <c r="AC14" s="10">
        <v>99.71</v>
      </c>
      <c r="AD14" s="2">
        <f t="shared" si="0"/>
        <v>0.78999999999999204</v>
      </c>
      <c r="AE14" s="138">
        <f t="shared" si="1"/>
        <v>-4.4928115015975267E-3</v>
      </c>
    </row>
    <row r="15" spans="1:31" x14ac:dyDescent="0.25">
      <c r="W15" s="133">
        <v>42657</v>
      </c>
      <c r="X15" s="10">
        <v>100.42</v>
      </c>
      <c r="Y15" s="10">
        <v>100.79</v>
      </c>
      <c r="Z15" s="10">
        <v>100.07</v>
      </c>
      <c r="AA15" s="10">
        <v>100.16</v>
      </c>
      <c r="AB15" s="95">
        <v>3172000</v>
      </c>
      <c r="AC15" s="10">
        <v>100.16</v>
      </c>
      <c r="AD15" s="2">
        <f t="shared" si="0"/>
        <v>0.72000000000001307</v>
      </c>
      <c r="AE15" s="138">
        <f t="shared" si="1"/>
        <v>3.104656985478238E-3</v>
      </c>
    </row>
    <row r="16" spans="1:31" x14ac:dyDescent="0.25">
      <c r="W16" s="133">
        <v>42656</v>
      </c>
      <c r="X16" s="10">
        <v>98.4</v>
      </c>
      <c r="Y16" s="10">
        <v>100.09</v>
      </c>
      <c r="Z16" s="10">
        <v>98.15</v>
      </c>
      <c r="AA16" s="10">
        <v>99.85</v>
      </c>
      <c r="AB16" s="95">
        <v>3768200</v>
      </c>
      <c r="AC16" s="10">
        <v>99.85</v>
      </c>
      <c r="AD16" s="2">
        <f t="shared" si="0"/>
        <v>1.9399999999999977</v>
      </c>
      <c r="AE16" s="138">
        <f t="shared" si="1"/>
        <v>9.2995047002930598E-3</v>
      </c>
    </row>
    <row r="17" spans="1:31" x14ac:dyDescent="0.25">
      <c r="W17" s="133">
        <v>42655</v>
      </c>
      <c r="X17" s="10">
        <v>98.81</v>
      </c>
      <c r="Y17" s="10">
        <v>99.25</v>
      </c>
      <c r="Z17" s="10">
        <v>98.54</v>
      </c>
      <c r="AA17" s="10">
        <v>98.93</v>
      </c>
      <c r="AB17" s="95">
        <v>3818200</v>
      </c>
      <c r="AC17" s="10">
        <v>98.93</v>
      </c>
      <c r="AD17" s="2">
        <f t="shared" si="0"/>
        <v>0.70999999999999375</v>
      </c>
      <c r="AE17" s="138">
        <f t="shared" si="1"/>
        <v>1.6199250784652008E-3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42654</v>
      </c>
      <c r="X18" s="10">
        <v>99.55</v>
      </c>
      <c r="Y18" s="10">
        <v>99.87</v>
      </c>
      <c r="Z18" s="10">
        <v>98.46</v>
      </c>
      <c r="AA18" s="10">
        <v>98.77</v>
      </c>
      <c r="AB18" s="95">
        <v>4314800</v>
      </c>
      <c r="AC18" s="10">
        <v>98.77</v>
      </c>
      <c r="AD18" s="2">
        <f t="shared" si="0"/>
        <v>1.4100000000000108</v>
      </c>
      <c r="AE18" s="138">
        <f t="shared" si="1"/>
        <v>-1.2102420484096932E-2</v>
      </c>
    </row>
    <row r="19" spans="1:31" x14ac:dyDescent="0.25">
      <c r="W19" s="133">
        <v>42653</v>
      </c>
      <c r="X19" s="10">
        <v>100.16</v>
      </c>
      <c r="Y19" s="10">
        <v>101.03</v>
      </c>
      <c r="Z19" s="10">
        <v>99.64</v>
      </c>
      <c r="AA19" s="10">
        <v>99.98</v>
      </c>
      <c r="AB19" s="95">
        <v>4517800</v>
      </c>
      <c r="AC19" s="10">
        <v>99.98</v>
      </c>
      <c r="AD19" s="2">
        <f t="shared" si="0"/>
        <v>1.3900000000000006</v>
      </c>
      <c r="AE19" s="138">
        <f t="shared" si="1"/>
        <v>-5.9654006760786471E-3</v>
      </c>
    </row>
    <row r="20" spans="1:31" x14ac:dyDescent="0.25">
      <c r="W20" s="133">
        <v>42650</v>
      </c>
      <c r="X20" s="10">
        <v>100.96</v>
      </c>
      <c r="Y20" s="10">
        <v>101.01</v>
      </c>
      <c r="Z20" s="10">
        <v>99.81</v>
      </c>
      <c r="AA20" s="10">
        <v>100.58</v>
      </c>
      <c r="AB20" s="95">
        <v>3938200</v>
      </c>
      <c r="AC20" s="10">
        <v>100.58</v>
      </c>
      <c r="AD20" s="2">
        <f t="shared" si="0"/>
        <v>1.2000000000000028</v>
      </c>
      <c r="AE20" s="138">
        <f t="shared" si="1"/>
        <v>-1.469435736677116E-2</v>
      </c>
    </row>
    <row r="21" spans="1:31" x14ac:dyDescent="0.25">
      <c r="W21" s="133">
        <v>42649</v>
      </c>
      <c r="X21" s="10">
        <v>102.11</v>
      </c>
      <c r="Y21" s="10">
        <v>102.22</v>
      </c>
      <c r="Z21" s="10">
        <v>101.36</v>
      </c>
      <c r="AA21" s="10">
        <v>102.08</v>
      </c>
      <c r="AB21" s="95">
        <v>3651500</v>
      </c>
      <c r="AC21" s="10">
        <v>102.08</v>
      </c>
      <c r="AD21" s="2">
        <f t="shared" si="0"/>
        <v>0.85999999999999943</v>
      </c>
      <c r="AE21" s="138">
        <f t="shared" si="1"/>
        <v>-1.6625916870416368E-3</v>
      </c>
    </row>
    <row r="22" spans="1:31" x14ac:dyDescent="0.25">
      <c r="W22" s="133">
        <v>42648</v>
      </c>
      <c r="X22" s="10">
        <v>101.7</v>
      </c>
      <c r="Y22" s="10">
        <v>102.33</v>
      </c>
      <c r="Z22" s="10">
        <v>101.43</v>
      </c>
      <c r="AA22" s="10">
        <v>102.25</v>
      </c>
      <c r="AB22" s="95">
        <v>2744100</v>
      </c>
      <c r="AC22" s="10">
        <v>102.25</v>
      </c>
      <c r="AD22" s="2">
        <f t="shared" si="0"/>
        <v>0.89999999999999147</v>
      </c>
      <c r="AE22" s="138">
        <f t="shared" si="1"/>
        <v>8.0843931775607114E-3</v>
      </c>
    </row>
    <row r="23" spans="1:31" x14ac:dyDescent="0.25">
      <c r="W23" s="133">
        <v>42647</v>
      </c>
      <c r="X23" s="10">
        <v>102.57</v>
      </c>
      <c r="Y23" s="10">
        <v>102.81</v>
      </c>
      <c r="Z23" s="10">
        <v>101.3</v>
      </c>
      <c r="AA23" s="10">
        <v>101.43</v>
      </c>
      <c r="AB23" s="95">
        <v>3204200</v>
      </c>
      <c r="AC23" s="10">
        <v>101.43</v>
      </c>
      <c r="AD23" s="2">
        <f t="shared" si="0"/>
        <v>1.5100000000000051</v>
      </c>
      <c r="AE23" s="138">
        <f t="shared" si="1"/>
        <v>-9.7627648149956059E-3</v>
      </c>
    </row>
    <row r="24" spans="1:31" x14ac:dyDescent="0.25">
      <c r="W24" s="133">
        <v>42646</v>
      </c>
      <c r="X24" s="10">
        <v>101.6</v>
      </c>
      <c r="Y24" s="10">
        <v>102.67</v>
      </c>
      <c r="Z24" s="10">
        <v>101.29</v>
      </c>
      <c r="AA24" s="10">
        <v>102.43</v>
      </c>
      <c r="AB24" s="95">
        <v>3971700</v>
      </c>
      <c r="AC24" s="10">
        <v>102.43</v>
      </c>
      <c r="AD24" s="2">
        <f t="shared" si="0"/>
        <v>1.3799999999999955</v>
      </c>
      <c r="AE24" s="138">
        <f t="shared" si="1"/>
        <v>8.1692913385829069E-3</v>
      </c>
    </row>
    <row r="25" spans="1:31" x14ac:dyDescent="0.25">
      <c r="W25" s="133">
        <v>42643</v>
      </c>
      <c r="X25" s="10">
        <v>101.42</v>
      </c>
      <c r="Y25" s="10">
        <v>102.03</v>
      </c>
      <c r="Z25" s="10">
        <v>101.06</v>
      </c>
      <c r="AA25" s="10">
        <v>101.6</v>
      </c>
      <c r="AB25" s="95">
        <v>5053500</v>
      </c>
      <c r="AC25" s="10">
        <v>101.6</v>
      </c>
      <c r="AD25" s="2">
        <f t="shared" si="0"/>
        <v>0.96999999999999886</v>
      </c>
      <c r="AE25" s="138">
        <f t="shared" si="1"/>
        <v>5.343360379972184E-3</v>
      </c>
    </row>
    <row r="26" spans="1:31" x14ac:dyDescent="0.25">
      <c r="W26" s="133">
        <v>42642</v>
      </c>
      <c r="X26" s="10">
        <v>102.78</v>
      </c>
      <c r="Y26" s="10">
        <v>102.78</v>
      </c>
      <c r="Z26" s="10">
        <v>100.88</v>
      </c>
      <c r="AA26" s="10">
        <v>101.06</v>
      </c>
      <c r="AB26" s="95">
        <v>3720000</v>
      </c>
      <c r="AC26" s="10">
        <v>101.06</v>
      </c>
      <c r="AD26" s="2">
        <f t="shared" si="0"/>
        <v>1.9000000000000057</v>
      </c>
      <c r="AE26" s="138">
        <f t="shared" si="1"/>
        <v>-1.260381045432335E-2</v>
      </c>
    </row>
    <row r="27" spans="1:31" x14ac:dyDescent="0.25">
      <c r="L27" t="s">
        <v>218</v>
      </c>
      <c r="M27" s="2">
        <f>M35+K35-F35</f>
        <v>114.84999999999991</v>
      </c>
      <c r="W27" s="133">
        <v>42641</v>
      </c>
      <c r="X27" s="10">
        <v>102.68</v>
      </c>
      <c r="Y27" s="10">
        <v>102.87</v>
      </c>
      <c r="Z27" s="10">
        <v>101.67</v>
      </c>
      <c r="AA27" s="10">
        <v>102.35</v>
      </c>
      <c r="AB27" s="95">
        <v>5010700</v>
      </c>
      <c r="AC27" s="10">
        <v>102.35</v>
      </c>
      <c r="AD27" s="2">
        <f t="shared" si="0"/>
        <v>1.2000000000000028</v>
      </c>
      <c r="AE27" s="138">
        <f t="shared" si="1"/>
        <v>0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42640</v>
      </c>
      <c r="X28" s="10">
        <v>102.08</v>
      </c>
      <c r="Y28" s="10">
        <v>102.73</v>
      </c>
      <c r="Z28" s="10">
        <v>101.78</v>
      </c>
      <c r="AA28" s="10">
        <v>102.35</v>
      </c>
      <c r="AB28" s="95">
        <v>4299300</v>
      </c>
      <c r="AC28" s="10">
        <v>102.35</v>
      </c>
      <c r="AD28" s="2">
        <f t="shared" si="0"/>
        <v>0.95000000000000284</v>
      </c>
      <c r="AE28" s="138">
        <f t="shared" si="1"/>
        <v>1.173823730802992E-3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42639</v>
      </c>
      <c r="X29" s="10">
        <v>102.16</v>
      </c>
      <c r="Y29" s="10">
        <v>102.96</v>
      </c>
      <c r="Z29" s="10">
        <v>101.78</v>
      </c>
      <c r="AA29" s="10">
        <v>102.23</v>
      </c>
      <c r="AB29" s="95">
        <v>3354600</v>
      </c>
      <c r="AC29" s="10">
        <v>102.23</v>
      </c>
      <c r="AD29" s="2">
        <f t="shared" si="0"/>
        <v>1.1799999999999926</v>
      </c>
      <c r="AE29" s="138">
        <f t="shared" si="1"/>
        <v>-3.21762870514819E-3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42636</v>
      </c>
      <c r="X30" s="10">
        <v>102.1</v>
      </c>
      <c r="Y30" s="10">
        <v>103</v>
      </c>
      <c r="Z30" s="10">
        <v>101.91</v>
      </c>
      <c r="AA30" s="10">
        <v>102.56</v>
      </c>
      <c r="AB30" s="95">
        <v>2646400</v>
      </c>
      <c r="AC30" s="10">
        <v>102.56</v>
      </c>
      <c r="AD30" s="2">
        <f t="shared" si="0"/>
        <v>1.0900000000000034</v>
      </c>
      <c r="AE30" s="138">
        <f t="shared" si="1"/>
        <v>-4.2718446601941462E-3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42635</v>
      </c>
      <c r="X31" s="10">
        <v>102.73</v>
      </c>
      <c r="Y31" s="10">
        <v>103.48</v>
      </c>
      <c r="Z31" s="10">
        <v>102.62</v>
      </c>
      <c r="AA31" s="10">
        <v>103</v>
      </c>
      <c r="AB31" s="95">
        <v>3574600</v>
      </c>
      <c r="AC31" s="10">
        <v>103</v>
      </c>
      <c r="AD31" s="2">
        <f t="shared" si="0"/>
        <v>0.85999999999999943</v>
      </c>
      <c r="AE31" s="138">
        <f t="shared" si="1"/>
        <v>1.0200078462142104E-2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42634</v>
      </c>
      <c r="X32" s="10">
        <v>100.65</v>
      </c>
      <c r="Y32" s="10">
        <v>102.08</v>
      </c>
      <c r="Z32" s="10">
        <v>100.47</v>
      </c>
      <c r="AA32" s="10">
        <v>101.96</v>
      </c>
      <c r="AB32" s="95">
        <v>3144800</v>
      </c>
      <c r="AC32" s="10">
        <v>101.96</v>
      </c>
      <c r="AD32" s="2">
        <f t="shared" si="0"/>
        <v>1.6099999999999994</v>
      </c>
      <c r="AE32" s="138">
        <f t="shared" si="1"/>
        <v>1.7158818834796419E-2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42633</v>
      </c>
      <c r="X33" s="10">
        <v>100.77</v>
      </c>
      <c r="Y33" s="10">
        <v>101.5</v>
      </c>
      <c r="Z33" s="10">
        <v>100.24</v>
      </c>
      <c r="AA33" s="10">
        <v>100.24</v>
      </c>
      <c r="AB33" s="95">
        <v>3110100</v>
      </c>
      <c r="AC33" s="10">
        <v>100.24</v>
      </c>
      <c r="AD33" s="2">
        <f t="shared" si="0"/>
        <v>1.2600000000000051</v>
      </c>
      <c r="AE33" s="138">
        <f t="shared" si="1"/>
        <v>-1.9912385503784158E-3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42632</v>
      </c>
      <c r="X34" s="10">
        <v>100.5</v>
      </c>
      <c r="Y34" s="10">
        <v>101.18</v>
      </c>
      <c r="Z34" s="10">
        <v>100.23</v>
      </c>
      <c r="AA34" s="10">
        <v>100.44</v>
      </c>
      <c r="AB34" s="95">
        <v>3316100</v>
      </c>
      <c r="AC34" s="10">
        <v>100.44</v>
      </c>
      <c r="AD34" s="2">
        <f t="shared" si="0"/>
        <v>0.95000000000000284</v>
      </c>
      <c r="AE34" s="138">
        <f t="shared" si="1"/>
        <v>3.3966033966035258E-3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42629</v>
      </c>
      <c r="X35" s="10">
        <v>102.57</v>
      </c>
      <c r="Y35" s="10">
        <v>102.57</v>
      </c>
      <c r="Z35" s="10">
        <v>99.85</v>
      </c>
      <c r="AA35" s="10">
        <v>100.1</v>
      </c>
      <c r="AB35" s="95">
        <v>7724200</v>
      </c>
      <c r="AC35" s="10">
        <v>100.1</v>
      </c>
      <c r="AD35" s="2">
        <f t="shared" si="0"/>
        <v>2.7199999999999989</v>
      </c>
      <c r="AE35" s="138">
        <f t="shared" si="1"/>
        <v>-2.5411352351280336E-2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42628</v>
      </c>
      <c r="X36" s="10">
        <v>101.44</v>
      </c>
      <c r="Y36" s="10">
        <v>102.91</v>
      </c>
      <c r="Z36" s="10">
        <v>101.26</v>
      </c>
      <c r="AA36" s="10">
        <v>102.71</v>
      </c>
      <c r="AB36" s="95">
        <v>3139900</v>
      </c>
      <c r="AC36" s="10">
        <v>102.71</v>
      </c>
      <c r="AD36" s="2">
        <f t="shared" si="0"/>
        <v>1.6499999999999915</v>
      </c>
      <c r="AE36" s="138">
        <f t="shared" si="1"/>
        <v>1.0328546134172667E-2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42627</v>
      </c>
      <c r="X37" s="10">
        <v>102.19</v>
      </c>
      <c r="Y37" s="10">
        <v>102.86</v>
      </c>
      <c r="Z37" s="10">
        <v>101.44</v>
      </c>
      <c r="AA37" s="10">
        <v>101.66</v>
      </c>
      <c r="AB37" s="95">
        <v>4092200</v>
      </c>
      <c r="AC37" s="10">
        <v>101.66</v>
      </c>
      <c r="AD37" s="2">
        <f t="shared" si="0"/>
        <v>1.4200000000000017</v>
      </c>
      <c r="AE37" s="138">
        <f t="shared" si="1"/>
        <v>-6.4503518373729696E-3</v>
      </c>
    </row>
    <row r="38" spans="1:31" x14ac:dyDescent="0.25">
      <c r="W38" s="133">
        <v>42626</v>
      </c>
      <c r="X38" s="10">
        <v>103.07</v>
      </c>
      <c r="Y38" s="10">
        <v>103.35</v>
      </c>
      <c r="Z38" s="10">
        <v>102.05</v>
      </c>
      <c r="AA38" s="10">
        <v>102.32</v>
      </c>
      <c r="AB38" s="95">
        <v>3543300</v>
      </c>
      <c r="AC38" s="10">
        <v>102.32</v>
      </c>
      <c r="AD38" s="2">
        <f t="shared" si="0"/>
        <v>1.2999999999999972</v>
      </c>
      <c r="AE38" s="138">
        <f t="shared" si="1"/>
        <v>-1.6437566086705879E-2</v>
      </c>
    </row>
    <row r="39" spans="1:31" ht="20.25" thickBot="1" x14ac:dyDescent="0.35">
      <c r="P39" s="588" t="s">
        <v>78</v>
      </c>
      <c r="Q39" s="588"/>
      <c r="W39" s="133">
        <v>42625</v>
      </c>
      <c r="X39" s="10">
        <v>102.2</v>
      </c>
      <c r="Y39" s="10">
        <v>104.35</v>
      </c>
      <c r="Z39" s="10">
        <v>101.89</v>
      </c>
      <c r="AA39" s="10">
        <v>104.03</v>
      </c>
      <c r="AB39" s="95">
        <v>3851800</v>
      </c>
      <c r="AC39" s="10">
        <v>104.03</v>
      </c>
      <c r="AD39" s="2">
        <f t="shared" si="0"/>
        <v>2.4599999999999937</v>
      </c>
      <c r="AE39" s="138">
        <f t="shared" si="1"/>
        <v>1.3147643163225586E-2</v>
      </c>
    </row>
    <row r="40" spans="1:31" ht="15.75" thickTop="1" x14ac:dyDescent="0.25">
      <c r="O40" s="2"/>
      <c r="P40" s="83">
        <v>1.1000000000000001</v>
      </c>
      <c r="Q40" s="83">
        <f>P40*$Q$4</f>
        <v>111.69400000000002</v>
      </c>
      <c r="W40" s="133">
        <v>42622</v>
      </c>
      <c r="X40" s="10">
        <v>105</v>
      </c>
      <c r="Y40" s="10">
        <v>105.1</v>
      </c>
      <c r="Z40" s="10">
        <v>102.67</v>
      </c>
      <c r="AA40" s="10">
        <v>102.68</v>
      </c>
      <c r="AB40" s="95">
        <v>4258200</v>
      </c>
      <c r="AC40" s="10">
        <v>102.68</v>
      </c>
      <c r="AD40" s="2">
        <f t="shared" si="0"/>
        <v>2.4299999999999926</v>
      </c>
      <c r="AE40" s="138">
        <f t="shared" si="1"/>
        <v>-2.9030732860520048E-2</v>
      </c>
    </row>
    <row r="41" spans="1:31" x14ac:dyDescent="0.25">
      <c r="O41" s="2"/>
      <c r="P41" s="83">
        <v>1.0900000000000001</v>
      </c>
      <c r="Q41" s="83">
        <f t="shared" ref="Q41:Q60" si="2">P41*$Q$4</f>
        <v>110.67860000000002</v>
      </c>
      <c r="W41" s="133">
        <v>42621</v>
      </c>
      <c r="X41" s="10">
        <v>105.61</v>
      </c>
      <c r="Y41" s="10">
        <v>106.16</v>
      </c>
      <c r="Z41" s="10">
        <v>105.52</v>
      </c>
      <c r="AA41" s="10">
        <v>105.75</v>
      </c>
      <c r="AB41" s="95">
        <v>2810200</v>
      </c>
      <c r="AC41" s="10">
        <v>105.75</v>
      </c>
      <c r="AD41" s="2">
        <f t="shared" si="0"/>
        <v>0.64000000000000057</v>
      </c>
      <c r="AE41" s="138">
        <f t="shared" si="1"/>
        <v>-9.4473311289555717E-4</v>
      </c>
    </row>
    <row r="42" spans="1:31" ht="20.25" thickBot="1" x14ac:dyDescent="0.35">
      <c r="O42" s="2"/>
      <c r="P42" s="83">
        <v>1.08</v>
      </c>
      <c r="Q42" s="83">
        <f t="shared" si="2"/>
        <v>109.66320000000002</v>
      </c>
      <c r="T42" s="91" t="s">
        <v>113</v>
      </c>
      <c r="W42" s="133">
        <v>42620</v>
      </c>
      <c r="X42" s="10">
        <v>105.72</v>
      </c>
      <c r="Y42" s="10">
        <v>106.29</v>
      </c>
      <c r="Z42" s="10">
        <v>105.29</v>
      </c>
      <c r="AA42" s="10">
        <v>105.85</v>
      </c>
      <c r="AB42" s="95">
        <v>2524200</v>
      </c>
      <c r="AC42" s="10">
        <v>105.85</v>
      </c>
      <c r="AD42" s="2">
        <f t="shared" si="0"/>
        <v>1</v>
      </c>
      <c r="AE42" s="138">
        <f t="shared" si="1"/>
        <v>-1.5092915762664472E-3</v>
      </c>
    </row>
    <row r="43" spans="1:31" ht="15.75" thickTop="1" x14ac:dyDescent="0.25">
      <c r="O43" s="2"/>
      <c r="P43" s="83">
        <v>1.07</v>
      </c>
      <c r="Q43" s="83">
        <f t="shared" si="2"/>
        <v>108.64780000000002</v>
      </c>
      <c r="T43" s="128" t="s">
        <v>98</v>
      </c>
      <c r="U43" s="98">
        <v>102.01</v>
      </c>
      <c r="W43" s="133">
        <v>42619</v>
      </c>
      <c r="X43" s="10">
        <v>107</v>
      </c>
      <c r="Y43" s="10">
        <v>107.49</v>
      </c>
      <c r="Z43" s="10">
        <v>105.48</v>
      </c>
      <c r="AA43" s="10">
        <v>106.01</v>
      </c>
      <c r="AB43" s="95">
        <v>3670700</v>
      </c>
      <c r="AC43" s="10">
        <v>106.01</v>
      </c>
      <c r="AD43" s="2">
        <f t="shared" si="0"/>
        <v>2.0099999999999909</v>
      </c>
      <c r="AE43" s="138">
        <f t="shared" si="1"/>
        <v>-8.6037594688114227E-3</v>
      </c>
    </row>
    <row r="44" spans="1:31" x14ac:dyDescent="0.25">
      <c r="O44" s="2"/>
      <c r="P44" s="83">
        <v>1.06</v>
      </c>
      <c r="Q44" s="83">
        <f t="shared" si="2"/>
        <v>107.63240000000002</v>
      </c>
      <c r="T44" s="93" t="s">
        <v>99</v>
      </c>
      <c r="U44" s="88">
        <v>101.85</v>
      </c>
      <c r="W44" s="133">
        <v>42615</v>
      </c>
      <c r="X44" s="10">
        <v>107.19</v>
      </c>
      <c r="Y44" s="10">
        <v>107.72</v>
      </c>
      <c r="Z44" s="10">
        <v>106.48</v>
      </c>
      <c r="AA44" s="10">
        <v>106.93</v>
      </c>
      <c r="AB44" s="95">
        <v>3066700</v>
      </c>
      <c r="AC44" s="10">
        <v>106.93</v>
      </c>
      <c r="AD44" s="2">
        <f t="shared" si="0"/>
        <v>1.2399999999999949</v>
      </c>
      <c r="AE44" s="138">
        <f t="shared" si="1"/>
        <v>1.9677661169414939E-3</v>
      </c>
    </row>
    <row r="45" spans="1:31" x14ac:dyDescent="0.25">
      <c r="O45" s="2"/>
      <c r="P45" s="83">
        <v>1.05</v>
      </c>
      <c r="Q45" s="83">
        <f t="shared" si="2"/>
        <v>106.617</v>
      </c>
      <c r="T45" s="93" t="s">
        <v>100</v>
      </c>
      <c r="U45" s="88" t="s">
        <v>562</v>
      </c>
      <c r="W45" s="133">
        <v>42614</v>
      </c>
      <c r="X45" s="10">
        <v>106.74</v>
      </c>
      <c r="Y45" s="10">
        <v>106.97</v>
      </c>
      <c r="Z45" s="10">
        <v>105.7</v>
      </c>
      <c r="AA45" s="10">
        <v>106.72</v>
      </c>
      <c r="AB45" s="95">
        <v>3231500</v>
      </c>
      <c r="AC45" s="10">
        <v>106.72</v>
      </c>
      <c r="AD45" s="2">
        <f t="shared" si="0"/>
        <v>1.269999999999996</v>
      </c>
      <c r="AE45" s="138">
        <f t="shared" si="1"/>
        <v>2.7247956403269047E-3</v>
      </c>
    </row>
    <row r="46" spans="1:31" x14ac:dyDescent="0.25">
      <c r="O46" s="2"/>
      <c r="P46" s="83">
        <v>1.04</v>
      </c>
      <c r="Q46" s="83">
        <f t="shared" si="2"/>
        <v>105.6016</v>
      </c>
      <c r="T46" s="93" t="s">
        <v>101</v>
      </c>
      <c r="U46" s="88" t="s">
        <v>563</v>
      </c>
      <c r="W46" s="133">
        <v>42613</v>
      </c>
      <c r="X46" s="10">
        <v>106.99</v>
      </c>
      <c r="Y46" s="10">
        <v>107.19</v>
      </c>
      <c r="Z46" s="10">
        <v>106.35</v>
      </c>
      <c r="AA46" s="10">
        <v>106.43</v>
      </c>
      <c r="AB46" s="95">
        <v>3349200</v>
      </c>
      <c r="AC46" s="10">
        <v>106.43</v>
      </c>
      <c r="AD46" s="2">
        <f t="shared" si="0"/>
        <v>0.84000000000000341</v>
      </c>
      <c r="AE46" s="138">
        <f t="shared" si="1"/>
        <v>-8.5700978108987913E-3</v>
      </c>
    </row>
    <row r="47" spans="1:31" x14ac:dyDescent="0.25">
      <c r="O47" s="2"/>
      <c r="P47" s="83">
        <v>1.03</v>
      </c>
      <c r="Q47" s="83">
        <f t="shared" si="2"/>
        <v>104.58620000000001</v>
      </c>
      <c r="T47" s="93" t="s">
        <v>102</v>
      </c>
      <c r="U47" s="88">
        <v>111.67</v>
      </c>
      <c r="W47" s="133">
        <v>42612</v>
      </c>
      <c r="X47" s="10">
        <v>107.87</v>
      </c>
      <c r="Y47" s="10">
        <v>108.12</v>
      </c>
      <c r="Z47" s="10">
        <v>107.19</v>
      </c>
      <c r="AA47" s="10">
        <v>107.35</v>
      </c>
      <c r="AB47" s="95">
        <v>2390800</v>
      </c>
      <c r="AC47" s="10">
        <v>107.35</v>
      </c>
      <c r="AD47" s="2">
        <f t="shared" si="0"/>
        <v>0.93000000000000682</v>
      </c>
      <c r="AE47" s="138">
        <f t="shared" si="1"/>
        <v>-5.7423358340280561E-3</v>
      </c>
    </row>
    <row r="48" spans="1:31" x14ac:dyDescent="0.25">
      <c r="O48" s="2"/>
      <c r="P48" s="83">
        <v>1.02</v>
      </c>
      <c r="Q48" s="83">
        <f t="shared" si="2"/>
        <v>103.57080000000001</v>
      </c>
      <c r="T48" s="93" t="s">
        <v>103</v>
      </c>
      <c r="U48" s="88">
        <v>0.94391800000000003</v>
      </c>
      <c r="W48" s="133">
        <v>42611</v>
      </c>
      <c r="X48" s="10">
        <v>107.58</v>
      </c>
      <c r="Y48" s="10">
        <v>108.15</v>
      </c>
      <c r="Z48" s="10">
        <v>107.43</v>
      </c>
      <c r="AA48" s="10">
        <v>107.97</v>
      </c>
      <c r="AB48" s="95">
        <v>1793100</v>
      </c>
      <c r="AC48" s="10">
        <v>107.97</v>
      </c>
      <c r="AD48" s="2">
        <f t="shared" si="0"/>
        <v>0.71999999999999886</v>
      </c>
      <c r="AE48" s="138">
        <f t="shared" si="1"/>
        <v>6.1504053676264547E-3</v>
      </c>
    </row>
    <row r="49" spans="15:31" x14ac:dyDescent="0.25">
      <c r="O49" s="2"/>
      <c r="P49" s="83">
        <v>1.01</v>
      </c>
      <c r="Q49" s="83">
        <f t="shared" si="2"/>
        <v>102.55540000000001</v>
      </c>
      <c r="T49" s="93" t="s">
        <v>122</v>
      </c>
      <c r="U49" s="88" t="s">
        <v>399</v>
      </c>
      <c r="W49" s="133">
        <v>42608</v>
      </c>
      <c r="X49" s="10">
        <v>107.94</v>
      </c>
      <c r="Y49" s="10">
        <v>108.29</v>
      </c>
      <c r="Z49" s="10">
        <v>106.94</v>
      </c>
      <c r="AA49" s="10">
        <v>107.31</v>
      </c>
      <c r="AB49" s="95">
        <v>2511100</v>
      </c>
      <c r="AC49" s="10">
        <v>107.31</v>
      </c>
      <c r="AD49" s="2">
        <f t="shared" si="0"/>
        <v>1.3500000000000085</v>
      </c>
      <c r="AE49" s="138">
        <f t="shared" si="1"/>
        <v>-3.8061641292238546E-3</v>
      </c>
    </row>
    <row r="50" spans="15:31" x14ac:dyDescent="0.25">
      <c r="O50" s="2"/>
      <c r="P50" s="83">
        <v>1</v>
      </c>
      <c r="Q50" s="83">
        <f t="shared" si="2"/>
        <v>101.54</v>
      </c>
      <c r="T50" s="93"/>
      <c r="U50" s="88"/>
      <c r="W50" s="133">
        <v>42607</v>
      </c>
      <c r="X50" s="10">
        <v>107.75</v>
      </c>
      <c r="Y50" s="10">
        <v>108.14</v>
      </c>
      <c r="Z50" s="10">
        <v>107.41</v>
      </c>
      <c r="AA50" s="10">
        <v>107.72</v>
      </c>
      <c r="AB50" s="95">
        <v>1793600</v>
      </c>
      <c r="AC50" s="10">
        <v>107.72</v>
      </c>
      <c r="AD50" s="2">
        <f t="shared" si="0"/>
        <v>0.73000000000000398</v>
      </c>
      <c r="AE50" s="138">
        <f t="shared" si="1"/>
        <v>-2.2230455724341347E-3</v>
      </c>
    </row>
    <row r="51" spans="15:31" x14ac:dyDescent="0.25">
      <c r="O51" s="2"/>
      <c r="P51" s="83">
        <v>0.99</v>
      </c>
      <c r="Q51" s="83">
        <f t="shared" si="2"/>
        <v>100.52460000000001</v>
      </c>
      <c r="T51" s="93" t="s">
        <v>105</v>
      </c>
      <c r="U51" s="88" t="s">
        <v>564</v>
      </c>
      <c r="W51" s="133">
        <v>42606</v>
      </c>
      <c r="X51" s="10">
        <v>108.02</v>
      </c>
      <c r="Y51" s="10">
        <v>108.32</v>
      </c>
      <c r="Z51" s="10">
        <v>107.6</v>
      </c>
      <c r="AA51" s="10">
        <v>107.96</v>
      </c>
      <c r="AB51" s="95">
        <v>2444700</v>
      </c>
      <c r="AC51" s="10">
        <v>107.96</v>
      </c>
      <c r="AD51" s="2">
        <f t="shared" si="0"/>
        <v>0.71999999999999886</v>
      </c>
      <c r="AE51" s="138">
        <f t="shared" si="1"/>
        <v>-3.7037037037046527E-4</v>
      </c>
    </row>
    <row r="52" spans="15:31" x14ac:dyDescent="0.25">
      <c r="O52" s="2"/>
      <c r="P52" s="83">
        <v>0.98</v>
      </c>
      <c r="Q52" s="83">
        <f t="shared" si="2"/>
        <v>99.509200000000007</v>
      </c>
      <c r="T52" s="93" t="s">
        <v>106</v>
      </c>
      <c r="U52" s="88" t="s">
        <v>301</v>
      </c>
      <c r="W52" s="133">
        <v>42605</v>
      </c>
      <c r="X52" s="10">
        <v>109</v>
      </c>
      <c r="Y52" s="10">
        <v>109.35</v>
      </c>
      <c r="Z52" s="10">
        <v>108</v>
      </c>
      <c r="AA52" s="10">
        <v>108</v>
      </c>
      <c r="AB52" s="95">
        <v>3064100</v>
      </c>
      <c r="AC52" s="10">
        <v>108</v>
      </c>
      <c r="AD52" s="2">
        <f t="shared" si="0"/>
        <v>1.3499999999999943</v>
      </c>
      <c r="AE52" s="138">
        <f t="shared" si="1"/>
        <v>-4.6082949308755561E-3</v>
      </c>
    </row>
    <row r="53" spans="15:31" x14ac:dyDescent="0.25">
      <c r="P53" s="83">
        <v>0.97</v>
      </c>
      <c r="Q53" s="83">
        <f t="shared" si="2"/>
        <v>98.493800000000007</v>
      </c>
      <c r="T53" s="93" t="s">
        <v>107</v>
      </c>
      <c r="U53" s="90">
        <v>4115453</v>
      </c>
      <c r="W53" s="133">
        <v>42604</v>
      </c>
      <c r="X53" s="10">
        <v>108.52</v>
      </c>
      <c r="Y53" s="10">
        <v>108.99</v>
      </c>
      <c r="Z53" s="10">
        <v>108.14</v>
      </c>
      <c r="AA53" s="10">
        <v>108.5</v>
      </c>
      <c r="AB53" s="95">
        <v>2450500</v>
      </c>
      <c r="AC53" s="10">
        <v>108.5</v>
      </c>
      <c r="AD53" s="2">
        <f t="shared" si="0"/>
        <v>0.84999999999999432</v>
      </c>
      <c r="AE53" s="138">
        <f t="shared" si="1"/>
        <v>-5.8640278541323143E-3</v>
      </c>
    </row>
    <row r="54" spans="15:31" x14ac:dyDescent="0.25">
      <c r="P54" s="83">
        <v>0.96</v>
      </c>
      <c r="Q54" s="83">
        <f t="shared" si="2"/>
        <v>97.478400000000008</v>
      </c>
      <c r="T54" s="93" t="s">
        <v>110</v>
      </c>
      <c r="U54" s="90">
        <v>3337510</v>
      </c>
      <c r="W54" s="133">
        <v>42601</v>
      </c>
      <c r="X54" s="10">
        <v>109.01</v>
      </c>
      <c r="Y54" s="10">
        <v>109.42</v>
      </c>
      <c r="Z54" s="10">
        <v>108.9</v>
      </c>
      <c r="AA54" s="10">
        <v>109.14</v>
      </c>
      <c r="AB54" s="95">
        <v>2388800</v>
      </c>
      <c r="AC54" s="10">
        <v>109.14</v>
      </c>
      <c r="AD54" s="2">
        <f t="shared" si="0"/>
        <v>0.51999999999999602</v>
      </c>
      <c r="AE54" s="138">
        <f t="shared" si="1"/>
        <v>-1.7378578615201423E-3</v>
      </c>
    </row>
    <row r="55" spans="15:31" x14ac:dyDescent="0.25">
      <c r="P55" s="83">
        <v>0.95</v>
      </c>
      <c r="Q55" s="83">
        <f t="shared" si="2"/>
        <v>96.463000000000008</v>
      </c>
      <c r="T55" s="93" t="s">
        <v>108</v>
      </c>
      <c r="U55" s="88" t="s">
        <v>565</v>
      </c>
      <c r="W55" s="133">
        <v>42600</v>
      </c>
      <c r="X55" s="10">
        <v>109.05</v>
      </c>
      <c r="Y55" s="10">
        <v>109.42</v>
      </c>
      <c r="Z55" s="10">
        <v>108.85</v>
      </c>
      <c r="AA55" s="10">
        <v>109.33</v>
      </c>
      <c r="AB55" s="95">
        <v>1959800</v>
      </c>
      <c r="AC55" s="10">
        <v>109.33</v>
      </c>
      <c r="AD55" s="2">
        <f t="shared" si="0"/>
        <v>0.57000000000000739</v>
      </c>
      <c r="AE55" s="138">
        <f t="shared" si="1"/>
        <v>3.5799522673030104E-3</v>
      </c>
    </row>
    <row r="56" spans="15:31" x14ac:dyDescent="0.25">
      <c r="P56" s="83">
        <v>0.94</v>
      </c>
      <c r="Q56" s="83">
        <f t="shared" si="2"/>
        <v>95.447599999999994</v>
      </c>
      <c r="T56" s="93" t="s">
        <v>111</v>
      </c>
      <c r="U56" s="88">
        <v>11.6</v>
      </c>
      <c r="W56" s="133">
        <v>42599</v>
      </c>
      <c r="X56" s="10">
        <v>108.55</v>
      </c>
      <c r="Y56" s="10">
        <v>109.01</v>
      </c>
      <c r="Z56" s="10">
        <v>108.2</v>
      </c>
      <c r="AA56" s="10">
        <v>108.94</v>
      </c>
      <c r="AB56" s="95">
        <v>2208000</v>
      </c>
      <c r="AC56" s="10">
        <v>108.94</v>
      </c>
      <c r="AD56" s="2">
        <f t="shared" si="0"/>
        <v>0.81000000000000227</v>
      </c>
      <c r="AE56" s="138" t="e">
        <f t="shared" si="1"/>
        <v>#DIV/0!</v>
      </c>
    </row>
    <row r="57" spans="15:31" x14ac:dyDescent="0.25">
      <c r="P57" s="83">
        <v>0.93</v>
      </c>
      <c r="Q57" s="83">
        <f t="shared" si="2"/>
        <v>94.432200000000009</v>
      </c>
      <c r="T57" s="93" t="s">
        <v>112</v>
      </c>
      <c r="U57" s="88">
        <v>8.75</v>
      </c>
      <c r="W57" s="133">
        <v>42599</v>
      </c>
      <c r="X57" s="10" t="s">
        <v>223</v>
      </c>
      <c r="Y57" s="10"/>
      <c r="Z57" s="10"/>
      <c r="AA57" s="10"/>
      <c r="AB57" s="95"/>
      <c r="AC57" s="10"/>
      <c r="AD57" s="2">
        <f t="shared" si="0"/>
        <v>0</v>
      </c>
      <c r="AE57" s="138">
        <f t="shared" si="1"/>
        <v>-1</v>
      </c>
    </row>
    <row r="58" spans="15:31" x14ac:dyDescent="0.25">
      <c r="P58" s="83">
        <v>0.92</v>
      </c>
      <c r="Q58" s="83">
        <f t="shared" si="2"/>
        <v>93.416800000000009</v>
      </c>
      <c r="T58" s="93" t="s">
        <v>109</v>
      </c>
      <c r="U58" s="88" t="s">
        <v>440</v>
      </c>
      <c r="W58" s="133">
        <v>42598</v>
      </c>
      <c r="X58" s="10">
        <v>109.21</v>
      </c>
      <c r="Y58" s="10">
        <v>109.62</v>
      </c>
      <c r="Z58" s="10">
        <v>109</v>
      </c>
      <c r="AA58" s="10">
        <v>109.16</v>
      </c>
      <c r="AB58" s="95">
        <v>2413700</v>
      </c>
      <c r="AC58" s="10">
        <v>108.5</v>
      </c>
      <c r="AD58" s="2">
        <f t="shared" si="0"/>
        <v>0.62000000000000455</v>
      </c>
      <c r="AE58" s="138">
        <f t="shared" si="1"/>
        <v>-4.8610474181418617E-3</v>
      </c>
    </row>
    <row r="59" spans="15:31" x14ac:dyDescent="0.25">
      <c r="P59" s="83">
        <v>0.91</v>
      </c>
      <c r="Q59" s="83">
        <f t="shared" si="2"/>
        <v>92.40140000000001</v>
      </c>
      <c r="W59" s="133">
        <v>42597</v>
      </c>
      <c r="X59" s="10">
        <v>109.17</v>
      </c>
      <c r="Y59" s="10">
        <v>109.83</v>
      </c>
      <c r="Z59" s="10">
        <v>109.17</v>
      </c>
      <c r="AA59" s="10">
        <v>109.69</v>
      </c>
      <c r="AB59" s="95">
        <v>2044500</v>
      </c>
      <c r="AC59" s="10">
        <v>109.03</v>
      </c>
      <c r="AD59" s="2">
        <f t="shared" si="0"/>
        <v>0.65999999999999659</v>
      </c>
      <c r="AE59" s="138">
        <f t="shared" si="1"/>
        <v>7.5778578689584819E-3</v>
      </c>
    </row>
    <row r="60" spans="15:31" x14ac:dyDescent="0.25">
      <c r="P60" s="83">
        <v>0.9</v>
      </c>
      <c r="Q60" s="83">
        <f t="shared" si="2"/>
        <v>91.38600000000001</v>
      </c>
      <c r="W60" s="133">
        <v>42594</v>
      </c>
      <c r="X60" s="10">
        <v>109.02</v>
      </c>
      <c r="Y60" s="10">
        <v>109.18</v>
      </c>
      <c r="Z60" s="10">
        <v>108.55</v>
      </c>
      <c r="AA60" s="10">
        <v>108.87</v>
      </c>
      <c r="AB60" s="95">
        <v>1808400</v>
      </c>
      <c r="AC60" s="10">
        <v>108.21</v>
      </c>
      <c r="AD60" s="2">
        <f t="shared" si="0"/>
        <v>0.63000000000000966</v>
      </c>
      <c r="AE60" s="138">
        <f t="shared" si="1"/>
        <v>-2.8566162919277938E-3</v>
      </c>
    </row>
    <row r="61" spans="15:31" x14ac:dyDescent="0.25">
      <c r="W61" s="133">
        <v>42593</v>
      </c>
      <c r="X61" s="10">
        <v>108.5</v>
      </c>
      <c r="Y61" s="10">
        <v>109.29</v>
      </c>
      <c r="Z61" s="10">
        <v>108.46</v>
      </c>
      <c r="AA61" s="10">
        <v>109.18</v>
      </c>
      <c r="AB61" s="95">
        <v>2005200</v>
      </c>
      <c r="AC61" s="10">
        <v>108.52</v>
      </c>
      <c r="AD61" s="2">
        <f t="shared" si="0"/>
        <v>0.83000000000001251</v>
      </c>
      <c r="AE61" s="138">
        <f t="shared" si="1"/>
        <v>9.7701684190936167E-3</v>
      </c>
    </row>
    <row r="62" spans="15:31" x14ac:dyDescent="0.25">
      <c r="W62" s="133">
        <v>42592</v>
      </c>
      <c r="X62" s="10">
        <v>108.46</v>
      </c>
      <c r="Y62" s="10">
        <v>108.5</v>
      </c>
      <c r="Z62" s="10">
        <v>107.78</v>
      </c>
      <c r="AA62" s="10">
        <v>108.12</v>
      </c>
      <c r="AB62" s="95">
        <v>1658700</v>
      </c>
      <c r="AC62" s="10">
        <v>107.47</v>
      </c>
      <c r="AD62" s="2">
        <f t="shared" si="0"/>
        <v>0.71999999999999886</v>
      </c>
      <c r="AE62" s="138">
        <f t="shared" si="1"/>
        <v>-1.9502228826152601E-3</v>
      </c>
    </row>
    <row r="63" spans="15:31" x14ac:dyDescent="0.25">
      <c r="W63" s="133">
        <v>42591</v>
      </c>
      <c r="X63" s="10">
        <v>108.01</v>
      </c>
      <c r="Y63" s="10">
        <v>108.4</v>
      </c>
      <c r="Z63" s="10">
        <v>107.87</v>
      </c>
      <c r="AA63" s="10">
        <v>108.34</v>
      </c>
      <c r="AB63" s="95">
        <v>2213100</v>
      </c>
      <c r="AC63" s="10">
        <v>107.68</v>
      </c>
      <c r="AD63" s="2">
        <f t="shared" si="0"/>
        <v>0.53000000000000114</v>
      </c>
      <c r="AE63" s="138">
        <f t="shared" si="1"/>
        <v>5.0401344035841955E-3</v>
      </c>
    </row>
    <row r="64" spans="15:31" x14ac:dyDescent="0.25">
      <c r="W64" s="133">
        <v>42590</v>
      </c>
      <c r="X64" s="10">
        <v>107.74</v>
      </c>
      <c r="Y64" s="10">
        <v>108.34</v>
      </c>
      <c r="Z64" s="10">
        <v>107.49</v>
      </c>
      <c r="AA64" s="10">
        <v>107.79</v>
      </c>
      <c r="AB64" s="95">
        <v>3020900</v>
      </c>
      <c r="AC64" s="10">
        <v>107.14</v>
      </c>
      <c r="AD64" s="2">
        <f t="shared" si="0"/>
        <v>0.85000000000000853</v>
      </c>
      <c r="AE64" s="138">
        <f t="shared" si="1"/>
        <v>4.6689700252122712E-4</v>
      </c>
    </row>
    <row r="65" spans="23:31" x14ac:dyDescent="0.25">
      <c r="W65" s="133">
        <v>42587</v>
      </c>
      <c r="X65" s="10">
        <v>106.85</v>
      </c>
      <c r="Y65" s="10">
        <v>107.74</v>
      </c>
      <c r="Z65" s="10">
        <v>106.68</v>
      </c>
      <c r="AA65" s="10">
        <v>107.74</v>
      </c>
      <c r="AB65" s="95">
        <v>2676100</v>
      </c>
      <c r="AC65" s="10">
        <v>107.09</v>
      </c>
      <c r="AD65" s="2">
        <f t="shared" si="0"/>
        <v>1.0599999999999881</v>
      </c>
      <c r="AE65" s="138">
        <f t="shared" si="1"/>
        <v>1.295875898600074E-2</v>
      </c>
    </row>
    <row r="66" spans="23:31" x14ac:dyDescent="0.25">
      <c r="W66" s="133">
        <v>42586</v>
      </c>
      <c r="X66" s="10">
        <v>106.55</v>
      </c>
      <c r="Y66" s="10">
        <v>107.07</v>
      </c>
      <c r="Z66" s="10">
        <v>106.32</v>
      </c>
      <c r="AA66" s="10">
        <v>106.36</v>
      </c>
      <c r="AB66" s="95">
        <v>1862900</v>
      </c>
      <c r="AC66" s="10">
        <v>105.72</v>
      </c>
      <c r="AD66" s="2">
        <f t="shared" si="0"/>
        <v>0.75</v>
      </c>
      <c r="AE66" s="138">
        <f t="shared" si="1"/>
        <v>6.6256507335538117E-4</v>
      </c>
    </row>
    <row r="67" spans="23:31" x14ac:dyDescent="0.25">
      <c r="W67" s="133">
        <v>42585</v>
      </c>
      <c r="X67" s="10">
        <v>106.27</v>
      </c>
      <c r="Y67" s="10">
        <v>106.52</v>
      </c>
      <c r="Z67" s="10">
        <v>106.02</v>
      </c>
      <c r="AA67" s="10">
        <v>106.29</v>
      </c>
      <c r="AB67" s="95">
        <v>2985400</v>
      </c>
      <c r="AC67" s="10">
        <v>105.65</v>
      </c>
      <c r="AD67" s="2">
        <f>Y67-Z67</f>
        <v>0.5</v>
      </c>
      <c r="AE67" s="138">
        <f>AC67/AC68-1</f>
        <v>1.8934014957872058E-4</v>
      </c>
    </row>
    <row r="68" spans="23:31" x14ac:dyDescent="0.25">
      <c r="W68" s="133">
        <v>42584</v>
      </c>
      <c r="X68" s="10">
        <v>106.49</v>
      </c>
      <c r="Y68" s="10">
        <v>106.73</v>
      </c>
      <c r="Z68" s="10">
        <v>105.89</v>
      </c>
      <c r="AA68" s="10">
        <v>106.27</v>
      </c>
      <c r="AB68" s="95">
        <v>2384100</v>
      </c>
      <c r="AC68" s="10">
        <v>105.63</v>
      </c>
      <c r="AD68" s="2">
        <f>Y68-Z68</f>
        <v>0.84000000000000341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159</v>
      </c>
      <c r="AJ1" s="11" t="s">
        <v>160</v>
      </c>
      <c r="AK1" s="11" t="s">
        <v>161</v>
      </c>
      <c r="AL1" s="11" t="s">
        <v>162</v>
      </c>
      <c r="AO1" s="11" t="s">
        <v>163</v>
      </c>
      <c r="AP1" s="11" t="s">
        <v>59</v>
      </c>
      <c r="AQ1" s="11" t="s">
        <v>165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42676</v>
      </c>
      <c r="X2" s="10">
        <v>139.02000000000001</v>
      </c>
      <c r="Y2" s="10">
        <v>141.22999999999999</v>
      </c>
      <c r="Z2" s="10">
        <v>138.93</v>
      </c>
      <c r="AA2" s="10">
        <v>138.97999999999999</v>
      </c>
      <c r="AB2" s="95">
        <v>3129200</v>
      </c>
      <c r="AC2" s="10">
        <v>138.97999999999999</v>
      </c>
      <c r="AD2" s="2">
        <f>Y2-Z2</f>
        <v>2.2999999999999829</v>
      </c>
      <c r="AE2" s="138">
        <f>AC2/AC3-1</f>
        <v>-3.2274259485047807E-3</v>
      </c>
      <c r="AP2" t="s">
        <v>164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138.97999999999999</v>
      </c>
      <c r="W3" s="133">
        <v>42675</v>
      </c>
      <c r="X3" s="10">
        <v>141.51</v>
      </c>
      <c r="Y3" s="10">
        <v>141.51</v>
      </c>
      <c r="Z3" s="10">
        <v>138.82</v>
      </c>
      <c r="AA3" s="10">
        <v>139.43</v>
      </c>
      <c r="AB3" s="95">
        <v>3301400</v>
      </c>
      <c r="AC3" s="10">
        <v>139.43</v>
      </c>
      <c r="AD3" s="2">
        <f t="shared" ref="AD3:AD66" si="0">Y3-Z3</f>
        <v>2.6899999999999977</v>
      </c>
      <c r="AE3" s="138">
        <f t="shared" ref="AE3:AE66" si="1">AC3/AC4-1</f>
        <v>-1.3443713295124948E-2</v>
      </c>
      <c r="AI3" t="s">
        <v>170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138.97999999999999</v>
      </c>
      <c r="R4" s="527">
        <v>-3.2000000000000002E-3</v>
      </c>
      <c r="W4" s="133">
        <v>42674</v>
      </c>
      <c r="X4" s="10">
        <v>140.80000000000001</v>
      </c>
      <c r="Y4" s="10">
        <v>141.54</v>
      </c>
      <c r="Z4" s="10">
        <v>139.97</v>
      </c>
      <c r="AA4" s="10">
        <v>141.33000000000001</v>
      </c>
      <c r="AB4" s="95">
        <v>3761100</v>
      </c>
      <c r="AC4" s="10">
        <v>141.33000000000001</v>
      </c>
      <c r="AD4" s="2">
        <f t="shared" si="0"/>
        <v>1.5699999999999932</v>
      </c>
      <c r="AE4" s="138">
        <f t="shared" si="1"/>
        <v>6.982543640897898E-3</v>
      </c>
      <c r="AI4" t="s">
        <v>171</v>
      </c>
      <c r="AJ4">
        <v>-10</v>
      </c>
      <c r="AK4" t="s">
        <v>168</v>
      </c>
      <c r="AL4" t="s">
        <v>168</v>
      </c>
      <c r="AO4" s="234">
        <v>-1153.98</v>
      </c>
      <c r="AP4" t="s">
        <v>168</v>
      </c>
      <c r="AQ4" t="s">
        <v>168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42671</v>
      </c>
      <c r="X5" s="10">
        <v>141.66</v>
      </c>
      <c r="Y5" s="10">
        <v>142.35</v>
      </c>
      <c r="Z5" s="10">
        <v>139.44</v>
      </c>
      <c r="AA5" s="10">
        <v>140.35</v>
      </c>
      <c r="AB5" s="95">
        <v>4033600</v>
      </c>
      <c r="AC5" s="10">
        <v>140.35</v>
      </c>
      <c r="AD5" s="2">
        <f t="shared" si="0"/>
        <v>2.9099999999999966</v>
      </c>
      <c r="AE5" s="138">
        <f t="shared" si="1"/>
        <v>-1.1201916302663095E-2</v>
      </c>
      <c r="AI5" t="s">
        <v>169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42670</v>
      </c>
      <c r="X6" s="10">
        <v>142.72</v>
      </c>
      <c r="Y6" s="10">
        <v>143.25</v>
      </c>
      <c r="Z6" s="10">
        <v>141.58000000000001</v>
      </c>
      <c r="AA6" s="10">
        <v>141.94</v>
      </c>
      <c r="AB6" s="95">
        <v>3358000</v>
      </c>
      <c r="AC6" s="10">
        <v>141.94</v>
      </c>
      <c r="AD6" s="2">
        <f t="shared" si="0"/>
        <v>1.6699999999999875</v>
      </c>
      <c r="AE6" s="138">
        <f t="shared" si="1"/>
        <v>-2.0389509948673945E-3</v>
      </c>
      <c r="AI6" t="s">
        <v>167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184</v>
      </c>
      <c r="Q7" s="2">
        <f>Q10+Q8</f>
        <v>176.70000000000073</v>
      </c>
      <c r="R7">
        <v>0</v>
      </c>
      <c r="W7" s="133">
        <v>42669</v>
      </c>
      <c r="X7" s="10">
        <v>143.75</v>
      </c>
      <c r="Y7" s="10">
        <v>143.78</v>
      </c>
      <c r="Z7" s="10">
        <v>141.88999999999999</v>
      </c>
      <c r="AA7" s="10">
        <v>142.22999999999999</v>
      </c>
      <c r="AB7" s="95">
        <v>3267600</v>
      </c>
      <c r="AC7" s="10">
        <v>142.22999999999999</v>
      </c>
      <c r="AD7" s="2">
        <f t="shared" si="0"/>
        <v>1.8900000000000148</v>
      </c>
      <c r="AE7" s="138">
        <f t="shared" si="1"/>
        <v>-1.0780358881624763E-2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42668</v>
      </c>
      <c r="X8" s="10">
        <v>144.88</v>
      </c>
      <c r="Y8" s="10">
        <v>145.38</v>
      </c>
      <c r="Z8" s="10">
        <v>143.6</v>
      </c>
      <c r="AA8" s="10">
        <v>143.78</v>
      </c>
      <c r="AB8" s="95">
        <v>3095400</v>
      </c>
      <c r="AC8" s="10">
        <v>143.78</v>
      </c>
      <c r="AD8" s="2">
        <f t="shared" si="0"/>
        <v>1.7800000000000011</v>
      </c>
      <c r="AE8" s="138">
        <f t="shared" si="1"/>
        <v>-6.2893081761006275E-3</v>
      </c>
    </row>
    <row r="9" spans="1:43" x14ac:dyDescent="0.25">
      <c r="O9" s="11" t="s">
        <v>219</v>
      </c>
      <c r="Q9" s="138">
        <f>IF(Q2=0, 0, Q8/Q6)</f>
        <v>0</v>
      </c>
      <c r="W9" s="133">
        <v>42667</v>
      </c>
      <c r="X9" s="10">
        <v>146</v>
      </c>
      <c r="Y9" s="10">
        <v>146.22</v>
      </c>
      <c r="Z9" s="10">
        <v>144.02000000000001</v>
      </c>
      <c r="AA9" s="10">
        <v>144.69</v>
      </c>
      <c r="AB9" s="95">
        <v>2930200</v>
      </c>
      <c r="AC9" s="10">
        <v>144.69</v>
      </c>
      <c r="AD9" s="2">
        <f t="shared" si="0"/>
        <v>2.1999999999999886</v>
      </c>
      <c r="AE9" s="138">
        <f t="shared" si="1"/>
        <v>-4.6777189241247186E-3</v>
      </c>
    </row>
    <row r="10" spans="1:43" x14ac:dyDescent="0.25">
      <c r="O10" s="11" t="s">
        <v>218</v>
      </c>
      <c r="P10" s="34"/>
      <c r="Q10" s="2">
        <f>M33</f>
        <v>176.70000000000073</v>
      </c>
      <c r="W10" s="133">
        <v>42664</v>
      </c>
      <c r="X10" s="10">
        <v>144.26</v>
      </c>
      <c r="Y10" s="10">
        <v>145.44</v>
      </c>
      <c r="Z10" s="10">
        <v>143.76</v>
      </c>
      <c r="AA10" s="10">
        <v>145.37</v>
      </c>
      <c r="AB10" s="95">
        <v>3331800</v>
      </c>
      <c r="AC10" s="10">
        <v>145.37</v>
      </c>
      <c r="AD10" s="2">
        <f t="shared" si="0"/>
        <v>1.6800000000000068</v>
      </c>
      <c r="AE10" s="138">
        <f t="shared" si="1"/>
        <v>2.0679671882539719E-3</v>
      </c>
    </row>
    <row r="11" spans="1:43" x14ac:dyDescent="0.25">
      <c r="O11" s="11" t="s">
        <v>181</v>
      </c>
      <c r="P11" s="34"/>
      <c r="Q11" s="138">
        <f>IF(U58="N/A (N/A)", 0, VALUE(TRIM(CLEAN(MID(U58, FIND("(", U58)+1, 5)))))</f>
        <v>1.78E-2</v>
      </c>
      <c r="W11" s="133">
        <v>42663</v>
      </c>
      <c r="X11" s="10">
        <v>144.49</v>
      </c>
      <c r="Y11" s="10">
        <v>145.88</v>
      </c>
      <c r="Z11" s="10">
        <v>143.97999999999999</v>
      </c>
      <c r="AA11" s="10">
        <v>145.07</v>
      </c>
      <c r="AB11" s="95">
        <v>5203700</v>
      </c>
      <c r="AC11" s="10">
        <v>145.07</v>
      </c>
      <c r="AD11" s="2">
        <f t="shared" si="0"/>
        <v>1.9000000000000057</v>
      </c>
      <c r="AE11" s="138">
        <f t="shared" si="1"/>
        <v>4.8486527671953716E-3</v>
      </c>
    </row>
    <row r="12" spans="1:43" x14ac:dyDescent="0.25">
      <c r="W12" s="133">
        <v>42662</v>
      </c>
      <c r="X12" s="10">
        <v>143.82</v>
      </c>
      <c r="Y12" s="10">
        <v>146.36000000000001</v>
      </c>
      <c r="Z12" s="10">
        <v>142.82</v>
      </c>
      <c r="AA12" s="10">
        <v>144.37</v>
      </c>
      <c r="AB12" s="95">
        <v>5796000</v>
      </c>
      <c r="AC12" s="10">
        <v>144.37</v>
      </c>
      <c r="AD12" s="2">
        <f t="shared" si="0"/>
        <v>3.5400000000000205</v>
      </c>
      <c r="AE12" s="138">
        <f t="shared" si="1"/>
        <v>6.8345072878166491E-3</v>
      </c>
    </row>
    <row r="13" spans="1:43" x14ac:dyDescent="0.25">
      <c r="W13" s="133">
        <v>42661</v>
      </c>
      <c r="X13" s="10">
        <v>139.19999999999999</v>
      </c>
      <c r="Y13" s="10">
        <v>143.94999999999999</v>
      </c>
      <c r="Z13" s="10">
        <v>137.87</v>
      </c>
      <c r="AA13" s="10">
        <v>143.38999999999999</v>
      </c>
      <c r="AB13" s="95">
        <v>10141900</v>
      </c>
      <c r="AC13" s="10">
        <v>143.38999999999999</v>
      </c>
      <c r="AD13" s="2">
        <f t="shared" si="0"/>
        <v>6.0799999999999841</v>
      </c>
      <c r="AE13" s="138">
        <f t="shared" si="1"/>
        <v>6.9037500931931728E-2</v>
      </c>
    </row>
    <row r="14" spans="1:43" x14ac:dyDescent="0.25">
      <c r="W14" s="133">
        <v>42660</v>
      </c>
      <c r="X14" s="10">
        <v>134.06</v>
      </c>
      <c r="Y14" s="10">
        <v>134.43</v>
      </c>
      <c r="Z14" s="10">
        <v>133.03</v>
      </c>
      <c r="AA14" s="10">
        <v>134.13</v>
      </c>
      <c r="AB14" s="95">
        <v>3602500</v>
      </c>
      <c r="AC14" s="10">
        <v>134.13</v>
      </c>
      <c r="AD14" s="2">
        <f t="shared" si="0"/>
        <v>1.4000000000000057</v>
      </c>
      <c r="AE14" s="138">
        <f t="shared" si="1"/>
        <v>1.5681003584229192E-3</v>
      </c>
    </row>
    <row r="15" spans="1:43" x14ac:dyDescent="0.25">
      <c r="W15" s="133">
        <v>42657</v>
      </c>
      <c r="X15" s="10">
        <v>134.78</v>
      </c>
      <c r="Y15" s="10">
        <v>135.51</v>
      </c>
      <c r="Z15" s="10">
        <v>133.88999999999999</v>
      </c>
      <c r="AA15" s="10">
        <v>133.91999999999999</v>
      </c>
      <c r="AB15" s="95">
        <v>3452900</v>
      </c>
      <c r="AC15" s="10">
        <v>133.91999999999999</v>
      </c>
      <c r="AD15" s="2">
        <f t="shared" si="0"/>
        <v>1.6200000000000045</v>
      </c>
      <c r="AE15" s="138">
        <f t="shared" si="1"/>
        <v>-2.0120724346077701E-3</v>
      </c>
    </row>
    <row r="16" spans="1:43" x14ac:dyDescent="0.25">
      <c r="W16" s="133">
        <v>42656</v>
      </c>
      <c r="X16" s="10">
        <v>134.65</v>
      </c>
      <c r="Y16" s="10">
        <v>134.65</v>
      </c>
      <c r="Z16" s="10">
        <v>133.61000000000001</v>
      </c>
      <c r="AA16" s="10">
        <v>134.19</v>
      </c>
      <c r="AB16" s="95">
        <v>3425700</v>
      </c>
      <c r="AC16" s="10">
        <v>134.19</v>
      </c>
      <c r="AD16" s="2">
        <f t="shared" si="0"/>
        <v>1.039999999999992</v>
      </c>
      <c r="AE16" s="138">
        <f t="shared" si="1"/>
        <v>-6.7357512953367671E-3</v>
      </c>
    </row>
    <row r="17" spans="1:31" x14ac:dyDescent="0.25">
      <c r="W17" s="133">
        <v>42655</v>
      </c>
      <c r="X17" s="10">
        <v>134.97999999999999</v>
      </c>
      <c r="Y17" s="10">
        <v>135.72</v>
      </c>
      <c r="Z17" s="10">
        <v>133.63999999999999</v>
      </c>
      <c r="AA17" s="10">
        <v>135.1</v>
      </c>
      <c r="AB17" s="95">
        <v>4287900</v>
      </c>
      <c r="AC17" s="10">
        <v>135.1</v>
      </c>
      <c r="AD17" s="2">
        <f t="shared" si="0"/>
        <v>2.0800000000000125</v>
      </c>
      <c r="AE17" s="138">
        <f t="shared" si="1"/>
        <v>2.5974025974024872E-3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42654</v>
      </c>
      <c r="X18" s="10">
        <v>137.32</v>
      </c>
      <c r="Y18" s="10">
        <v>137.69</v>
      </c>
      <c r="Z18" s="10">
        <v>134.37</v>
      </c>
      <c r="AA18" s="10">
        <v>134.75</v>
      </c>
      <c r="AB18" s="95">
        <v>3353600</v>
      </c>
      <c r="AC18" s="10">
        <v>134.75</v>
      </c>
      <c r="AD18" s="2">
        <f t="shared" si="0"/>
        <v>3.3199999999999932</v>
      </c>
      <c r="AE18" s="138">
        <f t="shared" si="1"/>
        <v>-2.4116454229432316E-2</v>
      </c>
    </row>
    <row r="19" spans="1:31" x14ac:dyDescent="0.25">
      <c r="W19" s="133">
        <v>42653</v>
      </c>
      <c r="X19" s="10">
        <v>136.97</v>
      </c>
      <c r="Y19" s="10">
        <v>138.35</v>
      </c>
      <c r="Z19" s="10">
        <v>136.97</v>
      </c>
      <c r="AA19" s="10">
        <v>138.08000000000001</v>
      </c>
      <c r="AB19" s="95">
        <v>2586000</v>
      </c>
      <c r="AC19" s="10">
        <v>138.08000000000001</v>
      </c>
      <c r="AD19" s="2">
        <f t="shared" si="0"/>
        <v>1.3799999999999955</v>
      </c>
      <c r="AE19" s="138">
        <f t="shared" si="1"/>
        <v>1.0390750768330292E-2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W20" s="133">
        <v>42650</v>
      </c>
      <c r="X20" s="10">
        <v>137.21</v>
      </c>
      <c r="Y20" s="10">
        <v>137.55000000000001</v>
      </c>
      <c r="Z20" s="10">
        <v>135.97999999999999</v>
      </c>
      <c r="AA20" s="10">
        <v>136.66</v>
      </c>
      <c r="AB20" s="95">
        <v>2568700</v>
      </c>
      <c r="AC20" s="10">
        <v>136.66</v>
      </c>
      <c r="AD20" s="2">
        <f t="shared" si="0"/>
        <v>1.5700000000000216</v>
      </c>
      <c r="AE20" s="138">
        <f t="shared" si="1"/>
        <v>1.3922473803766877E-3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42649</v>
      </c>
      <c r="X21" s="10">
        <v>137.31</v>
      </c>
      <c r="Y21" s="10">
        <v>137.49</v>
      </c>
      <c r="Z21" s="10">
        <v>135.66</v>
      </c>
      <c r="AA21" s="10">
        <v>136.47</v>
      </c>
      <c r="AB21" s="95">
        <v>4025300</v>
      </c>
      <c r="AC21" s="10">
        <v>136.47</v>
      </c>
      <c r="AD21" s="2">
        <f t="shared" si="0"/>
        <v>1.8300000000000125</v>
      </c>
      <c r="AE21" s="138">
        <f t="shared" si="1"/>
        <v>-8.2122093023255793E-3</v>
      </c>
    </row>
    <row r="22" spans="1:31" x14ac:dyDescent="0.25">
      <c r="B22" s="193">
        <v>42328</v>
      </c>
      <c r="C22" s="10">
        <v>0</v>
      </c>
      <c r="D22" s="202" t="s">
        <v>129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42648</v>
      </c>
      <c r="X22" s="10">
        <v>138.21</v>
      </c>
      <c r="Y22" s="10">
        <v>138.93</v>
      </c>
      <c r="Z22" s="10">
        <v>136.6</v>
      </c>
      <c r="AA22" s="10">
        <v>137.6</v>
      </c>
      <c r="AB22" s="95">
        <v>4625600</v>
      </c>
      <c r="AC22" s="10">
        <v>137.6</v>
      </c>
      <c r="AD22" s="2">
        <f t="shared" si="0"/>
        <v>2.3300000000000125</v>
      </c>
      <c r="AE22" s="138">
        <f t="shared" si="1"/>
        <v>-4.0532715691951049E-3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42647</v>
      </c>
      <c r="X23" s="10">
        <v>138.69</v>
      </c>
      <c r="Y23" s="10">
        <v>139.36000000000001</v>
      </c>
      <c r="Z23" s="10">
        <v>137.16</v>
      </c>
      <c r="AA23" s="10">
        <v>138.16</v>
      </c>
      <c r="AB23" s="95">
        <v>2452600</v>
      </c>
      <c r="AC23" s="10">
        <v>138.16</v>
      </c>
      <c r="AD23" s="2">
        <f t="shared" si="0"/>
        <v>2.2000000000000171</v>
      </c>
      <c r="AE23" s="138">
        <f t="shared" si="1"/>
        <v>-2.3828435266085579E-3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42646</v>
      </c>
      <c r="X24" s="10">
        <v>139.35</v>
      </c>
      <c r="Y24" s="10">
        <v>139.72</v>
      </c>
      <c r="Z24" s="10">
        <v>138.03</v>
      </c>
      <c r="AA24" s="10">
        <v>138.49</v>
      </c>
      <c r="AB24" s="95">
        <v>2724400</v>
      </c>
      <c r="AC24" s="10">
        <v>138.49</v>
      </c>
      <c r="AD24" s="2">
        <f t="shared" si="0"/>
        <v>1.6899999999999977</v>
      </c>
      <c r="AE24" s="138">
        <f t="shared" si="1"/>
        <v>-1.0785714285714176E-2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42643</v>
      </c>
      <c r="X25" s="10">
        <v>139.18</v>
      </c>
      <c r="Y25" s="10">
        <v>140.47999999999999</v>
      </c>
      <c r="Z25" s="10">
        <v>138.41999999999999</v>
      </c>
      <c r="AA25" s="10">
        <v>140</v>
      </c>
      <c r="AB25" s="95">
        <v>4164100</v>
      </c>
      <c r="AC25" s="10">
        <v>140</v>
      </c>
      <c r="AD25" s="2">
        <f t="shared" si="0"/>
        <v>2.0600000000000023</v>
      </c>
      <c r="AE25" s="138">
        <f t="shared" si="1"/>
        <v>1.2145748987854255E-2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42642</v>
      </c>
      <c r="X26" s="10">
        <v>140.18</v>
      </c>
      <c r="Y26" s="10">
        <v>140.28</v>
      </c>
      <c r="Z26" s="10">
        <v>137.84</v>
      </c>
      <c r="AA26" s="10">
        <v>138.32</v>
      </c>
      <c r="AB26" s="95">
        <v>2201000</v>
      </c>
      <c r="AC26" s="10">
        <v>138.32</v>
      </c>
      <c r="AD26" s="2">
        <f t="shared" si="0"/>
        <v>2.4399999999999977</v>
      </c>
      <c r="AE26" s="138">
        <f t="shared" si="1"/>
        <v>-1.4884979702300405E-2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42641</v>
      </c>
      <c r="X27" s="10">
        <v>141.13</v>
      </c>
      <c r="Y27" s="10">
        <v>141.71</v>
      </c>
      <c r="Z27" s="10">
        <v>139.66</v>
      </c>
      <c r="AA27" s="10">
        <v>140.41</v>
      </c>
      <c r="AB27" s="95">
        <v>1990400</v>
      </c>
      <c r="AC27" s="10">
        <v>140.41</v>
      </c>
      <c r="AD27" s="2">
        <f t="shared" si="0"/>
        <v>2.0500000000000114</v>
      </c>
      <c r="AE27" s="138">
        <f t="shared" si="1"/>
        <v>-2.6990553306341925E-3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42640</v>
      </c>
      <c r="X28" s="10">
        <v>139.99</v>
      </c>
      <c r="Y28" s="10">
        <v>140.84</v>
      </c>
      <c r="Z28" s="10">
        <v>138.69</v>
      </c>
      <c r="AA28" s="10">
        <v>140.79</v>
      </c>
      <c r="AB28" s="95">
        <v>3048600</v>
      </c>
      <c r="AC28" s="10">
        <v>140.79</v>
      </c>
      <c r="AD28" s="2">
        <f t="shared" si="0"/>
        <v>2.1500000000000057</v>
      </c>
      <c r="AE28" s="138">
        <f t="shared" si="1"/>
        <v>7.6581734898366616E-3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42639</v>
      </c>
      <c r="X29" s="10">
        <v>139.94999999999999</v>
      </c>
      <c r="Y29" s="10">
        <v>140.16999999999999</v>
      </c>
      <c r="Z29" s="10">
        <v>138.9</v>
      </c>
      <c r="AA29" s="10">
        <v>139.72</v>
      </c>
      <c r="AB29" s="95">
        <v>2636500</v>
      </c>
      <c r="AC29" s="10">
        <v>139.72</v>
      </c>
      <c r="AD29" s="2">
        <f t="shared" si="0"/>
        <v>1.2699999999999818</v>
      </c>
      <c r="AE29" s="138">
        <f t="shared" si="1"/>
        <v>-5.6223756316275963E-3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42636</v>
      </c>
      <c r="X30" s="10">
        <v>141.02000000000001</v>
      </c>
      <c r="Y30" s="10">
        <v>141.78</v>
      </c>
      <c r="Z30" s="10">
        <v>140.36000000000001</v>
      </c>
      <c r="AA30" s="10">
        <v>140.51</v>
      </c>
      <c r="AB30" s="95">
        <v>2802000</v>
      </c>
      <c r="AC30" s="10">
        <v>140.51</v>
      </c>
      <c r="AD30" s="2">
        <f t="shared" si="0"/>
        <v>1.4199999999999875</v>
      </c>
      <c r="AE30" s="138">
        <f t="shared" si="1"/>
        <v>-3.7577992058990262E-3</v>
      </c>
    </row>
    <row r="31" spans="1:31" x14ac:dyDescent="0.25">
      <c r="G31" s="3"/>
      <c r="H31" s="233"/>
      <c r="W31" s="133">
        <v>42635</v>
      </c>
      <c r="X31" s="10">
        <v>140.49</v>
      </c>
      <c r="Y31" s="10">
        <v>141.41</v>
      </c>
      <c r="Z31" s="10">
        <v>140.33000000000001</v>
      </c>
      <c r="AA31" s="10">
        <v>141.04</v>
      </c>
      <c r="AB31" s="95">
        <v>3018300</v>
      </c>
      <c r="AC31" s="10">
        <v>141.04</v>
      </c>
      <c r="AD31" s="2">
        <f t="shared" si="0"/>
        <v>1.0799999999999841</v>
      </c>
      <c r="AE31" s="138">
        <f t="shared" si="1"/>
        <v>8.0766206847258104E-3</v>
      </c>
    </row>
    <row r="32" spans="1:31" x14ac:dyDescent="0.25">
      <c r="W32" s="133">
        <v>42634</v>
      </c>
      <c r="X32" s="10">
        <v>138.19999999999999</v>
      </c>
      <c r="Y32" s="10">
        <v>139.96</v>
      </c>
      <c r="Z32" s="10">
        <v>137.99</v>
      </c>
      <c r="AA32" s="10">
        <v>139.91</v>
      </c>
      <c r="AB32" s="95">
        <v>3506600</v>
      </c>
      <c r="AC32" s="10">
        <v>139.91</v>
      </c>
      <c r="AD32" s="2">
        <f t="shared" si="0"/>
        <v>1.9699999999999989</v>
      </c>
      <c r="AE32" s="138">
        <f t="shared" si="1"/>
        <v>1.7749327125918368E-2</v>
      </c>
    </row>
    <row r="33" spans="1:31" x14ac:dyDescent="0.25">
      <c r="L33" t="s">
        <v>218</v>
      </c>
      <c r="M33" s="2">
        <f>M44+K44-F44</f>
        <v>176.70000000000073</v>
      </c>
      <c r="W33" s="133">
        <v>42633</v>
      </c>
      <c r="X33" s="10">
        <v>138.13</v>
      </c>
      <c r="Y33" s="10">
        <v>138.53</v>
      </c>
      <c r="Z33" s="10">
        <v>137.06</v>
      </c>
      <c r="AA33" s="10">
        <v>137.47</v>
      </c>
      <c r="AB33" s="95">
        <v>2425700</v>
      </c>
      <c r="AC33" s="10">
        <v>137.47</v>
      </c>
      <c r="AD33" s="2">
        <f t="shared" si="0"/>
        <v>1.4699999999999989</v>
      </c>
      <c r="AE33" s="138">
        <f t="shared" si="1"/>
        <v>-1.5252760023243273E-3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42632</v>
      </c>
      <c r="X34" s="10">
        <v>138.68</v>
      </c>
      <c r="Y34" s="10">
        <v>139.38999999999999</v>
      </c>
      <c r="Z34" s="10">
        <v>137.52000000000001</v>
      </c>
      <c r="AA34" s="10">
        <v>137.68</v>
      </c>
      <c r="AB34" s="95">
        <v>3239500</v>
      </c>
      <c r="AC34" s="10">
        <v>137.68</v>
      </c>
      <c r="AD34" s="2">
        <f t="shared" si="0"/>
        <v>1.8699999999999761</v>
      </c>
      <c r="AE34" s="138">
        <f t="shared" si="1"/>
        <v>-5.7052069040224307E-3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42629</v>
      </c>
      <c r="X35" s="10">
        <v>135.61000000000001</v>
      </c>
      <c r="Y35" s="10">
        <v>138.55000000000001</v>
      </c>
      <c r="Z35" s="10">
        <v>135.53</v>
      </c>
      <c r="AA35" s="10">
        <v>138.47</v>
      </c>
      <c r="AB35" s="95">
        <v>7421900</v>
      </c>
      <c r="AC35" s="10">
        <v>138.47</v>
      </c>
      <c r="AD35" s="2">
        <f t="shared" si="0"/>
        <v>3.0200000000000102</v>
      </c>
      <c r="AE35" s="138">
        <f t="shared" si="1"/>
        <v>2.1089890126096744E-2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42628</v>
      </c>
      <c r="X36" s="10">
        <v>133.03</v>
      </c>
      <c r="Y36" s="10">
        <v>136.09</v>
      </c>
      <c r="Z36" s="10">
        <v>132.88</v>
      </c>
      <c r="AA36" s="10">
        <v>135.61000000000001</v>
      </c>
      <c r="AB36" s="95">
        <v>3302900</v>
      </c>
      <c r="AC36" s="10">
        <v>135.61000000000001</v>
      </c>
      <c r="AD36" s="2">
        <f t="shared" si="0"/>
        <v>3.210000000000008</v>
      </c>
      <c r="AE36" s="138">
        <f t="shared" si="1"/>
        <v>1.4361582766100778E-2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42627</v>
      </c>
      <c r="X37" s="10">
        <v>133.87</v>
      </c>
      <c r="Y37" s="10">
        <v>134.69</v>
      </c>
      <c r="Z37" s="10">
        <v>132.97999999999999</v>
      </c>
      <c r="AA37" s="10">
        <v>133.69</v>
      </c>
      <c r="AB37" s="95">
        <v>4592400</v>
      </c>
      <c r="AC37" s="10">
        <v>133.69</v>
      </c>
      <c r="AD37" s="2">
        <f t="shared" si="0"/>
        <v>1.710000000000008</v>
      </c>
      <c r="AE37" s="138">
        <f t="shared" si="1"/>
        <v>-1.9410227696901039E-3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42626</v>
      </c>
      <c r="X38" s="10">
        <v>134.24</v>
      </c>
      <c r="Y38" s="10">
        <v>135.15</v>
      </c>
      <c r="Z38" s="10">
        <v>133.37</v>
      </c>
      <c r="AA38" s="10">
        <v>133.94999999999999</v>
      </c>
      <c r="AB38" s="95">
        <v>3331500</v>
      </c>
      <c r="AC38" s="10">
        <v>133.94999999999999</v>
      </c>
      <c r="AD38" s="2">
        <f t="shared" si="0"/>
        <v>1.7800000000000011</v>
      </c>
      <c r="AE38" s="138">
        <f t="shared" si="1"/>
        <v>-1.1657935512432771E-2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42625</v>
      </c>
      <c r="X39" s="10">
        <v>132.71</v>
      </c>
      <c r="Y39" s="10">
        <v>135.72</v>
      </c>
      <c r="Z39" s="10">
        <v>132.38999999999999</v>
      </c>
      <c r="AA39" s="10">
        <v>135.53</v>
      </c>
      <c r="AB39" s="95">
        <v>3457400</v>
      </c>
      <c r="AC39" s="10">
        <v>135.53</v>
      </c>
      <c r="AD39" s="2">
        <f t="shared" si="0"/>
        <v>3.3300000000000125</v>
      </c>
      <c r="AE39" s="138">
        <f t="shared" si="1"/>
        <v>1.4294267325250631E-2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42622</v>
      </c>
      <c r="X40" s="10">
        <v>134.71</v>
      </c>
      <c r="Y40" s="10">
        <v>135.15</v>
      </c>
      <c r="Z40" s="10">
        <v>133.62</v>
      </c>
      <c r="AA40" s="10">
        <v>133.62</v>
      </c>
      <c r="AB40" s="95">
        <v>3322300</v>
      </c>
      <c r="AC40" s="10">
        <v>133.62</v>
      </c>
      <c r="AD40" s="2">
        <f t="shared" si="0"/>
        <v>1.5300000000000011</v>
      </c>
      <c r="AE40" s="138">
        <f t="shared" si="1"/>
        <v>-1.3437684583579412E-2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588" t="s">
        <v>78</v>
      </c>
      <c r="P41" s="588"/>
      <c r="Q41" s="34"/>
      <c r="W41" s="133">
        <v>42621</v>
      </c>
      <c r="X41" s="10">
        <v>134.47</v>
      </c>
      <c r="Y41" s="10">
        <v>135.62</v>
      </c>
      <c r="Z41" s="10">
        <v>134.41</v>
      </c>
      <c r="AA41" s="10">
        <v>135.44</v>
      </c>
      <c r="AB41" s="95">
        <v>2826700</v>
      </c>
      <c r="AC41" s="10">
        <v>135.44</v>
      </c>
      <c r="AD41" s="2">
        <f t="shared" si="0"/>
        <v>1.210000000000008</v>
      </c>
      <c r="AE41" s="138">
        <f t="shared" si="1"/>
        <v>3.3335802652048052E-3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152.87800000000001</v>
      </c>
      <c r="Q42" s="34"/>
      <c r="T42" s="91" t="s">
        <v>113</v>
      </c>
      <c r="W42" s="133">
        <v>42620</v>
      </c>
      <c r="X42" s="10">
        <v>135</v>
      </c>
      <c r="Y42" s="10">
        <v>135.96</v>
      </c>
      <c r="Z42" s="10">
        <v>134.19999999999999</v>
      </c>
      <c r="AA42" s="10">
        <v>134.99</v>
      </c>
      <c r="AB42" s="95">
        <v>2816300</v>
      </c>
      <c r="AC42" s="10">
        <v>134.99</v>
      </c>
      <c r="AD42" s="2">
        <f t="shared" si="0"/>
        <v>1.7600000000000193</v>
      </c>
      <c r="AE42" s="138" t="e">
        <f t="shared" si="1"/>
        <v>#DIV/0!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151.48820000000001</v>
      </c>
      <c r="Q43" s="34"/>
      <c r="T43" s="128" t="s">
        <v>98</v>
      </c>
      <c r="U43" s="98">
        <v>139.43</v>
      </c>
      <c r="W43" s="133">
        <v>42620</v>
      </c>
      <c r="X43" s="10" t="s">
        <v>239</v>
      </c>
      <c r="Y43" s="10"/>
      <c r="Z43" s="10"/>
      <c r="AA43" s="10"/>
      <c r="AB43" s="95"/>
      <c r="AC43" s="10"/>
      <c r="AD43" s="2">
        <f t="shared" si="0"/>
        <v>0</v>
      </c>
      <c r="AE43" s="138">
        <f t="shared" si="1"/>
        <v>-1</v>
      </c>
    </row>
    <row r="44" spans="1:31" x14ac:dyDescent="0.25">
      <c r="A44" s="422" t="s">
        <v>81</v>
      </c>
      <c r="B44" s="423"/>
      <c r="C44" s="423">
        <f>SUM(C35:C40)</f>
        <v>70</v>
      </c>
      <c r="D44" s="424"/>
      <c r="E44" s="424"/>
      <c r="F44" s="424">
        <f>SUM(F35:F40)</f>
        <v>8027.9</v>
      </c>
      <c r="G44" s="424"/>
      <c r="H44" s="425">
        <f>SUM(H35:H39)</f>
        <v>70</v>
      </c>
      <c r="I44" s="424"/>
      <c r="J44" s="424"/>
      <c r="K44" s="424">
        <f>SUM(K35:K39)</f>
        <v>8192.1</v>
      </c>
      <c r="L44" s="424"/>
      <c r="M44" s="424">
        <f>SUM(M35:M38)</f>
        <v>12.5</v>
      </c>
      <c r="O44" s="83">
        <v>1.08</v>
      </c>
      <c r="P44" s="83">
        <f t="shared" si="5"/>
        <v>150.0984</v>
      </c>
      <c r="Q44" s="34"/>
      <c r="T44" s="93" t="s">
        <v>99</v>
      </c>
      <c r="U44" s="88">
        <v>139.02000000000001</v>
      </c>
      <c r="W44" s="133">
        <v>42619</v>
      </c>
      <c r="X44" s="10">
        <v>136.62</v>
      </c>
      <c r="Y44" s="10">
        <v>136.85</v>
      </c>
      <c r="Z44" s="10">
        <v>135.63</v>
      </c>
      <c r="AA44" s="10">
        <v>135.97</v>
      </c>
      <c r="AB44" s="95">
        <v>2242400</v>
      </c>
      <c r="AC44" s="10">
        <v>135.35</v>
      </c>
      <c r="AD44" s="2">
        <f t="shared" si="0"/>
        <v>1.2199999999999989</v>
      </c>
      <c r="AE44" s="138">
        <f t="shared" si="1"/>
        <v>-4.633034269745484E-3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148.70859999999999</v>
      </c>
      <c r="Q45" s="83"/>
      <c r="T45" s="93" t="s">
        <v>100</v>
      </c>
      <c r="U45" s="88" t="s">
        <v>566</v>
      </c>
      <c r="W45" s="133">
        <v>42615</v>
      </c>
      <c r="X45" s="10">
        <v>136.5</v>
      </c>
      <c r="Y45" s="10">
        <v>136.78</v>
      </c>
      <c r="Z45" s="10">
        <v>135.76</v>
      </c>
      <c r="AA45" s="10">
        <v>136.61000000000001</v>
      </c>
      <c r="AB45" s="95">
        <v>2390500</v>
      </c>
      <c r="AC45" s="10">
        <v>135.97999999999999</v>
      </c>
      <c r="AD45" s="2">
        <f t="shared" si="0"/>
        <v>1.0200000000000102</v>
      </c>
      <c r="AE45" s="138">
        <f t="shared" si="1"/>
        <v>6.3647128478387938E-3</v>
      </c>
    </row>
    <row r="46" spans="1:31" x14ac:dyDescent="0.25">
      <c r="O46" s="83">
        <v>1.06</v>
      </c>
      <c r="P46" s="83">
        <f t="shared" si="5"/>
        <v>147.31880000000001</v>
      </c>
      <c r="Q46" s="83"/>
      <c r="T46" s="93" t="s">
        <v>101</v>
      </c>
      <c r="U46" s="88" t="s">
        <v>567</v>
      </c>
      <c r="W46" s="133">
        <v>42614</v>
      </c>
      <c r="X46" s="10">
        <v>136.82</v>
      </c>
      <c r="Y46" s="10">
        <v>136.97999999999999</v>
      </c>
      <c r="Z46" s="10">
        <v>135.35</v>
      </c>
      <c r="AA46" s="10">
        <v>135.74</v>
      </c>
      <c r="AB46" s="95">
        <v>2765400</v>
      </c>
      <c r="AC46" s="10">
        <v>135.12</v>
      </c>
      <c r="AD46" s="2">
        <f t="shared" si="0"/>
        <v>1.6299999999999955</v>
      </c>
      <c r="AE46" s="138">
        <f t="shared" si="1"/>
        <v>-2.2153300841823986E-3</v>
      </c>
    </row>
    <row r="47" spans="1:31" x14ac:dyDescent="0.25">
      <c r="O47" s="83">
        <v>1.05</v>
      </c>
      <c r="P47" s="83">
        <f t="shared" si="5"/>
        <v>145.929</v>
      </c>
      <c r="Q47" s="83"/>
      <c r="T47" s="93" t="s">
        <v>102</v>
      </c>
      <c r="U47" s="88">
        <v>164.81</v>
      </c>
      <c r="W47" s="133">
        <v>42613</v>
      </c>
      <c r="X47" s="10">
        <v>136.55000000000001</v>
      </c>
      <c r="Y47" s="10">
        <v>136.82</v>
      </c>
      <c r="Z47" s="10">
        <v>135.55000000000001</v>
      </c>
      <c r="AA47" s="10">
        <v>136.05000000000001</v>
      </c>
      <c r="AB47" s="95">
        <v>2837300</v>
      </c>
      <c r="AC47" s="10">
        <v>135.41999999999999</v>
      </c>
      <c r="AD47" s="2">
        <f t="shared" si="0"/>
        <v>1.2699999999999818</v>
      </c>
      <c r="AE47" s="138">
        <f t="shared" si="1"/>
        <v>-6.0187903699355783E-3</v>
      </c>
    </row>
    <row r="48" spans="1:31" x14ac:dyDescent="0.25">
      <c r="O48" s="83">
        <v>1.04</v>
      </c>
      <c r="P48" s="83">
        <f t="shared" si="5"/>
        <v>144.53919999999999</v>
      </c>
      <c r="Q48" s="83"/>
      <c r="T48" s="93" t="s">
        <v>103</v>
      </c>
      <c r="U48" s="88">
        <v>0.56417300000000004</v>
      </c>
      <c r="W48" s="133">
        <v>42612</v>
      </c>
      <c r="X48" s="10">
        <v>137.27000000000001</v>
      </c>
      <c r="Y48" s="10">
        <v>137.69</v>
      </c>
      <c r="Z48" s="10">
        <v>136.24</v>
      </c>
      <c r="AA48" s="10">
        <v>136.87</v>
      </c>
      <c r="AB48" s="95">
        <v>2026600</v>
      </c>
      <c r="AC48" s="10">
        <v>136.24</v>
      </c>
      <c r="AD48" s="2">
        <f t="shared" si="0"/>
        <v>1.4499999999999886</v>
      </c>
      <c r="AE48" s="138">
        <f t="shared" si="1"/>
        <v>-2.9274004683839117E-3</v>
      </c>
    </row>
    <row r="49" spans="15:31" x14ac:dyDescent="0.25">
      <c r="O49" s="83">
        <v>1.03</v>
      </c>
      <c r="P49" s="83">
        <f t="shared" si="5"/>
        <v>143.14939999999999</v>
      </c>
      <c r="Q49" s="83"/>
      <c r="T49" s="93" t="s">
        <v>122</v>
      </c>
      <c r="U49" s="88" t="s">
        <v>404</v>
      </c>
      <c r="W49" s="133">
        <v>42611</v>
      </c>
      <c r="X49" s="10">
        <v>137.19999999999999</v>
      </c>
      <c r="Y49" s="10">
        <v>138.04</v>
      </c>
      <c r="Z49" s="10">
        <v>136.47999999999999</v>
      </c>
      <c r="AA49" s="10">
        <v>137.27000000000001</v>
      </c>
      <c r="AB49" s="95">
        <v>2315900</v>
      </c>
      <c r="AC49" s="10">
        <v>136.63999999999999</v>
      </c>
      <c r="AD49" s="2">
        <f t="shared" si="0"/>
        <v>1.5600000000000023</v>
      </c>
      <c r="AE49" s="138">
        <f t="shared" si="1"/>
        <v>4.779763217883426E-3</v>
      </c>
    </row>
    <row r="50" spans="15:31" x14ac:dyDescent="0.25">
      <c r="O50" s="83">
        <v>1.02</v>
      </c>
      <c r="P50" s="83">
        <f t="shared" si="5"/>
        <v>141.75960000000001</v>
      </c>
      <c r="Q50" s="83"/>
      <c r="T50" s="93"/>
      <c r="U50" s="88"/>
      <c r="W50" s="133">
        <v>42608</v>
      </c>
      <c r="X50" s="10">
        <v>137.66999999999999</v>
      </c>
      <c r="Y50" s="10">
        <v>138.30000000000001</v>
      </c>
      <c r="Z50" s="10">
        <v>135.99</v>
      </c>
      <c r="AA50" s="10">
        <v>136.62</v>
      </c>
      <c r="AB50" s="95">
        <v>3082400</v>
      </c>
      <c r="AC50" s="10">
        <v>135.99</v>
      </c>
      <c r="AD50" s="2">
        <f t="shared" si="0"/>
        <v>2.3100000000000023</v>
      </c>
      <c r="AE50" s="138">
        <f t="shared" si="1"/>
        <v>-4.9754884027217727E-3</v>
      </c>
    </row>
    <row r="51" spans="15:31" x14ac:dyDescent="0.25">
      <c r="O51" s="83">
        <v>1.01</v>
      </c>
      <c r="P51" s="83">
        <f t="shared" si="5"/>
        <v>140.3698</v>
      </c>
      <c r="Q51" s="83"/>
      <c r="T51" s="93" t="s">
        <v>105</v>
      </c>
      <c r="U51" s="88" t="s">
        <v>568</v>
      </c>
      <c r="W51" s="133">
        <v>42607</v>
      </c>
      <c r="X51" s="10">
        <v>139.75</v>
      </c>
      <c r="Y51" s="10">
        <v>139.75</v>
      </c>
      <c r="Z51" s="10">
        <v>137.03</v>
      </c>
      <c r="AA51" s="10">
        <v>137.30000000000001</v>
      </c>
      <c r="AB51" s="95">
        <v>3891000</v>
      </c>
      <c r="AC51" s="10">
        <v>136.66999999999999</v>
      </c>
      <c r="AD51" s="2">
        <f t="shared" si="0"/>
        <v>2.7199999999999989</v>
      </c>
      <c r="AE51" s="138">
        <f t="shared" si="1"/>
        <v>-1.8386841916253727E-2</v>
      </c>
    </row>
    <row r="52" spans="15:31" x14ac:dyDescent="0.25">
      <c r="O52" s="83">
        <v>1</v>
      </c>
      <c r="P52" s="83">
        <f t="shared" si="5"/>
        <v>138.97999999999999</v>
      </c>
      <c r="Q52" s="83"/>
      <c r="T52" s="93" t="s">
        <v>106</v>
      </c>
      <c r="U52" s="88" t="s">
        <v>393</v>
      </c>
      <c r="W52" s="133">
        <v>42606</v>
      </c>
      <c r="X52" s="10">
        <v>142</v>
      </c>
      <c r="Y52" s="10">
        <v>142.08000000000001</v>
      </c>
      <c r="Z52" s="10">
        <v>139.51</v>
      </c>
      <c r="AA52" s="10">
        <v>139.87</v>
      </c>
      <c r="AB52" s="95">
        <v>2529800</v>
      </c>
      <c r="AC52" s="10">
        <v>139.22999999999999</v>
      </c>
      <c r="AD52" s="2">
        <f t="shared" si="0"/>
        <v>2.5700000000000216</v>
      </c>
      <c r="AE52" s="138">
        <f t="shared" si="1"/>
        <v>-1.5067911714770954E-2</v>
      </c>
    </row>
    <row r="53" spans="15:31" x14ac:dyDescent="0.25">
      <c r="O53" s="83">
        <v>0.99</v>
      </c>
      <c r="P53" s="83">
        <f t="shared" si="5"/>
        <v>137.59019999999998</v>
      </c>
      <c r="Q53" s="83"/>
      <c r="T53" s="93" t="s">
        <v>107</v>
      </c>
      <c r="U53" s="90">
        <v>3149707</v>
      </c>
      <c r="W53" s="133">
        <v>42605</v>
      </c>
      <c r="X53" s="10">
        <v>142.72999999999999</v>
      </c>
      <c r="Y53" s="10">
        <v>142.87</v>
      </c>
      <c r="Z53" s="10">
        <v>141.75</v>
      </c>
      <c r="AA53" s="10">
        <v>142.01</v>
      </c>
      <c r="AB53" s="95">
        <v>2295500</v>
      </c>
      <c r="AC53" s="10">
        <v>141.36000000000001</v>
      </c>
      <c r="AD53" s="2">
        <f t="shared" si="0"/>
        <v>1.1200000000000045</v>
      </c>
      <c r="AE53" s="138">
        <f t="shared" si="1"/>
        <v>-5.6561085972839376E-4</v>
      </c>
    </row>
    <row r="54" spans="15:31" x14ac:dyDescent="0.25">
      <c r="O54" s="83">
        <v>0.98</v>
      </c>
      <c r="P54" s="83">
        <f t="shared" si="5"/>
        <v>136.20039999999997</v>
      </c>
      <c r="Q54" s="83"/>
      <c r="T54" s="93" t="s">
        <v>110</v>
      </c>
      <c r="U54" s="90">
        <v>3097940</v>
      </c>
      <c r="W54" s="133">
        <v>42604</v>
      </c>
      <c r="X54" s="10">
        <v>142.11000000000001</v>
      </c>
      <c r="Y54" s="10">
        <v>143</v>
      </c>
      <c r="Z54" s="10">
        <v>141.71</v>
      </c>
      <c r="AA54" s="10">
        <v>142.09</v>
      </c>
      <c r="AB54" s="95">
        <v>1587900</v>
      </c>
      <c r="AC54" s="10">
        <v>141.44</v>
      </c>
      <c r="AD54" s="2">
        <f t="shared" si="0"/>
        <v>1.289999999999992</v>
      </c>
      <c r="AE54" s="138">
        <f t="shared" si="1"/>
        <v>3.5363179857150762E-4</v>
      </c>
    </row>
    <row r="55" spans="15:31" x14ac:dyDescent="0.25">
      <c r="O55" s="83">
        <v>0.97</v>
      </c>
      <c r="P55" s="83">
        <f t="shared" si="5"/>
        <v>134.81059999999999</v>
      </c>
      <c r="Q55" s="83"/>
      <c r="T55" s="93" t="s">
        <v>108</v>
      </c>
      <c r="U55" s="88" t="s">
        <v>569</v>
      </c>
      <c r="W55" s="133">
        <v>42601</v>
      </c>
      <c r="X55" s="10">
        <v>141.65</v>
      </c>
      <c r="Y55" s="10">
        <v>142.25</v>
      </c>
      <c r="Z55" s="10">
        <v>141.22</v>
      </c>
      <c r="AA55" s="10">
        <v>142.04</v>
      </c>
      <c r="AB55" s="95">
        <v>1950200</v>
      </c>
      <c r="AC55" s="10">
        <v>141.38999999999999</v>
      </c>
      <c r="AD55" s="2">
        <f t="shared" si="0"/>
        <v>1.0300000000000011</v>
      </c>
      <c r="AE55" s="138">
        <f t="shared" si="1"/>
        <v>-9.1859807801031312E-4</v>
      </c>
    </row>
    <row r="56" spans="15:31" x14ac:dyDescent="0.25">
      <c r="O56" s="83">
        <v>0.96</v>
      </c>
      <c r="P56" s="83">
        <f t="shared" si="5"/>
        <v>133.42079999999999</v>
      </c>
      <c r="Q56" s="83"/>
      <c r="T56" s="93" t="s">
        <v>111</v>
      </c>
      <c r="U56" s="88">
        <v>20.53</v>
      </c>
      <c r="W56" s="133">
        <v>42600</v>
      </c>
      <c r="X56" s="10">
        <v>141.66999999999999</v>
      </c>
      <c r="Y56" s="10">
        <v>142.84</v>
      </c>
      <c r="Z56" s="10">
        <v>141.27000000000001</v>
      </c>
      <c r="AA56" s="10">
        <v>142.16999999999999</v>
      </c>
      <c r="AB56" s="95">
        <v>1572700</v>
      </c>
      <c r="AC56" s="10">
        <v>141.52000000000001</v>
      </c>
      <c r="AD56" s="2">
        <f t="shared" si="0"/>
        <v>1.5699999999999932</v>
      </c>
      <c r="AE56" s="138">
        <f t="shared" si="1"/>
        <v>3.2610236778676249E-3</v>
      </c>
    </row>
    <row r="57" spans="15:31" x14ac:dyDescent="0.25">
      <c r="O57" s="83">
        <v>0.95</v>
      </c>
      <c r="P57" s="83">
        <f t="shared" si="5"/>
        <v>132.03099999999998</v>
      </c>
      <c r="Q57" s="83"/>
      <c r="T57" s="93" t="s">
        <v>112</v>
      </c>
      <c r="U57" s="88">
        <v>6.77</v>
      </c>
      <c r="W57" s="133">
        <v>42599</v>
      </c>
      <c r="X57" s="10">
        <v>141.29</v>
      </c>
      <c r="Y57" s="10">
        <v>141.91</v>
      </c>
      <c r="Z57" s="10">
        <v>140.66</v>
      </c>
      <c r="AA57" s="10">
        <v>141.71</v>
      </c>
      <c r="AB57" s="95">
        <v>1849100</v>
      </c>
      <c r="AC57" s="10">
        <v>141.06</v>
      </c>
      <c r="AD57" s="2">
        <f t="shared" si="0"/>
        <v>1.25</v>
      </c>
      <c r="AE57" s="138">
        <f t="shared" si="1"/>
        <v>4.4862208929714598E-3</v>
      </c>
    </row>
    <row r="58" spans="15:31" x14ac:dyDescent="0.25">
      <c r="O58" s="83">
        <v>0.94</v>
      </c>
      <c r="P58" s="83">
        <f t="shared" si="5"/>
        <v>130.64119999999997</v>
      </c>
      <c r="Q58" s="83"/>
      <c r="T58" s="93" t="s">
        <v>109</v>
      </c>
      <c r="U58" s="88" t="s">
        <v>441</v>
      </c>
      <c r="W58" s="133">
        <v>42598</v>
      </c>
      <c r="X58" s="10">
        <v>141.15</v>
      </c>
      <c r="Y58" s="10">
        <v>141.62</v>
      </c>
      <c r="Z58" s="10">
        <v>140.33000000000001</v>
      </c>
      <c r="AA58" s="10">
        <v>141.08000000000001</v>
      </c>
      <c r="AB58" s="95">
        <v>1688500</v>
      </c>
      <c r="AC58" s="10">
        <v>140.43</v>
      </c>
      <c r="AD58" s="2">
        <f t="shared" si="0"/>
        <v>1.289999999999992</v>
      </c>
      <c r="AE58" s="138">
        <f t="shared" si="1"/>
        <v>-3.8306022557990094E-3</v>
      </c>
    </row>
    <row r="59" spans="15:31" x14ac:dyDescent="0.25">
      <c r="O59" s="83">
        <v>0.93</v>
      </c>
      <c r="P59" s="83">
        <f t="shared" si="5"/>
        <v>129.25139999999999</v>
      </c>
      <c r="Q59" s="83"/>
      <c r="W59" s="133">
        <v>42597</v>
      </c>
      <c r="X59" s="10">
        <v>142.96</v>
      </c>
      <c r="Y59" s="10">
        <v>143.11000000000001</v>
      </c>
      <c r="Z59" s="10">
        <v>141.49</v>
      </c>
      <c r="AA59" s="10">
        <v>141.62</v>
      </c>
      <c r="AB59" s="95">
        <v>2369600</v>
      </c>
      <c r="AC59" s="10">
        <v>140.97</v>
      </c>
      <c r="AD59" s="2">
        <f t="shared" si="0"/>
        <v>1.6200000000000045</v>
      </c>
      <c r="AE59" s="138">
        <f t="shared" si="1"/>
        <v>-8.789199831247374E-3</v>
      </c>
    </row>
    <row r="60" spans="15:31" x14ac:dyDescent="0.25">
      <c r="O60" s="83">
        <v>0.92</v>
      </c>
      <c r="P60" s="83">
        <f t="shared" si="5"/>
        <v>127.8616</v>
      </c>
      <c r="Q60" s="83"/>
      <c r="W60" s="133">
        <v>42594</v>
      </c>
      <c r="X60" s="10">
        <v>142.16</v>
      </c>
      <c r="Y60" s="10">
        <v>143.13999999999999</v>
      </c>
      <c r="Z60" s="10">
        <v>141.5</v>
      </c>
      <c r="AA60" s="10">
        <v>142.88</v>
      </c>
      <c r="AB60" s="95">
        <v>1787900</v>
      </c>
      <c r="AC60" s="10">
        <v>142.22</v>
      </c>
      <c r="AD60" s="2">
        <f t="shared" si="0"/>
        <v>1.6399999999999864</v>
      </c>
      <c r="AE60" s="138">
        <f t="shared" si="1"/>
        <v>1.7609354088892193E-3</v>
      </c>
    </row>
    <row r="61" spans="15:31" x14ac:dyDescent="0.25">
      <c r="O61" s="83">
        <v>0.91</v>
      </c>
      <c r="P61" s="83">
        <f t="shared" si="5"/>
        <v>126.4718</v>
      </c>
      <c r="Q61" s="83"/>
      <c r="W61" s="133">
        <v>42593</v>
      </c>
      <c r="X61" s="10">
        <v>142.24</v>
      </c>
      <c r="Y61" s="10">
        <v>143.06</v>
      </c>
      <c r="Z61" s="10">
        <v>141.44</v>
      </c>
      <c r="AA61" s="10">
        <v>142.63</v>
      </c>
      <c r="AB61" s="95">
        <v>1857500</v>
      </c>
      <c r="AC61" s="10">
        <v>141.97</v>
      </c>
      <c r="AD61" s="2">
        <f t="shared" si="0"/>
        <v>1.6200000000000045</v>
      </c>
      <c r="AE61" s="138">
        <f t="shared" si="1"/>
        <v>3.0380104564080579E-3</v>
      </c>
    </row>
    <row r="62" spans="15:31" x14ac:dyDescent="0.25">
      <c r="O62" s="83">
        <v>0.9</v>
      </c>
      <c r="P62" s="83">
        <f t="shared" si="5"/>
        <v>125.08199999999999</v>
      </c>
      <c r="Q62" s="83"/>
      <c r="W62" s="133">
        <v>42592</v>
      </c>
      <c r="X62" s="10">
        <v>141.87</v>
      </c>
      <c r="Y62" s="10">
        <v>142.34</v>
      </c>
      <c r="Z62" s="10">
        <v>140.93</v>
      </c>
      <c r="AA62" s="10">
        <v>142.19</v>
      </c>
      <c r="AB62" s="95">
        <v>1866300</v>
      </c>
      <c r="AC62" s="10">
        <v>141.54</v>
      </c>
      <c r="AD62" s="2">
        <f t="shared" si="0"/>
        <v>1.4099999999999966</v>
      </c>
      <c r="AE62" s="138">
        <f t="shared" si="1"/>
        <v>2.6209534603669482E-3</v>
      </c>
    </row>
    <row r="63" spans="15:31" x14ac:dyDescent="0.25">
      <c r="O63" s="34"/>
      <c r="W63" s="133">
        <v>42591</v>
      </c>
      <c r="X63" s="10">
        <v>142.55000000000001</v>
      </c>
      <c r="Y63" s="10">
        <v>143.13</v>
      </c>
      <c r="Z63" s="10">
        <v>141.68</v>
      </c>
      <c r="AA63" s="10">
        <v>141.82</v>
      </c>
      <c r="AB63" s="95">
        <v>2140700</v>
      </c>
      <c r="AC63" s="10">
        <v>141.16999999999999</v>
      </c>
      <c r="AD63" s="2">
        <f t="shared" si="0"/>
        <v>1.4499999999999886</v>
      </c>
      <c r="AE63" s="138">
        <f t="shared" si="1"/>
        <v>-2.1911224201300872E-3</v>
      </c>
    </row>
    <row r="64" spans="15:31" x14ac:dyDescent="0.25">
      <c r="O64" s="34"/>
      <c r="W64" s="133">
        <v>42590</v>
      </c>
      <c r="X64" s="10">
        <v>142.61000000000001</v>
      </c>
      <c r="Y64" s="10">
        <v>143.07</v>
      </c>
      <c r="Z64" s="10">
        <v>141.86000000000001</v>
      </c>
      <c r="AA64" s="10">
        <v>142.13</v>
      </c>
      <c r="AB64" s="95">
        <v>1846400</v>
      </c>
      <c r="AC64" s="10">
        <v>141.47999999999999</v>
      </c>
      <c r="AD64" s="2">
        <f t="shared" si="0"/>
        <v>1.2099999999999795</v>
      </c>
      <c r="AE64" s="138">
        <f t="shared" si="1"/>
        <v>-5.9720368158506787E-3</v>
      </c>
    </row>
    <row r="65" spans="23:31" x14ac:dyDescent="0.25">
      <c r="W65" s="133">
        <v>42587</v>
      </c>
      <c r="X65" s="10">
        <v>143.33000000000001</v>
      </c>
      <c r="Y65" s="10">
        <v>143.54</v>
      </c>
      <c r="Z65" s="10">
        <v>142.4</v>
      </c>
      <c r="AA65" s="10">
        <v>142.99</v>
      </c>
      <c r="AB65" s="95">
        <v>2000100</v>
      </c>
      <c r="AC65" s="10">
        <v>142.33000000000001</v>
      </c>
      <c r="AD65" s="2">
        <f t="shared" si="0"/>
        <v>1.1399999999999864</v>
      </c>
      <c r="AE65" s="138">
        <f t="shared" si="1"/>
        <v>1.9711369236183884E-3</v>
      </c>
    </row>
    <row r="66" spans="23:31" x14ac:dyDescent="0.25">
      <c r="W66" s="133">
        <v>42586</v>
      </c>
      <c r="X66" s="10">
        <v>143.1</v>
      </c>
      <c r="Y66" s="10">
        <v>143.47999999999999</v>
      </c>
      <c r="Z66" s="10">
        <v>142.26</v>
      </c>
      <c r="AA66" s="10">
        <v>142.71</v>
      </c>
      <c r="AB66" s="95">
        <v>1890900</v>
      </c>
      <c r="AC66" s="10">
        <v>142.05000000000001</v>
      </c>
      <c r="AD66" s="2">
        <f t="shared" si="0"/>
        <v>1.2199999999999989</v>
      </c>
      <c r="AE66" s="138">
        <f t="shared" si="1"/>
        <v>-1.1953311770495079E-3</v>
      </c>
    </row>
    <row r="67" spans="23:31" x14ac:dyDescent="0.25">
      <c r="W67" s="133">
        <v>42585</v>
      </c>
      <c r="X67" s="10">
        <v>143.33000000000001</v>
      </c>
      <c r="Y67" s="10">
        <v>143.62</v>
      </c>
      <c r="Z67" s="10">
        <v>142.43</v>
      </c>
      <c r="AA67" s="10">
        <v>142.88</v>
      </c>
      <c r="AB67" s="95">
        <v>1963600</v>
      </c>
      <c r="AC67" s="10">
        <v>142.22</v>
      </c>
      <c r="AD67" s="2">
        <f>Y67-Z67</f>
        <v>1.1899999999999977</v>
      </c>
      <c r="AE67" s="138" t="e">
        <f>AC67/#REF!-1</f>
        <v>#REF!</v>
      </c>
    </row>
    <row r="68" spans="23:31" x14ac:dyDescent="0.25">
      <c r="W68" s="133">
        <v>42584</v>
      </c>
      <c r="X68" s="10">
        <v>143.81</v>
      </c>
      <c r="Y68" s="10">
        <v>143.97</v>
      </c>
      <c r="Z68" s="10">
        <v>142.34</v>
      </c>
      <c r="AA68" s="10">
        <v>143.16999999999999</v>
      </c>
      <c r="AB68" s="95">
        <v>2679100</v>
      </c>
      <c r="AC68" s="10">
        <v>142.51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55</vt:i4>
      </vt:variant>
      <vt:variant>
        <vt:lpstr>Named Ranges</vt:lpstr>
      </vt:variant>
      <vt:variant>
        <vt:i4>110</vt:i4>
      </vt:variant>
    </vt:vector>
  </HeadingPairs>
  <TitlesOfParts>
    <vt:vector size="165" baseType="lpstr">
      <vt:lpstr>CLOSED</vt:lpstr>
      <vt:lpstr>Balance</vt:lpstr>
      <vt:lpstr>ACTIVE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SWHC</vt:lpstr>
      <vt:lpstr>CF</vt:lpstr>
      <vt:lpstr>LUV</vt:lpstr>
      <vt:lpstr>BMY</vt:lpstr>
      <vt:lpstr>AKAM</vt:lpstr>
      <vt:lpstr>CVS</vt:lpstr>
      <vt:lpstr>MRO</vt:lpstr>
      <vt:lpstr>KR</vt:lpstr>
      <vt:lpstr>F</vt:lpstr>
      <vt:lpstr>JNJ</vt:lpstr>
      <vt:lpstr>CPN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SWHC!hp?s_swhc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SWHC!q?s_swhc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2016-11-03T01:03:12Z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