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9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6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8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r:id="rId20"/>
    <sheet name="ADBE" sheetId="85" state="hidden" r:id="rId21"/>
    <sheet name="MRO" sheetId="25" state="hidden" r:id="rId22"/>
    <sheet name="GE" sheetId="86" state="hidden" r:id="rId23"/>
    <sheet name="XRAY" sheetId="103" state="hidden" r:id="rId24"/>
    <sheet name="XLP" sheetId="104" state="hidden" r:id="rId25"/>
    <sheet name="KR" sheetId="51" r:id="rId26"/>
    <sheet name="F" sheetId="54" state="hidden" r:id="rId27"/>
    <sheet name="JNJ" sheetId="68" state="hidden" r:id="rId28"/>
    <sheet name="ULTA" sheetId="81" r:id="rId29"/>
    <sheet name="FRC" sheetId="89" state="hidden" r:id="rId30"/>
    <sheet name="AAP" sheetId="77" state="hidden" r:id="rId31"/>
    <sheet name="CMCSA" sheetId="99" r:id="rId32"/>
    <sheet name="XEC" sheetId="100" state="hidden" r:id="rId33"/>
    <sheet name="MO" sheetId="102" state="hidden" r:id="rId34"/>
    <sheet name="T" sheetId="93" state="hidden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state="hidden" r:id="rId41"/>
    <sheet name="AZO" sheetId="83" state="hidden" r:id="rId42"/>
    <sheet name="FL" sheetId="98" state="hidden" r:id="rId43"/>
    <sheet name="MLM" sheetId="97" r:id="rId44"/>
    <sheet name="KHC" sheetId="96" state="hidden" r:id="rId45"/>
    <sheet name="KBWY" sheetId="94" state="hidden" r:id="rId46"/>
    <sheet name="AYI" sheetId="92" state="hidden" r:id="rId47"/>
    <sheet name="DIA" sheetId="91" state="hidden" r:id="rId48"/>
    <sheet name="ICE" sheetId="95" state="hidden" r:id="rId49"/>
    <sheet name="NKE" sheetId="50" state="hidden" r:id="rId50"/>
    <sheet name="MOS" sheetId="58" state="hidden" r:id="rId51"/>
    <sheet name="VGK" sheetId="59" state="hidden" r:id="rId52"/>
    <sheet name="CMG" sheetId="87" state="hidden" r:id="rId53"/>
    <sheet name="HAS" sheetId="90" r:id="rId54"/>
    <sheet name="HSIC" sheetId="82" r:id="rId55"/>
    <sheet name="PDCO" sheetId="88" state="hidden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state="hidden" r:id="rId66"/>
    <sheet name="AA" sheetId="3" state="hidden" r:id="rId67"/>
    <sheet name="CF" sheetId="61" state="hidden" r:id="rId68"/>
    <sheet name="TGT" sheetId="75" state="hidden" r:id="rId69"/>
    <sheet name="NWL" sheetId="46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r:id="rId75"/>
    <sheet name="CAH" sheetId="53" state="hidden" r:id="rId76"/>
    <sheet name="DAL" sheetId="49" state="hidden" r:id="rId77"/>
    <sheet name="TEVA" sheetId="74" state="hidden" r:id="rId78"/>
    <sheet name="DIS" sheetId="34" state="hidden" r:id="rId79"/>
    <sheet name="FTR" sheetId="40" state="hidden" r:id="rId80"/>
    <sheet name="GILD" sheetId="31" state="hidden" r:id="rId81"/>
    <sheet name="WWD" sheetId="28" state="hidden" r:id="rId82"/>
    <sheet name="GIS" sheetId="43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CAH!$W$1:$AC$69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AH" localSheetId="75">CAH!$T$43:$U$58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95" l="1"/>
  <c r="H32" i="95"/>
  <c r="G32" i="95"/>
  <c r="A679" i="38"/>
  <c r="D679" i="38"/>
  <c r="E679" i="38"/>
  <c r="G679" i="38"/>
  <c r="H679" i="38"/>
  <c r="K679" i="38"/>
  <c r="L679" i="38" s="1"/>
  <c r="M679" i="38"/>
  <c r="N679" i="38" s="1"/>
  <c r="O679" i="38" s="1"/>
  <c r="S679" i="38"/>
  <c r="V679" i="38"/>
  <c r="X679" i="38" l="1"/>
  <c r="P679" i="38"/>
  <c r="Q679" i="38" s="1"/>
  <c r="W679" i="38"/>
  <c r="Y679" i="38" s="1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64" i="84"/>
  <c r="H64" i="84"/>
  <c r="G64" i="84"/>
  <c r="F15" i="84"/>
  <c r="C18" i="84"/>
  <c r="F45" i="49"/>
  <c r="H45" i="49"/>
  <c r="G45" i="49"/>
  <c r="F5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51" i="82"/>
  <c r="H51" i="82"/>
  <c r="G51" i="82"/>
  <c r="F38" i="99"/>
  <c r="H38" i="99"/>
  <c r="G38" i="99"/>
  <c r="F29" i="102"/>
  <c r="H29" i="102"/>
  <c r="G29" i="102"/>
  <c r="F35" i="103"/>
  <c r="H35" i="103"/>
  <c r="G35" i="103"/>
  <c r="H18" i="88"/>
  <c r="F73" i="81"/>
  <c r="G73" i="81"/>
  <c r="H73" i="81"/>
  <c r="F46" i="45"/>
  <c r="G46" i="45"/>
  <c r="H46" i="45"/>
  <c r="F37" i="92"/>
  <c r="H37" i="92"/>
  <c r="G37" i="92"/>
  <c r="F63" i="84"/>
  <c r="G63" i="84"/>
  <c r="H63" i="84"/>
  <c r="F154" i="51"/>
  <c r="H154" i="51"/>
  <c r="G154" i="51"/>
  <c r="F232" i="25"/>
  <c r="G232" i="25"/>
  <c r="H232" i="25"/>
  <c r="F44" i="49"/>
  <c r="H44" i="49"/>
  <c r="G44" i="49"/>
  <c r="F4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18" i="88"/>
  <c r="F85" i="105"/>
  <c r="K85" i="105"/>
  <c r="M19" i="105"/>
  <c r="K19" i="105"/>
  <c r="C19" i="105"/>
  <c r="F19" i="105"/>
  <c r="H85" i="105"/>
  <c r="C85" i="105"/>
  <c r="H19" i="105"/>
  <c r="M85" i="105"/>
  <c r="M66" i="105" l="1"/>
  <c r="Q10" i="105" s="1"/>
  <c r="O677" i="38"/>
  <c r="Z677" i="38"/>
  <c r="P677" i="38"/>
  <c r="U677" i="38"/>
  <c r="Q2" i="105"/>
  <c r="Q5" i="105" s="1"/>
  <c r="G52" i="88"/>
  <c r="F52" i="88"/>
  <c r="H52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1" i="88"/>
  <c r="H51" i="88"/>
  <c r="G51" i="88"/>
  <c r="K7" i="88"/>
  <c r="F231" i="25"/>
  <c r="G231" i="25"/>
  <c r="H231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C32" i="58"/>
  <c r="H18" i="84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0" i="88"/>
  <c r="H50" i="88"/>
  <c r="G50" i="88"/>
  <c r="K6" i="88"/>
  <c r="F230" i="25"/>
  <c r="H230" i="25"/>
  <c r="G230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19" i="88"/>
  <c r="H19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71" i="81"/>
  <c r="H71" i="81"/>
  <c r="G71" i="81"/>
  <c r="K13" i="81"/>
  <c r="F39" i="47"/>
  <c r="H39" i="47"/>
  <c r="G39" i="47"/>
  <c r="K8" i="47"/>
  <c r="F37" i="99"/>
  <c r="H37" i="99"/>
  <c r="G37" i="99"/>
  <c r="K4" i="99"/>
  <c r="F39" i="101"/>
  <c r="H39" i="101"/>
  <c r="G39" i="101"/>
  <c r="K6" i="101"/>
  <c r="H18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6" i="58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18" i="58"/>
  <c r="AH23" i="58"/>
  <c r="AE25" i="58"/>
  <c r="AH4" i="86"/>
  <c r="AH11" i="88"/>
  <c r="AE12" i="86"/>
  <c r="AE4" i="86"/>
  <c r="AB15" i="86"/>
  <c r="AB7" i="86"/>
  <c r="AE10" i="86"/>
  <c r="AH19" i="58"/>
  <c r="AE21" i="58"/>
  <c r="AB12" i="86"/>
  <c r="AE15" i="86"/>
  <c r="AE7" i="86"/>
  <c r="AH7" i="86"/>
  <c r="AB16" i="88"/>
  <c r="AH14" i="58"/>
  <c r="AH21" i="58"/>
  <c r="AH15" i="86"/>
  <c r="AH14" i="86"/>
  <c r="AH30" i="58"/>
  <c r="AB13" i="86"/>
  <c r="AE16" i="86"/>
  <c r="AE8" i="86"/>
  <c r="AH16" i="88"/>
  <c r="AH15" i="88"/>
  <c r="AH3" i="58"/>
  <c r="AH7" i="58"/>
  <c r="AH9" i="58"/>
  <c r="AH11" i="58"/>
  <c r="AH15" i="58"/>
  <c r="AE24" i="58"/>
  <c r="AH6" i="86"/>
  <c r="AH26" i="58"/>
  <c r="AB11" i="86"/>
  <c r="AE14" i="86"/>
  <c r="AE6" i="86"/>
  <c r="AH11" i="86"/>
  <c r="AH3" i="86"/>
  <c r="AH14" i="88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H13" i="88"/>
  <c r="AB28" i="58"/>
  <c r="AB16" i="86"/>
  <c r="AB8" i="86"/>
  <c r="AE11" i="86"/>
  <c r="AH16" i="86"/>
  <c r="AH8" i="86"/>
  <c r="AH4" i="58"/>
  <c r="AH8" i="58"/>
  <c r="AE20" i="58"/>
  <c r="AH9" i="88"/>
  <c r="AE13" i="88"/>
  <c r="AE14" i="88"/>
  <c r="AE15" i="88"/>
  <c r="AE16" i="88"/>
  <c r="AE17" i="88"/>
  <c r="AH5" i="58"/>
  <c r="AH20" i="58"/>
  <c r="AH25" i="58"/>
  <c r="AH10" i="58"/>
  <c r="AB27" i="58"/>
  <c r="AE28" i="58"/>
  <c r="AH29" i="58"/>
  <c r="AB31" i="58"/>
  <c r="AH2" i="58"/>
  <c r="AH13" i="58"/>
  <c r="AH22" i="58"/>
  <c r="AE27" i="58"/>
  <c r="AH28" i="58"/>
  <c r="AB30" i="58"/>
  <c r="AE31" i="58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K85" i="104"/>
  <c r="C85" i="104"/>
  <c r="F85" i="104"/>
  <c r="H19" i="104"/>
  <c r="H85" i="104"/>
  <c r="M85" i="104"/>
  <c r="K19" i="104"/>
  <c r="C19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K26" i="5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70" i="81"/>
  <c r="H70" i="81"/>
  <c r="G70" i="81"/>
  <c r="H69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0" i="88"/>
  <c r="H40" i="88"/>
  <c r="G40" i="88"/>
  <c r="K4" i="88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AA22" i="58" s="1"/>
  <c r="AB22" i="58" s="1"/>
  <c r="F210" i="25"/>
  <c r="G210" i="25"/>
  <c r="H210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61" i="81"/>
  <c r="G61" i="81"/>
  <c r="F61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0" i="25"/>
  <c r="H200" i="25"/>
  <c r="G200" i="25"/>
  <c r="F70" i="25"/>
  <c r="AD3" i="88" l="1"/>
  <c r="AE3" i="88" s="1"/>
  <c r="P611" i="38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85" i="103"/>
  <c r="F85" i="103"/>
  <c r="F19" i="103"/>
  <c r="K19" i="103"/>
  <c r="H85" i="103"/>
  <c r="M85" i="103"/>
  <c r="C19" i="103"/>
  <c r="M19" i="103"/>
  <c r="H19" i="103"/>
  <c r="C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196" i="25"/>
  <c r="H196" i="25"/>
  <c r="G196" i="25"/>
  <c r="K48" i="25"/>
  <c r="F69" i="87"/>
  <c r="K69" i="87"/>
  <c r="M19" i="102"/>
  <c r="H19" i="102"/>
  <c r="C85" i="102"/>
  <c r="F85" i="102"/>
  <c r="M85" i="102"/>
  <c r="C19" i="102"/>
  <c r="K19" i="102"/>
  <c r="F19" i="102"/>
  <c r="K85" i="102"/>
  <c r="H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F19" i="101"/>
  <c r="H19" i="101"/>
  <c r="M19" i="99"/>
  <c r="K85" i="101"/>
  <c r="C19" i="100"/>
  <c r="F19" i="99"/>
  <c r="H19" i="100"/>
  <c r="C85" i="99"/>
  <c r="H85" i="101"/>
  <c r="H19" i="99"/>
  <c r="F85" i="101"/>
  <c r="K85" i="99"/>
  <c r="M19" i="100"/>
  <c r="F85" i="99"/>
  <c r="K85" i="100"/>
  <c r="C85" i="101"/>
  <c r="M85" i="99"/>
  <c r="K19" i="101"/>
  <c r="H85" i="99"/>
  <c r="M85" i="101"/>
  <c r="F19" i="100"/>
  <c r="M85" i="100"/>
  <c r="C19" i="99"/>
  <c r="K19" i="99"/>
  <c r="C85" i="100"/>
  <c r="M19" i="101"/>
  <c r="H85" i="100"/>
  <c r="F85" i="100"/>
  <c r="C19" i="101"/>
  <c r="K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55" i="81"/>
  <c r="G55" i="81"/>
  <c r="H55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M85" i="97"/>
  <c r="F85" i="97"/>
  <c r="K85" i="97"/>
  <c r="K19" i="97"/>
  <c r="K19" i="98"/>
  <c r="C85" i="98"/>
  <c r="H19" i="97"/>
  <c r="M19" i="97"/>
  <c r="K85" i="98"/>
  <c r="C85" i="97"/>
  <c r="C19" i="98"/>
  <c r="F85" i="98"/>
  <c r="H85" i="98"/>
  <c r="C19" i="97"/>
  <c r="M85" i="98"/>
  <c r="K19" i="88"/>
  <c r="F19" i="98"/>
  <c r="H19" i="98"/>
  <c r="H85" i="97"/>
  <c r="M19" i="98"/>
  <c r="F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K85" i="96"/>
  <c r="F19" i="96"/>
  <c r="H85" i="96"/>
  <c r="K19" i="96"/>
  <c r="C19" i="96"/>
  <c r="M19" i="96"/>
  <c r="F85" i="96"/>
  <c r="C85" i="96"/>
  <c r="M85" i="96"/>
  <c r="H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9" i="81"/>
  <c r="K4" i="81"/>
  <c r="G182" i="25"/>
  <c r="K42" i="25"/>
  <c r="F6" i="47"/>
  <c r="F5" i="91"/>
  <c r="G48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H19" i="95"/>
  <c r="F85" i="95"/>
  <c r="M19" i="95"/>
  <c r="M85" i="95"/>
  <c r="K85" i="95"/>
  <c r="K19" i="95"/>
  <c r="H85" i="95"/>
  <c r="C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C85" i="94"/>
  <c r="M85" i="94"/>
  <c r="C19" i="94"/>
  <c r="H85" i="94"/>
  <c r="F85" i="94"/>
  <c r="H19" i="94"/>
  <c r="F19" i="94"/>
  <c r="M19" i="94"/>
  <c r="K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85" i="93"/>
  <c r="F85" i="93"/>
  <c r="M85" i="93"/>
  <c r="H85" i="93"/>
  <c r="K85" i="93"/>
  <c r="K19" i="93"/>
  <c r="M19" i="93"/>
  <c r="H19" i="93"/>
  <c r="C19" i="93"/>
  <c r="F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0" i="88"/>
  <c r="H30" i="88"/>
  <c r="G30" i="88"/>
  <c r="F5" i="88"/>
  <c r="AA5" i="88" s="1"/>
  <c r="AB5" i="88" s="1"/>
  <c r="F44" i="70"/>
  <c r="H44" i="70"/>
  <c r="G44" i="70"/>
  <c r="F14" i="70"/>
  <c r="F19" i="92"/>
  <c r="M85" i="92"/>
  <c r="C85" i="92"/>
  <c r="F85" i="91"/>
  <c r="F85" i="92"/>
  <c r="H19" i="91"/>
  <c r="H85" i="92"/>
  <c r="K19" i="92"/>
  <c r="K19" i="91"/>
  <c r="H85" i="91"/>
  <c r="M19" i="92"/>
  <c r="C19" i="91"/>
  <c r="C19" i="92"/>
  <c r="K85" i="91"/>
  <c r="F19" i="91"/>
  <c r="C85" i="91"/>
  <c r="K85" i="92"/>
  <c r="H19" i="92"/>
  <c r="M19" i="91"/>
  <c r="M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C19" i="90"/>
  <c r="F85" i="90"/>
  <c r="K85" i="90"/>
  <c r="H85" i="90"/>
  <c r="C85" i="90"/>
  <c r="F19" i="90"/>
  <c r="M19" i="90"/>
  <c r="K19" i="90"/>
  <c r="M85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19" i="89"/>
  <c r="H58" i="51"/>
  <c r="C85" i="89"/>
  <c r="C19" i="89"/>
  <c r="M85" i="89"/>
  <c r="K85" i="89"/>
  <c r="H85" i="89"/>
  <c r="F19" i="89"/>
  <c r="M19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F19" i="87"/>
  <c r="K85" i="88"/>
  <c r="H19" i="87"/>
  <c r="F19" i="88"/>
  <c r="M19" i="88"/>
  <c r="C85" i="87"/>
  <c r="K19" i="87"/>
  <c r="H85" i="88"/>
  <c r="H85" i="87"/>
  <c r="M19" i="87"/>
  <c r="F85" i="88"/>
  <c r="M85" i="88"/>
  <c r="F85" i="87"/>
  <c r="K85" i="87"/>
  <c r="C85" i="88"/>
  <c r="C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K85" i="86"/>
  <c r="C19" i="86"/>
  <c r="M19" i="86"/>
  <c r="C85" i="86"/>
  <c r="F19" i="86"/>
  <c r="F85" i="86"/>
  <c r="H19" i="86"/>
  <c r="H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104" i="81"/>
  <c r="G104" i="81"/>
  <c r="F104" i="81"/>
  <c r="H103" i="81"/>
  <c r="G103" i="81"/>
  <c r="F103" i="81"/>
  <c r="K82" i="81"/>
  <c r="F82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C19" i="85"/>
  <c r="M85" i="85"/>
  <c r="M19" i="85"/>
  <c r="C85" i="85"/>
  <c r="H85" i="85"/>
  <c r="H19" i="85"/>
  <c r="F85" i="85"/>
  <c r="F19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0" i="84"/>
  <c r="K100" i="84"/>
  <c r="H100" i="84"/>
  <c r="F100" i="84"/>
  <c r="C100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C101" i="84"/>
  <c r="M101" i="84"/>
  <c r="C85" i="83"/>
  <c r="C19" i="84"/>
  <c r="F101" i="84"/>
  <c r="H19" i="84"/>
  <c r="K101" i="84"/>
  <c r="F19" i="83"/>
  <c r="H101" i="84"/>
  <c r="F19" i="84"/>
  <c r="F85" i="83"/>
  <c r="M85" i="83"/>
  <c r="H85" i="83"/>
  <c r="C19" i="83"/>
  <c r="M19" i="84"/>
  <c r="H19" i="83"/>
  <c r="K85" i="83"/>
  <c r="K19" i="83"/>
  <c r="O484" i="38" l="1"/>
  <c r="Z484" i="38"/>
  <c r="Q5" i="85"/>
  <c r="Q3" i="85"/>
  <c r="Q6" i="85" s="1"/>
  <c r="Q7" i="85"/>
  <c r="M82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85" i="82"/>
  <c r="H18" i="74"/>
  <c r="C19" i="82"/>
  <c r="M85" i="82"/>
  <c r="H85" i="82"/>
  <c r="M19" i="82"/>
  <c r="F19" i="82"/>
  <c r="F85" i="82"/>
  <c r="K85" i="82"/>
  <c r="M18" i="74"/>
  <c r="H19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96" i="31"/>
  <c r="F78" i="75"/>
  <c r="M96" i="31"/>
  <c r="C78" i="75"/>
  <c r="C96" i="31"/>
  <c r="K96" i="31"/>
  <c r="K78" i="75"/>
  <c r="M78" i="75"/>
  <c r="H78" i="75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K19" i="64"/>
  <c r="H85" i="64"/>
  <c r="K85" i="64"/>
  <c r="M85" i="64"/>
  <c r="M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98" i="81"/>
  <c r="K98" i="81"/>
  <c r="H98" i="81"/>
  <c r="F98" i="81"/>
  <c r="C9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H30" i="81"/>
  <c r="F30" i="81"/>
  <c r="F99" i="81"/>
  <c r="C99" i="81"/>
  <c r="M99" i="81"/>
  <c r="K99" i="81"/>
  <c r="H99" i="81"/>
  <c r="M30" i="81"/>
  <c r="O468" i="38" l="1"/>
  <c r="Z468" i="38"/>
  <c r="M80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H19" i="80"/>
  <c r="C85" i="80"/>
  <c r="K85" i="80"/>
  <c r="F85" i="80"/>
  <c r="H85" i="80"/>
  <c r="C19" i="80"/>
  <c r="F19" i="80"/>
  <c r="M85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K65" i="79"/>
  <c r="K19" i="79"/>
  <c r="H19" i="79"/>
  <c r="H65" i="79"/>
  <c r="M19" i="79"/>
  <c r="C65" i="79"/>
  <c r="F65" i="79"/>
  <c r="F19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19" i="78"/>
  <c r="C85" i="78"/>
  <c r="F85" i="78"/>
  <c r="H19" i="78"/>
  <c r="F19" i="78"/>
  <c r="H85" i="78"/>
  <c r="M19" i="78"/>
  <c r="K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H89" i="77"/>
  <c r="M89" i="77"/>
  <c r="H19" i="77"/>
  <c r="C89" i="77"/>
  <c r="K89" i="77"/>
  <c r="C19" i="77"/>
  <c r="F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H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M19" i="76"/>
  <c r="K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H93" i="68"/>
  <c r="M93" i="68"/>
  <c r="F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5" i="25"/>
  <c r="H765" i="25"/>
  <c r="C765" i="25"/>
  <c r="F741" i="25"/>
  <c r="F740" i="25"/>
  <c r="F739" i="25"/>
  <c r="F738" i="25"/>
  <c r="F737" i="25"/>
  <c r="F736" i="25"/>
  <c r="F735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F647" i="25"/>
  <c r="F646" i="25"/>
  <c r="F645" i="25"/>
  <c r="K644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66" i="25"/>
  <c r="H766" i="25"/>
  <c r="K766" i="25"/>
  <c r="M766" i="25"/>
  <c r="C766" i="25"/>
  <c r="O364" i="38" l="1"/>
  <c r="Z364" i="38"/>
  <c r="N363" i="38"/>
  <c r="F765" i="25"/>
  <c r="K765" i="25"/>
  <c r="P363" i="38"/>
  <c r="O363" i="38" l="1"/>
  <c r="Z363" i="38"/>
  <c r="M502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H248" i="25"/>
  <c r="G248" i="25"/>
  <c r="H247" i="25"/>
  <c r="G247" i="25"/>
  <c r="H246" i="25"/>
  <c r="G246" i="25"/>
  <c r="H245" i="25"/>
  <c r="G245" i="25"/>
  <c r="H244" i="25"/>
  <c r="G244" i="25"/>
  <c r="H243" i="25"/>
  <c r="G243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55" i="50"/>
  <c r="M19" i="71"/>
  <c r="F19" i="73"/>
  <c r="F25" i="31"/>
  <c r="C99" i="45"/>
  <c r="C86" i="53"/>
  <c r="K100" i="34"/>
  <c r="H19" i="68"/>
  <c r="F19" i="64"/>
  <c r="K65" i="63"/>
  <c r="F65" i="71"/>
  <c r="C65" i="63"/>
  <c r="F99" i="45"/>
  <c r="M81" i="61"/>
  <c r="H63" i="66"/>
  <c r="K19" i="75"/>
  <c r="F86" i="53"/>
  <c r="H19" i="59"/>
  <c r="H19" i="55"/>
  <c r="K171" i="58"/>
  <c r="F19" i="63"/>
  <c r="H19" i="50"/>
  <c r="F19" i="55"/>
  <c r="H55" i="50"/>
  <c r="M67" i="60"/>
  <c r="F19" i="61"/>
  <c r="C19" i="52"/>
  <c r="F65" i="63"/>
  <c r="M72" i="59"/>
  <c r="M19" i="55"/>
  <c r="H19" i="71"/>
  <c r="C19" i="63"/>
  <c r="M86" i="53"/>
  <c r="C100" i="34"/>
  <c r="F19" i="53"/>
  <c r="M19" i="75"/>
  <c r="K25" i="31"/>
  <c r="F19" i="62"/>
  <c r="F85" i="64"/>
  <c r="K51" i="54"/>
  <c r="K19" i="54"/>
  <c r="M19" i="45"/>
  <c r="F19" i="45"/>
  <c r="H19" i="34"/>
  <c r="H451" i="17"/>
  <c r="C19" i="69"/>
  <c r="C30" i="49"/>
  <c r="M213" i="57"/>
  <c r="M33" i="58"/>
  <c r="F19" i="52"/>
  <c r="K19" i="63"/>
  <c r="F19" i="41"/>
  <c r="C451" i="17"/>
  <c r="H90" i="72"/>
  <c r="K19" i="69"/>
  <c r="K19" i="41"/>
  <c r="F63" i="66"/>
  <c r="K156" i="49"/>
  <c r="K33" i="58"/>
  <c r="K19" i="50"/>
  <c r="M65" i="71"/>
  <c r="M19" i="63"/>
  <c r="H19" i="70"/>
  <c r="C19" i="73"/>
  <c r="H19" i="62"/>
  <c r="H30" i="40"/>
  <c r="K18" i="74"/>
  <c r="C213" i="57"/>
  <c r="K19" i="72"/>
  <c r="F91" i="25"/>
  <c r="C30" i="40"/>
  <c r="M94" i="52"/>
  <c r="K99" i="45"/>
  <c r="F19" i="68"/>
  <c r="M119" i="7"/>
  <c r="K19" i="61"/>
  <c r="K19" i="52"/>
  <c r="M19" i="66"/>
  <c r="F19" i="66"/>
  <c r="K119" i="7"/>
  <c r="K19" i="3"/>
  <c r="C19" i="53"/>
  <c r="C19" i="75"/>
  <c r="C19" i="60"/>
  <c r="H81" i="61"/>
  <c r="F19" i="60"/>
  <c r="K58" i="51"/>
  <c r="C19" i="54"/>
  <c r="C19" i="34"/>
  <c r="M19" i="60"/>
  <c r="K19" i="70"/>
  <c r="F19" i="75"/>
  <c r="H25" i="31"/>
  <c r="F55" i="50"/>
  <c r="C75" i="41"/>
  <c r="F94" i="52"/>
  <c r="F77" i="70"/>
  <c r="K67" i="60"/>
  <c r="C65" i="71"/>
  <c r="H75" i="41"/>
  <c r="M19" i="69"/>
  <c r="C19" i="61"/>
  <c r="M19" i="70"/>
  <c r="K94" i="52"/>
  <c r="C19" i="72"/>
  <c r="M451" i="17"/>
  <c r="M19" i="41"/>
  <c r="M19" i="52"/>
  <c r="H19" i="72"/>
  <c r="M171" i="58"/>
  <c r="C23" i="57"/>
  <c r="H51" i="54"/>
  <c r="C63" i="66"/>
  <c r="C19" i="70"/>
  <c r="M19" i="54"/>
  <c r="F67" i="60"/>
  <c r="H77" i="70"/>
  <c r="K30" i="49"/>
  <c r="C19" i="62"/>
  <c r="F51" i="54"/>
  <c r="M19" i="73"/>
  <c r="F75" i="41"/>
  <c r="C19" i="64"/>
  <c r="F156" i="49"/>
  <c r="F119" i="7"/>
  <c r="C77" i="70"/>
  <c r="M19" i="61"/>
  <c r="F19" i="34"/>
  <c r="C33" i="58"/>
  <c r="M19" i="34"/>
  <c r="M58" i="51"/>
  <c r="M19" i="59"/>
  <c r="K30" i="40"/>
  <c r="H171" i="58"/>
  <c r="H19" i="41"/>
  <c r="C25" i="31"/>
  <c r="M23" i="17"/>
  <c r="K63" i="66"/>
  <c r="H33" i="58"/>
  <c r="H19" i="66"/>
  <c r="F19" i="71"/>
  <c r="C19" i="50"/>
  <c r="F81" i="61"/>
  <c r="F171" i="58"/>
  <c r="C85" i="64"/>
  <c r="K19" i="71"/>
  <c r="K90" i="72"/>
  <c r="K23" i="57"/>
  <c r="C19" i="3"/>
  <c r="C67" i="60"/>
  <c r="F100" i="34"/>
  <c r="F19" i="70"/>
  <c r="H65" i="71"/>
  <c r="M19" i="68"/>
  <c r="H100" i="34"/>
  <c r="F90" i="72"/>
  <c r="K19" i="59"/>
  <c r="K55" i="50"/>
  <c r="F58" i="51"/>
  <c r="H156" i="49"/>
  <c r="M19" i="62"/>
  <c r="F19" i="54"/>
  <c r="M65" i="63"/>
  <c r="F213" i="57"/>
  <c r="K19" i="60"/>
  <c r="H19" i="63"/>
  <c r="C19" i="41"/>
  <c r="M30" i="49"/>
  <c r="C51" i="54"/>
  <c r="C19" i="55"/>
  <c r="K19" i="73"/>
  <c r="F33" i="58"/>
  <c r="H19" i="53"/>
  <c r="F18" i="74"/>
  <c r="C19" i="45"/>
  <c r="C94" i="52"/>
  <c r="H19" i="52"/>
  <c r="K81" i="61"/>
  <c r="H19" i="3"/>
  <c r="H19" i="60"/>
  <c r="F72" i="59"/>
  <c r="F23" i="57"/>
  <c r="K19" i="55"/>
  <c r="K77" i="70"/>
  <c r="M90" i="72"/>
  <c r="C119" i="7"/>
  <c r="C81" i="61"/>
  <c r="C171" i="58"/>
  <c r="C19" i="59"/>
  <c r="M99" i="45"/>
  <c r="K451" i="17"/>
  <c r="H19" i="75"/>
  <c r="M63" i="66"/>
  <c r="H99" i="45"/>
  <c r="M19" i="53"/>
  <c r="M19" i="3"/>
  <c r="M25" i="31"/>
  <c r="F19" i="3"/>
  <c r="C19" i="68"/>
  <c r="C90" i="72"/>
  <c r="M19" i="72"/>
  <c r="F23" i="17"/>
  <c r="M23" i="57"/>
  <c r="F19" i="72"/>
  <c r="F19" i="59"/>
  <c r="H72" i="59"/>
  <c r="H65" i="63"/>
  <c r="K19" i="34"/>
  <c r="K75" i="41"/>
  <c r="K65" i="71"/>
  <c r="F30" i="49"/>
  <c r="C23" i="17"/>
  <c r="C91" i="25"/>
  <c r="H67" i="60"/>
  <c r="K19" i="53"/>
  <c r="K213" i="57"/>
  <c r="M75" i="41"/>
  <c r="H30" i="49"/>
  <c r="M51" i="54"/>
  <c r="C19" i="71"/>
  <c r="H213" i="57"/>
  <c r="K19" i="66"/>
  <c r="C72" i="59"/>
  <c r="H19" i="54"/>
  <c r="H19" i="61"/>
  <c r="K19" i="68"/>
  <c r="H19" i="69"/>
  <c r="C55" i="50"/>
  <c r="H119" i="7"/>
  <c r="M156" i="49"/>
  <c r="M100" i="34"/>
  <c r="H91" i="25"/>
  <c r="K23" i="17"/>
  <c r="H19" i="73"/>
  <c r="F19" i="69"/>
  <c r="H86" i="53"/>
  <c r="C156" i="49"/>
  <c r="K19" i="62"/>
  <c r="M19" i="50"/>
  <c r="M30" i="40"/>
  <c r="H94" i="52"/>
  <c r="K86" i="53"/>
  <c r="F19" i="50"/>
  <c r="F22" i="43"/>
  <c r="H23" i="17"/>
  <c r="F30" i="40"/>
  <c r="F451" i="17"/>
  <c r="K72" i="59"/>
  <c r="C19" i="66"/>
  <c r="M77" i="70"/>
  <c r="V678" i="38" l="1"/>
  <c r="X678" i="38" s="1"/>
  <c r="V676" i="38"/>
  <c r="X676" i="38" s="1"/>
  <c r="V677" i="38"/>
  <c r="X677" i="38" s="1"/>
  <c r="V675" i="38"/>
  <c r="X675" i="38" s="1"/>
  <c r="AA2" i="58"/>
  <c r="AB2" i="58" s="1"/>
  <c r="AO2" i="58" s="1"/>
  <c r="F32" i="58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7" i="38" l="1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7" i="38" l="1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<sst xmlns="http://schemas.openxmlformats.org/spreadsheetml/2006/main" count="7674" uniqueCount="1158">
  <si>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</si>
  <si>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</si>
  <si>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</si>
  <si>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</si>
  <si>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</si>
  <si>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</si>
  <si>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</si>
  <si>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</si>
  <si>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</si>
  <si>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</si>
  <si>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</si>
  <si>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</si>
  <si>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</si>
  <si>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</si>
  <si>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</si>
  <si>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</si>
  <si>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</si>
  <si>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</si>
  <si>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</si>
  <si>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</si>
  <si>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</si>
  <si>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</si>
  <si>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</si>
  <si>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</si>
  <si>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</si>
  <si>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</si>
  <si>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</si>
  <si>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</si>
  <si>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</si>
  <si>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</si>
  <si>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</si>
  <si>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</si>
  <si>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</si>
  <si>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</si>
  <si>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</si>
  <si>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</si>
  <si>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</si>
  <si>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</si>
  <si>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</si>
  <si>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</si>
  <si>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</si>
  <si>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</si>
  <si>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</si>
  <si>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</si>
  <si>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</si>
  <si>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</si>
  <si>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</si>
  <si>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</si>
  <si>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</si>
  <si>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</si>
  <si>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</si>
  <si>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</si>
  <si>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</si>
  <si>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</si>
  <si>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</si>
  <si>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</si>
  <si>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</si>
  <si>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</si>
  <si>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</si>
  <si>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</si>
  <si>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</si>
  <si>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</si>
  <si>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</si>
  <si>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</si>
  <si>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</si>
  <si>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</si>
  <si>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</si>
  <si>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</si>
  <si>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</si>
  <si>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</si>
  <si>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</si>
  <si>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</si>
  <si>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</si>
  <si>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</si>
  <si>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</si>
  <si>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</si>
  <si>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</si>
  <si>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</si>
  <si>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</si>
  <si>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</si>
  <si>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</si>
  <si>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</si>
  <si>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</si>
  <si>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</si>
  <si>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</si>
  <si>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</si>
  <si>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</si>
  <si>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</si>
  <si>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</si>
  <si>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</si>
  <si>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</si>
  <si>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</si>
  <si>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</si>
  <si>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</si>
  <si>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</si>
  <si>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</si>
  <si>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</si>
  <si>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</si>
  <si>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</si>
  <si>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</si>
  <si>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</si>
  <si>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</si>
  <si>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</si>
  <si>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</si>
  <si>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</si>
  <si>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</si>
  <si>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</si>
  <si>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</si>
  <si>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</si>
  <si>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</si>
  <si>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</si>
  <si>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</si>
  <si>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</si>
  <si>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</si>
  <si>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</si>
  <si>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</si>
  <si>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</si>
  <si>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</si>
  <si>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</si>
  <si>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</si>
  <si>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</si>
  <si>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</si>
  <si>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</si>
  <si>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</si>
  <si>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</si>
  <si>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</si>
  <si>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</si>
  <si>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</si>
  <si>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</si>
  <si>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</si>
  <si>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</si>
  <si>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</si>
  <si>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</si>
  <si>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</si>
  <si>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</si>
  <si>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</si>
  <si>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</si>
  <si>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</si>
  <si>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</si>
  <si>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</si>
  <si>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</si>
  <si>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</si>
  <si>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</si>
  <si>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</si>
  <si>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</si>
  <si>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</si>
  <si>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</si>
  <si>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</si>
  <si>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</si>
  <si>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</si>
  <si>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</si>
  <si>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</si>
  <si>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</si>
  <si>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</si>
  <si>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</si>
  <si>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</si>
  <si>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</si>
  <si>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</si>
  <si>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</si>
  <si>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</si>
  <si>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</si>
  <si>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</si>
  <si>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</si>
  <si>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</si>
  <si>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</si>
  <si>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</si>
  <si>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</si>
  <si>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</si>
  <si>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</si>
  <si>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</si>
  <si>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</si>
  <si>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</si>
  <si>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</si>
  <si>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</si>
  <si>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</si>
  <si>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</si>
  <si>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</si>
  <si>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</si>
  <si>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</si>
  <si>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</si>
  <si>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</si>
  <si>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</si>
  <si>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</si>
  <si>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</si>
  <si>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</si>
  <si>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</si>
  <si>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</si>
  <si>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</si>
  <si>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</si>
  <si>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</si>
  <si>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</si>
  <si>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</si>
  <si>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</si>
  <si>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</si>
  <si>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</si>
  <si>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</si>
  <si>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</si>
  <si>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</si>
  <si>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</si>
  <si>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</si>
  <si>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</si>
  <si>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</si>
  <si>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</si>
  <si>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</si>
  <si>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</si>
  <si>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</si>
  <si>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</si>
  <si>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</si>
  <si>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</si>
  <si>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</si>
  <si>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</si>
  <si>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</si>
  <si>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</si>
  <si>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</si>
  <si>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</si>
  <si>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</si>
  <si>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</si>
  <si>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</si>
  <si>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</si>
  <si>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</si>
  <si>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</si>
  <si>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</si>
  <si>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</si>
  <si>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</si>
  <si>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</si>
  <si>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</si>
  <si>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</si>
  <si>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</si>
  <si>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</si>
  <si>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</si>
  <si>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</si>
  <si>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</si>
  <si>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</si>
  <si>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</si>
  <si>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</si>
  <si>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</si>
  <si>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</si>
  <si>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</si>
  <si>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</si>
  <si>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</si>
  <si>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</si>
  <si>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</si>
  <si>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</si>
  <si>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</si>
  <si>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</si>
  <si>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</si>
  <si>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</si>
  <si>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</si>
  <si>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</si>
  <si>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</si>
  <si>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</si>
  <si>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</si>
  <si>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</si>
  <si>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</si>
  <si>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</si>
  <si>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</si>
  <si>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</si>
  <si>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</si>
  <si>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</si>
  <si>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</si>
  <si>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</si>
  <si>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</si>
  <si>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</si>
  <si>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</si>
  <si>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</si>
  <si>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</si>
  <si>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</si>
  <si>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</si>
  <si>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</si>
  <si>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</si>
  <si>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</si>
  <si>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</si>
  <si>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</si>
  <si>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</si>
  <si>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</si>
  <si>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</si>
  <si>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</si>
  <si>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</si>
  <si>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</si>
  <si>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</si>
  <si>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</si>
  <si>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</si>
  <si>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</si>
  <si>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</si>
  <si>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</si>
  <si>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</si>
  <si>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</si>
  <si>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</si>
  <si>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</si>
  <si>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</si>
  <si>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</si>
  <si>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</si>
  <si>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</si>
  <si>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</si>
  <si>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</si>
  <si>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</si>
  <si>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</si>
  <si>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</si>
  <si>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</si>
  <si>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</si>
  <si>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</si>
  <si>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</si>
  <si>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</si>
  <si>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</si>
  <si>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</si>
  <si>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</si>
  <si>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</si>
  <si>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</si>
  <si>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</si>
  <si>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</si>
  <si>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</si>
  <si>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</si>
  <si>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</si>
  <si>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</si>
  <si>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</si>
  <si>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</si>
  <si>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</si>
  <si>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</si>
  <si>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</si>
  <si>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</si>
  <si>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</si>
  <si>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</si>
  <si>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</si>
  <si>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</si>
  <si>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</si>
  <si>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</si>
  <si>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</si>
  <si>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</si>
  <si>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</si>
  <si>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</si>
  <si>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</si>
  <si>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</si>
  <si>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</si>
  <si>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</si>
  <si>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</si>
  <si>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</si>
  <si>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</si>
  <si>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</si>
  <si>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</si>
  <si>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</si>
  <si>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</si>
  <si>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</si>
  <si>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</si>
  <si>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</si>
  <si>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</si>
  <si>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</si>
  <si>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</si>
  <si>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</si>
  <si>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</si>
  <si>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</si>
  <si>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</si>
  <si>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</si>
  <si>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</si>
  <si>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</si>
  <si>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</si>
  <si>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</si>
  <si>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</si>
  <si>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</si>
  <si>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</si>
  <si>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</si>
  <si>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</si>
  <si>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</si>
  <si>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</si>
  <si>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</si>
  <si>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</si>
  <si>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</si>
  <si>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</si>
  <si>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</si>
  <si>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</si>
  <si>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</si>
  <si>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</si>
  <si>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</si>
  <si>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</si>
  <si>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</si>
  <si>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</si>
  <si>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</si>
  <si>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</si>
  <si>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</si>
  <si>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</si>
  <si>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</si>
  <si>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</si>
  <si>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</si>
  <si>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</si>
  <si>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</si>
  <si>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</si>
  <si>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</si>
  <si>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</si>
  <si>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</si>
  <si>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</si>
  <si>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</si>
  <si>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</si>
  <si>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</si>
  <si>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</si>
  <si>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</si>
  <si>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</si>
  <si>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</si>
  <si>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</si>
  <si>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</si>
  <si>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</si>
  <si>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</si>
  <si>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</si>
  <si>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</si>
  <si>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</si>
  <si>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</si>
  <si>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</si>
  <si>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</si>
  <si>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</si>
  <si>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</si>
  <si>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</si>
  <si>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</si>
  <si>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</si>
  <si>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</si>
  <si>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</si>
  <si>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</si>
  <si>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</si>
  <si>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</si>
  <si>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</si>
  <si>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</si>
  <si>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</si>
  <si>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</si>
  <si>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</si>
  <si>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</si>
  <si>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</si>
  <si>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</si>
  <si>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</si>
  <si>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</si>
  <si>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</si>
  <si>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</si>
  <si>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</si>
  <si>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</si>
  <si>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</si>
  <si>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</si>
  <si>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</si>
  <si>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</si>
  <si>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</si>
  <si>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</si>
  <si>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</si>
  <si>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</si>
  <si>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</si>
  <si>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</si>
  <si>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</si>
  <si>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</si>
  <si>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</si>
  <si>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</si>
  <si>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</si>
  <si>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</si>
  <si>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</si>
  <si>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</si>
  <si>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</si>
  <si>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</si>
  <si>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</si>
  <si>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</si>
  <si>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</si>
  <si>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</si>
  <si>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</si>
  <si>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</si>
  <si>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</si>
  <si>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</si>
  <si>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</si>
  <si>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</si>
  <si>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</si>
  <si>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</si>
  <si>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</si>
  <si>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</si>
  <si>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</si>
  <si>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</si>
  <si>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</si>
  <si>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</si>
  <si>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</si>
  <si>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</si>
  <si>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</si>
  <si>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</si>
  <si>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</si>
  <si>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</si>
  <si>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</si>
  <si>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</si>
  <si>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</si>
  <si>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</si>
  <si>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</si>
  <si>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</si>
  <si>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</si>
  <si>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</si>
  <si>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</si>
  <si>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</si>
  <si>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</si>
  <si>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</si>
  <si>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</si>
  <si>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</si>
  <si>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</si>
  <si>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</si>
  <si>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</si>
  <si>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</si>
  <si>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</si>
  <si>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</si>
  <si>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</si>
  <si>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</si>
  <si>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</si>
  <si>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</si>
  <si>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</si>
  <si>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</si>
  <si>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</si>
  <si>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</si>
  <si>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</si>
  <si>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</si>
  <si>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</si>
  <si>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</si>
  <si>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</si>
  <si>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</si>
  <si>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</si>
  <si>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</si>
  <si>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</si>
  <si>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</si>
  <si>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</si>
  <si>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</si>
  <si>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</si>
  <si>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</si>
  <si>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</si>
  <si>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</si>
  <si>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</si>
  <si>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</si>
  <si>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</si>
  <si>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</si>
  <si>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</si>
  <si>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</si>
  <si>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</si>
  <si>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</si>
  <si>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</si>
  <si>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</si>
  <si>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</si>
  <si>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</si>
  <si>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</si>
  <si>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</si>
  <si>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</si>
  <si>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</si>
  <si>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</si>
  <si>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</si>
  <si>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</si>
  <si>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</si>
  <si>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</si>
  <si>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</si>
  <si>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</si>
  <si>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</si>
  <si>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</si>
  <si>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</si>
  <si>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</si>
  <si>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</si>
  <si>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</si>
  <si>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</si>
  <si>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</si>
  <si>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</si>
  <si>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</si>
  <si>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</si>
  <si>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</si>
  <si>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</si>
  <si>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</si>
  <si>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</si>
  <si>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</si>
  <si>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</si>
  <si>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</si>
  <si>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</si>
  <si>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</si>
  <si>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</si>
  <si>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</si>
  <si>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</si>
  <si>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</si>
  <si>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</si>
  <si>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</si>
  <si>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</si>
  <si>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</si>
  <si>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</si>
  <si>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</si>
  <si>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</si>
  <si>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</si>
  <si>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</si>
  <si>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</si>
  <si>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</si>
  <si>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</si>
  <si>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</si>
  <si>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</si>
  <si>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</si>
  <si>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</si>
  <si>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</si>
  <si>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</si>
  <si>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</si>
  <si>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</si>
  <si>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</si>
  <si>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</si>
  <si>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</si>
  <si>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</si>
  <si>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</si>
  <si>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</si>
  <si>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</si>
  <si>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</si>
  <si>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</si>
  <si>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</si>
  <si>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</si>
  <si>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</si>
  <si>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</si>
  <si>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</si>
  <si>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</si>
  <si>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</si>
  <si>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</si>
  <si>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</si>
  <si>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</si>
  <si>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</si>
  <si>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</si>
  <si>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</si>
  <si>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</si>
  <si>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</si>
  <si>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</si>
  <si>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</si>
  <si>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</si>
  <si>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</si>
  <si>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</si>
  <si>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</si>
  <si>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</si>
  <si>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</si>
  <si>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</si>
  <si>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</si>
  <si>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</si>
  <si>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</si>
  <si>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</si>
  <si>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</si>
  <si>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</si>
  <si>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</si>
  <si>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</si>
  <si>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</si>
  <si>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</si>
  <si>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</si>
  <si>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</si>
  <si>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</si>
  <si>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</si>
  <si>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</si>
  <si>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</si>
  <si>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</si>
  <si>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</si>
  <si>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</si>
  <si>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</si>
  <si>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</si>
  <si>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</si>
  <si>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</si>
  <si>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</si>
  <si>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</si>
  <si>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</si>
  <si>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</si>
  <si>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</si>
  <si>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</si>
  <si>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</si>
  <si>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</si>
  <si>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</si>
  <si>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</si>
  <si>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</si>
  <si>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</si>
  <si>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</si>
  <si>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</si>
  <si>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</si>
  <si>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</si>
  <si>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</si>
  <si>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</si>
  <si>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</si>
  <si>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</si>
  <si>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</si>
  <si>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</si>
  <si>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</si>
  <si>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</si>
  <si>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</si>
  <si>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</si>
  <si>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</si>
  <si>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</si>
  <si>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</si>
  <si>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</si>
  <si>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</si>
  <si>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</si>
  <si>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</si>
  <si>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</si>
  <si>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</si>
  <si>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</si>
  <si>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</si>
  <si>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</si>
  <si>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</si>
  <si>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</si>
  <si>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</si>
  <si>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</si>
  <si>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</si>
  <si>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</si>
  <si>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</si>
  <si>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</si>
  <si>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</si>
  <si>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</si>
  <si>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</si>
  <si>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</si>
  <si>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</si>
  <si>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</si>
  <si>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</si>
  <si>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</si>
  <si>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</si>
  <si>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</si>
  <si>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</si>
  <si>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</si>
  <si>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</si>
  <si>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</si>
  <si>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</si>
  <si>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</si>
  <si>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</si>
  <si>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</si>
  <si>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</si>
  <si>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</si>
  <si>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</si>
  <si>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</si>
  <si>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</si>
  <si>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</si>
  <si>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</si>
  <si>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</si>
  <si>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</si>
  <si>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</si>
  <si>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</si>
  <si>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</si>
  <si>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</si>
  <si>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</si>
  <si>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</si>
  <si>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</si>
  <si>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</si>
  <si>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</si>
  <si>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</si>
  <si>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</si>
  <si>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</si>
  <si>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</si>
  <si>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</si>
  <si>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</si>
  <si>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</si>
  <si>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</si>
  <si>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</si>
  <si>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</si>
  <si>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</si>
  <si>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</si>
  <si>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</si>
  <si>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</si>
  <si>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</si>
  <si>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</si>
  <si>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</si>
  <si>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</si>
  <si>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</si>
  <si>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</si>
  <si>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</si>
  <si>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</si>
  <si>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</si>
  <si>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</si>
  <si>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</si>
  <si>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</si>
  <si>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</si>
  <si>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</si>
  <si>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</si>
  <si>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</si>
  <si>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</si>
  <si>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</si>
  <si>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</si>
  <si>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</si>
  <si>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</si>
  <si>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</si>
  <si>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</si>
  <si>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</si>
  <si>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</si>
  <si>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</si>
  <si>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</si>
  <si>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</si>
  <si>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</si>
  <si>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</si>
  <si>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</si>
  <si>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</si>
  <si>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</si>
  <si>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</si>
  <si>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</si>
  <si>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</si>
  <si>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</si>
  <si>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</si>
  <si>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</si>
  <si>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</si>
  <si>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</si>
  <si>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</si>
  <si>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</si>
  <si>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</si>
  <si>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</si>
  <si>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</si>
  <si>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</si>
  <si>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</si>
  <si>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</si>
  <si>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</si>
  <si>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</si>
  <si>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</si>
  <si>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</si>
  <si>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</si>
  <si>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</si>
  <si>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</si>
  <si>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</si>
  <si>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</si>
  <si>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</si>
  <si>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</si>
  <si>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</si>
  <si>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</si>
  <si>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</si>
  <si>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</si>
  <si>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</si>
  <si>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</si>
  <si>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</si>
  <si>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</si>
  <si>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</si>
  <si>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</si>
  <si>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</si>
  <si>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</si>
  <si>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</si>
  <si>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</si>
  <si>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</si>
  <si>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</si>
  <si>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</si>
  <si>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</si>
  <si>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</si>
  <si>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</si>
  <si>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</si>
  <si>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</si>
  <si>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</si>
  <si>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</si>
  <si>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</si>
  <si>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</si>
  <si>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</si>
  <si>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</si>
  <si>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</si>
  <si>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</si>
  <si>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</si>
  <si>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</si>
  <si>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</si>
  <si>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</si>
  <si>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</si>
  <si>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</si>
  <si>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</si>
  <si>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</si>
  <si>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</si>
  <si>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</si>
  <si>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</si>
  <si>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</si>
  <si>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</si>
  <si>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</si>
  <si>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</si>
  <si>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</si>
  <si>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</si>
  <si>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</si>
  <si>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</si>
  <si>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</si>
  <si>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</si>
  <si>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</si>
  <si>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</si>
  <si>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</si>
  <si>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</si>
  <si>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</si>
  <si>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</si>
  <si>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</si>
  <si>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</si>
  <si>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</si>
  <si>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</si>
  <si>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</si>
  <si>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</si>
  <si>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</si>
  <si>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</si>
  <si>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</si>
  <si>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</si>
  <si>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</si>
  <si>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</si>
  <si>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</si>
  <si>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</si>
  <si>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</si>
  <si>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</si>
  <si>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</si>
  <si>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</si>
  <si>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</si>
  <si>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</si>
  <si>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</si>
  <si>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</si>
  <si>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</si>
  <si>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</si>
  <si>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</si>
  <si>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</si>
  <si>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</si>
  <si>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</si>
  <si>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</si>
  <si>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</si>
  <si>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</si>
  <si>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</si>
  <si>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</si>
  <si>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</si>
  <si>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</si>
  <si>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</si>
  <si>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</si>
  <si>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</si>
  <si>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</si>
  <si>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</si>
  <si>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</si>
  <si>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</si>
  <si>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</si>
  <si>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</si>
  <si>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</si>
  <si>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</si>
  <si>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</si>
  <si>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</si>
  <si>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</si>
  <si>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</si>
  <si>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</si>
  <si>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</si>
  <si>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</si>
  <si>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</si>
  <si>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</si>
  <si>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</si>
  <si>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</si>
  <si>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</si>
  <si>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</si>
  <si>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</si>
  <si>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</si>
  <si>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</si>
  <si>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</si>
  <si>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</si>
  <si>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</si>
  <si>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</si>
  <si>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</si>
  <si>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</si>
  <si>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</si>
  <si>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</si>
  <si>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</si>
  <si>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</si>
  <si>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</si>
  <si>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</si>
  <si>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</si>
  <si>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</si>
  <si>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</si>
  <si>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</si>
  <si>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</si>
  <si>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</si>
  <si>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</si>
  <si>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</si>
  <si>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</si>
  <si>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</si>
  <si>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</si>
  <si>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</si>
  <si>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</si>
  <si>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</si>
  <si>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</si>
  <si>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</si>
  <si>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</si>
  <si>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</si>
  <si>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</si>
  <si>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</si>
  <si>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</si>
  <si>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</si>
  <si>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</si>
  <si>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</si>
  <si>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</si>
  <si>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</si>
  <si>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</si>
  <si>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</si>
  <si>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</si>
  <si>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</si>
  <si>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</si>
  <si>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</si>
  <si>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</si>
  <si>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</si>
  <si>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</si>
  <si>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</si>
  <si>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</si>
  <si>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</si>
  <si>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</si>
  <si>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</si>
  <si>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</si>
  <si>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</si>
  <si>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</si>
  <si>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</si>
  <si>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</si>
  <si>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</si>
  <si>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</si>
  <si>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</si>
  <si>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</si>
  <si>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</si>
  <si>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</si>
  <si>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</si>
  <si>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</si>
  <si>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</si>
  <si>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</si>
  <si>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</si>
  <si>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</si>
  <si>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</si>
  <si>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</si>
  <si>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</si>
  <si>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</si>
  <si>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</si>
  <si>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</si>
  <si>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</si>
  <si>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</si>
  <si>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</si>
  <si>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</si>
  <si>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</si>
  <si>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</si>
  <si>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</si>
  <si>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</si>
  <si>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</si>
  <si>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</si>
  <si>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</si>
  <si>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</si>
  <si>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</si>
  <si>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</si>
  <si>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</si>
  <si>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</si>
  <si>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</si>
  <si>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</si>
  <si>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</si>
  <si>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</si>
  <si>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</si>
  <si>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</si>
  <si>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</si>
  <si>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</si>
  <si>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</si>
  <si>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</si>
  <si>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</si>
  <si>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</si>
  <si>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</si>
  <si>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</si>
  <si>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</si>
  <si>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</si>
  <si>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</si>
  <si>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</si>
  <si>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</si>
  <si>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</si>
  <si>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</si>
  <si>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</si>
  <si>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</si>
  <si>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</si>
  <si>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</si>
  <si>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</si>
  <si>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</si>
  <si>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</si>
  <si>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</si>
  <si>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</si>
  <si>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</si>
  <si>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</si>
  <si>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</si>
  <si>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</si>
  <si>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</si>
  <si>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</si>
  <si>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</si>
  <si>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</si>
  <si>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</si>
  <si>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</si>
  <si>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</si>
  <si>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</si>
  <si>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</si>
  <si>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</si>
  <si>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</si>
  <si>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</si>
  <si>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</si>
  <si>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</si>
  <si>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</si>
  <si>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</si>
  <si>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</si>
  <si>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</si>
  <si>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</si>
  <si>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</si>
  <si>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</si>
  <si>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</si>
  <si>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</si>
  <si>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</si>
  <si>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</si>
  <si>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</si>
  <si>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</si>
  <si>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</si>
  <si>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</si>
  <si>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</si>
  <si>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</si>
  <si>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</si>
  <si>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</si>
  <si>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</si>
  <si>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</si>
  <si>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</si>
  <si>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</si>
  <si>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</si>
  <si>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</si>
  <si>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</si>
  <si>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</si>
  <si>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</si>
  <si>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</si>
  <si>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</si>
  <si>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</si>
  <si>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</si>
  <si>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</si>
  <si>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</si>
  <si>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</si>
  <si>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</si>
  <si>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</si>
  <si>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</si>
  <si>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</si>
  <si>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</si>
  <si>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</si>
  <si>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</si>
  <si>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</si>
  <si>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</si>
  <si>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</si>
  <si>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</si>
  <si>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</si>
  <si>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</si>
  <si>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</si>
  <si>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</si>
  <si>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</si>
  <si>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</si>
  <si>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</si>
  <si>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</si>
  <si>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</si>
  <si>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</si>
  <si>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</si>
  <si>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</si>
  <si>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</si>
  <si>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</si>
  <si>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</si>
  <si>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</si>
  <si>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</si>
  <si>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</si>
  <si>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</si>
  <si>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</si>
  <si>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</si>
  <si>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</si>
  <si>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</si>
  <si>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</si>
  <si>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</si>
  <si>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</si>
  <si>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</si>
  <si>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</si>
  <si>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</si>
  <si>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</si>
  <si>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</si>
  <si>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</si>
  <si>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</si>
  <si>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</si>
  <si>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</si>
  <si>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</si>
  <si>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</si>
  <si>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</si>
  <si>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</si>
  <si>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</si>
  <si>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</si>
  <si>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</si>
  <si>
    <t>Disney topped cmcsa offer for fox</t>
  </si>
  <si>
    <t>32.25-&gt;31.00</t>
  </si>
  <si>
    <t>not bad, up 9.7%. Sold 300 shares and bought back. Holding 1500 shares @28.07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</si>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</sst>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41"/>
      <tableStyleElement type="headerRow" dxfId="2740"/>
    </tableStyle>
  </tableStyles>
  <colors>
    <mruColors>
      <color rgb="FFE7271D"/>
      <color rgb="FFFF7C5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35400"/>
        <c:axId val="366003248"/>
      </c:scatterChart>
      <c:valAx>
        <c:axId val="45453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03248"/>
        <c:crosses val="autoZero"/>
        <c:crossBetween val="midCat"/>
      </c:valAx>
      <c:valAx>
        <c:axId val="3660032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3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16104"/>
        <c:axId val="367963368"/>
      </c:scatterChart>
      <c:valAx>
        <c:axId val="36721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63368"/>
        <c:crosses val="autoZero"/>
        <c:crossBetween val="midCat"/>
      </c:valAx>
      <c:valAx>
        <c:axId val="36796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161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14344"/>
        <c:axId val="369054776"/>
      </c:scatterChart>
      <c:valAx>
        <c:axId val="454514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4776"/>
        <c:crosses val="autoZero"/>
        <c:crossBetween val="midCat"/>
      </c:valAx>
      <c:valAx>
        <c:axId val="3690547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14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53208"/>
        <c:axId val="369056344"/>
      </c:scatterChart>
      <c:valAx>
        <c:axId val="36905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6344"/>
        <c:crosses val="autoZero"/>
        <c:crossBetween val="midCat"/>
      </c:valAx>
      <c:valAx>
        <c:axId val="36905634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3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57520"/>
        <c:axId val="369053992"/>
      </c:scatterChart>
      <c:valAx>
        <c:axId val="36905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3992"/>
        <c:crosses val="autoZero"/>
        <c:crossBetween val="midCat"/>
      </c:valAx>
      <c:valAx>
        <c:axId val="36905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59088"/>
        <c:axId val="476670752"/>
      </c:scatterChart>
      <c:valAx>
        <c:axId val="36905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70752"/>
        <c:crosses val="autoZero"/>
        <c:crossBetween val="midCat"/>
      </c:valAx>
      <c:valAx>
        <c:axId val="4766707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674280"/>
        <c:axId val="476668400"/>
      </c:scatterChart>
      <c:valAx>
        <c:axId val="476674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68400"/>
        <c:crosses val="autoZero"/>
        <c:crossBetween val="midCat"/>
      </c:valAx>
      <c:valAx>
        <c:axId val="476668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742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671144"/>
        <c:axId val="476669184"/>
      </c:scatterChart>
      <c:valAx>
        <c:axId val="47667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69184"/>
        <c:crosses val="autoZero"/>
        <c:crossBetween val="midCat"/>
      </c:valAx>
      <c:valAx>
        <c:axId val="47666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7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71928"/>
        <c:axId val="476673104"/>
      </c:lineChart>
      <c:dateAx>
        <c:axId val="47667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73104"/>
        <c:crosses val="autoZero"/>
        <c:auto val="1"/>
        <c:lblOffset val="100"/>
        <c:baseTimeUnit val="days"/>
      </c:dateAx>
      <c:valAx>
        <c:axId val="476673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7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58696"/>
        <c:axId val="477872512"/>
      </c:lineChart>
      <c:dateAx>
        <c:axId val="36905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72512"/>
        <c:crosses val="autoZero"/>
        <c:auto val="1"/>
        <c:lblOffset val="100"/>
        <c:baseTimeUnit val="days"/>
      </c:dateAx>
      <c:valAx>
        <c:axId val="47787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66632"/>
        <c:axId val="477872904"/>
      </c:lineChart>
      <c:dateAx>
        <c:axId val="477866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72904"/>
        <c:crosses val="autoZero"/>
        <c:auto val="1"/>
        <c:lblOffset val="100"/>
        <c:baseTimeUnit val="days"/>
      </c:dateAx>
      <c:valAx>
        <c:axId val="4778729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6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73688"/>
        <c:axId val="477866240"/>
      </c:lineChart>
      <c:dateAx>
        <c:axId val="47787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66240"/>
        <c:crosses val="autoZero"/>
        <c:auto val="1"/>
        <c:lblOffset val="100"/>
        <c:baseTimeUnit val="days"/>
      </c:dateAx>
      <c:valAx>
        <c:axId val="477866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7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472872"/>
        <c:axId val="480469736"/>
      </c:lineChart>
      <c:catAx>
        <c:axId val="480472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69736"/>
        <c:crosses val="autoZero"/>
        <c:auto val="1"/>
        <c:lblAlgn val="ctr"/>
        <c:lblOffset val="100"/>
        <c:noMultiLvlLbl val="0"/>
      </c:catAx>
      <c:valAx>
        <c:axId val="48046973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728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466600"/>
        <c:axId val="480473264"/>
      </c:lineChart>
      <c:dateAx>
        <c:axId val="48046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73264"/>
        <c:crosses val="autoZero"/>
        <c:auto val="1"/>
        <c:lblOffset val="100"/>
        <c:baseTimeUnit val="days"/>
      </c:dateAx>
      <c:valAx>
        <c:axId val="4804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6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25720"/>
        <c:axId val="477126112"/>
      </c:lineChart>
      <c:dateAx>
        <c:axId val="477125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6112"/>
        <c:crosses val="autoZero"/>
        <c:auto val="1"/>
        <c:lblOffset val="100"/>
        <c:baseTimeUnit val="days"/>
      </c:dateAx>
      <c:valAx>
        <c:axId val="477126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WBA!$B$25:$B$82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</c:numCache>
            </c:numRef>
          </c:cat>
          <c:val>
            <c:numRef>
              <c:f>WBA!$E$25:$E$82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WBA!$B$25:$B$82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</c:numCache>
            </c:numRef>
          </c:cat>
          <c:val>
            <c:numRef>
              <c:f>WBA!$D$25:$D$82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24152"/>
        <c:axId val="477126504"/>
      </c:lineChart>
      <c:dateAx>
        <c:axId val="477124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6504"/>
        <c:crosses val="autoZero"/>
        <c:auto val="1"/>
        <c:lblOffset val="100"/>
        <c:baseTimeUnit val="days"/>
      </c:dateAx>
      <c:valAx>
        <c:axId val="4771265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4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24544"/>
        <c:axId val="477125328"/>
      </c:lineChart>
      <c:dateAx>
        <c:axId val="477124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5328"/>
        <c:crosses val="autoZero"/>
        <c:auto val="1"/>
        <c:lblOffset val="100"/>
        <c:baseTimeUnit val="days"/>
      </c:dateAx>
      <c:valAx>
        <c:axId val="47712532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990152"/>
        <c:axId val="516990544"/>
      </c:lineChart>
      <c:catAx>
        <c:axId val="516990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90544"/>
        <c:crosses val="autoZero"/>
        <c:auto val="1"/>
        <c:lblAlgn val="ctr"/>
        <c:lblOffset val="100"/>
        <c:noMultiLvlLbl val="0"/>
      </c:catAx>
      <c:valAx>
        <c:axId val="516990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9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992504"/>
        <c:axId val="516994856"/>
      </c:scatterChart>
      <c:valAx>
        <c:axId val="516992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94856"/>
        <c:crosses val="autoZero"/>
        <c:crossBetween val="midCat"/>
      </c:valAx>
      <c:valAx>
        <c:axId val="51699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92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82408"/>
        <c:axId val="505979272"/>
      </c:lineChart>
      <c:catAx>
        <c:axId val="505982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9272"/>
        <c:crosses val="autoZero"/>
        <c:auto val="1"/>
        <c:lblAlgn val="ctr"/>
        <c:lblOffset val="100"/>
        <c:noMultiLvlLbl val="0"/>
      </c:catAx>
      <c:valAx>
        <c:axId val="505979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8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80448"/>
        <c:axId val="505977312"/>
      </c:lineChart>
      <c:dateAx>
        <c:axId val="50598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7312"/>
        <c:crosses val="autoZero"/>
        <c:auto val="1"/>
        <c:lblOffset val="100"/>
        <c:baseTimeUnit val="days"/>
      </c:dateAx>
      <c:valAx>
        <c:axId val="505977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8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78096"/>
        <c:axId val="505982800"/>
      </c:lineChart>
      <c:dateAx>
        <c:axId val="50597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82800"/>
        <c:crosses val="autoZero"/>
        <c:auto val="1"/>
        <c:lblOffset val="100"/>
        <c:baseTimeUnit val="days"/>
      </c:dateAx>
      <c:valAx>
        <c:axId val="5059828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77704"/>
        <c:axId val="505830728"/>
      </c:lineChart>
      <c:dateAx>
        <c:axId val="50597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30728"/>
        <c:crosses val="autoZero"/>
        <c:auto val="1"/>
        <c:lblOffset val="100"/>
        <c:baseTimeUnit val="days"/>
      </c:dateAx>
      <c:valAx>
        <c:axId val="5058307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826024"/>
        <c:axId val="505826416"/>
      </c:lineChart>
      <c:dateAx>
        <c:axId val="505826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26416"/>
        <c:crosses val="autoZero"/>
        <c:auto val="1"/>
        <c:lblOffset val="100"/>
        <c:baseTimeUnit val="days"/>
      </c:dateAx>
      <c:valAx>
        <c:axId val="5058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2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28376"/>
        <c:axId val="505828768"/>
      </c:lineChart>
      <c:dateAx>
        <c:axId val="505828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28768"/>
        <c:crosses val="autoZero"/>
        <c:auto val="1"/>
        <c:lblOffset val="100"/>
        <c:baseTimeUnit val="days"/>
      </c:dateAx>
      <c:valAx>
        <c:axId val="5058287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2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395208"/>
        <c:axId val="548394816"/>
      </c:lineChart>
      <c:catAx>
        <c:axId val="548395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94816"/>
        <c:crosses val="autoZero"/>
        <c:auto val="1"/>
        <c:lblAlgn val="ctr"/>
        <c:lblOffset val="100"/>
        <c:noMultiLvlLbl val="0"/>
      </c:catAx>
      <c:valAx>
        <c:axId val="548394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9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393248"/>
        <c:axId val="548389720"/>
      </c:lineChart>
      <c:catAx>
        <c:axId val="548393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89720"/>
        <c:crosses val="autoZero"/>
        <c:auto val="1"/>
        <c:lblAlgn val="ctr"/>
        <c:lblOffset val="100"/>
        <c:noMultiLvlLbl val="0"/>
      </c:catAx>
      <c:valAx>
        <c:axId val="5483897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39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60112"/>
        <c:axId val="578967952"/>
      </c:lineChart>
      <c:dateAx>
        <c:axId val="57896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7952"/>
        <c:crosses val="autoZero"/>
        <c:auto val="1"/>
        <c:lblOffset val="100"/>
        <c:baseTimeUnit val="days"/>
      </c:dateAx>
      <c:valAx>
        <c:axId val="5789679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60896"/>
        <c:axId val="578962072"/>
      </c:lineChart>
      <c:dateAx>
        <c:axId val="57896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2072"/>
        <c:crosses val="autoZero"/>
        <c:auto val="1"/>
        <c:lblOffset val="100"/>
        <c:baseTimeUnit val="days"/>
      </c:dateAx>
      <c:valAx>
        <c:axId val="578962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57760"/>
        <c:axId val="578963640"/>
      </c:lineChart>
      <c:catAx>
        <c:axId val="578957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3640"/>
        <c:crosses val="autoZero"/>
        <c:auto val="1"/>
        <c:lblAlgn val="ctr"/>
        <c:lblOffset val="100"/>
        <c:noMultiLvlLbl val="0"/>
      </c:catAx>
      <c:valAx>
        <c:axId val="578963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64424"/>
        <c:axId val="578964816"/>
      </c:lineChart>
      <c:dateAx>
        <c:axId val="578964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4816"/>
        <c:crosses val="autoZero"/>
        <c:auto val="1"/>
        <c:lblOffset val="100"/>
        <c:baseTimeUnit val="days"/>
      </c:dateAx>
      <c:valAx>
        <c:axId val="5789648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05" dataDxfId="504">
  <autoFilter ref="O15:W26"/>
  <tableColumns count="9">
    <tableColumn id="1" name="Date" dataDxfId="503"/>
    <tableColumn id="2" name="Quarter" dataDxfId="502"/>
    <tableColumn id="3" name="Time" dataDxfId="501"/>
    <tableColumn id="4" name="EPS estimate" dataDxfId="500"/>
    <tableColumn id="5" name="EPS Actual" dataDxfId="499"/>
    <tableColumn id="6" name="Sales Estiamte (B)" dataDxfId="498"/>
    <tableColumn id="7" name="Sales Actual (B)" dataDxfId="497"/>
    <tableColumn id="8" name="Guidance" dataDxfId="496"/>
    <tableColumn id="9" name="Reaction" dataDxfId="49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5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11" activePane="bottomLeft" state="frozen"/>
      <selection pane="bottomLeft" activeCell="U77" sqref="U7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43" bestFit="1" customWidth="1"/>
    <col min="7" max="7" width="10.7109375" style="843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6" bestFit="1" customWidth="1"/>
    <col min="15" max="15" width="13.140625" style="769" bestFit="1" customWidth="1"/>
    <col min="16" max="16" width="9.140625" style="134" bestFit="1" customWidth="1"/>
    <col min="17" max="17" width="13.5703125" style="844" bestFit="1" customWidth="1"/>
    <col min="18" max="18" width="8" style="845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2" t="s">
        <v>142</v>
      </c>
      <c r="G1" s="842" t="s">
        <v>73</v>
      </c>
      <c r="H1" s="56" t="s">
        <v>57</v>
      </c>
      <c r="I1" s="57" t="s">
        <v>1141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5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20.86</v>
      </c>
      <c r="G2" s="78">
        <v>9.2149318181817819</v>
      </c>
      <c r="H2">
        <v>2200</v>
      </c>
      <c r="I2" s="2">
        <v>45892</v>
      </c>
      <c r="J2" s="2">
        <v>20272.849999999919</v>
      </c>
      <c r="K2" s="2">
        <v>25619.150000000081</v>
      </c>
      <c r="L2" s="736">
        <v>1.2637172375862387</v>
      </c>
      <c r="M2" s="2">
        <v>40234.721000001708</v>
      </c>
      <c r="N2">
        <v>1000</v>
      </c>
      <c r="O2" t="s">
        <v>1125</v>
      </c>
      <c r="P2" s="736">
        <v>9.5877277085330784E-3</v>
      </c>
      <c r="Q2" s="736">
        <v>-2.4500000000000001E-2</v>
      </c>
      <c r="R2" s="2">
        <v>33.111111111111107</v>
      </c>
      <c r="S2" s="736"/>
      <c r="T2" s="48"/>
    </row>
    <row r="3" spans="1:41" ht="21.95" customHeight="1" x14ac:dyDescent="0.25">
      <c r="A3" s="50"/>
      <c r="B3" s="50"/>
      <c r="C3" s="51"/>
      <c r="D3" s="788"/>
      <c r="E3" s="22" t="s">
        <v>195</v>
      </c>
      <c r="F3" s="2">
        <v>28.45</v>
      </c>
      <c r="G3" s="78">
        <v>27.715833333333347</v>
      </c>
      <c r="H3">
        <v>1500</v>
      </c>
      <c r="I3" s="2">
        <v>42675</v>
      </c>
      <c r="J3" s="2">
        <v>41573.750000000022</v>
      </c>
      <c r="K3" s="2">
        <v>1101.2499999999709</v>
      </c>
      <c r="L3" s="736">
        <v>2.6489070627498806E-2</v>
      </c>
      <c r="M3" s="2">
        <v>2849.2199999999648</v>
      </c>
      <c r="N3" s="29">
        <v>43297</v>
      </c>
      <c r="O3"/>
      <c r="P3" s="736">
        <v>1.9683655536028122E-2</v>
      </c>
      <c r="Q3" s="736">
        <v>-0.02</v>
      </c>
      <c r="R3" s="2">
        <v>13.878048780487806</v>
      </c>
      <c r="S3" s="736"/>
      <c r="U3" s="48"/>
    </row>
    <row r="4" spans="1:41" ht="21.95" customHeight="1" x14ac:dyDescent="0.25">
      <c r="A4" s="50"/>
      <c r="B4" s="50"/>
      <c r="C4" s="51"/>
      <c r="D4" s="788"/>
      <c r="E4" s="22" t="s">
        <v>736</v>
      </c>
      <c r="F4" s="2">
        <v>60.015000000000001</v>
      </c>
      <c r="G4" s="78">
        <v>62.516850000000012</v>
      </c>
      <c r="H4">
        <v>400</v>
      </c>
      <c r="I4" s="2">
        <v>24006</v>
      </c>
      <c r="J4" s="2">
        <v>25006.740000000005</v>
      </c>
      <c r="K4" s="2">
        <v>-1000.7400000000052</v>
      </c>
      <c r="L4" s="736">
        <v>-4.0018810928573838E-2</v>
      </c>
      <c r="M4" s="2">
        <v>-1000.7400000000052</v>
      </c>
      <c r="N4">
        <v>200</v>
      </c>
      <c r="O4" t="s">
        <v>1120</v>
      </c>
      <c r="P4" s="736">
        <v>2.6660001666250106E-2</v>
      </c>
      <c r="Q4" s="736">
        <v>-9.9000000000000005E-2</v>
      </c>
      <c r="R4" s="2">
        <v>10.086554621848741</v>
      </c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0"/>
      <c r="D5" s="788"/>
      <c r="E5" s="22" t="s">
        <v>920</v>
      </c>
      <c r="F5" s="2">
        <v>115.87</v>
      </c>
      <c r="G5" s="78">
        <v>128.64974999999998</v>
      </c>
      <c r="H5">
        <v>120</v>
      </c>
      <c r="I5" s="2">
        <v>13904.400000000001</v>
      </c>
      <c r="J5" s="2">
        <v>15437.969999999998</v>
      </c>
      <c r="K5" s="2">
        <v>-1533.5699999999979</v>
      </c>
      <c r="L5" s="736">
        <v>-9.9337542435954829E-2</v>
      </c>
      <c r="M5" s="2">
        <v>-1533.5699999999979</v>
      </c>
      <c r="N5">
        <v>100</v>
      </c>
      <c r="O5" t="s">
        <v>1135</v>
      </c>
      <c r="P5" s="736">
        <v>4.487788038318806E-3</v>
      </c>
      <c r="Q5" s="736">
        <v>-3.7199999999999997E-2</v>
      </c>
      <c r="R5" s="2">
        <v>13.441995359628772</v>
      </c>
      <c r="S5" s="736"/>
      <c r="U5" s="48"/>
      <c r="V5" s="48"/>
    </row>
    <row r="6" spans="1:41" ht="21.95" customHeight="1" x14ac:dyDescent="0.25">
      <c r="A6" s="50"/>
      <c r="B6" s="50"/>
      <c r="C6" s="51"/>
      <c r="D6" s="788"/>
      <c r="E6" s="22" t="s">
        <v>695</v>
      </c>
      <c r="F6" s="2">
        <v>233.46</v>
      </c>
      <c r="G6" s="78">
        <v>156.16555555555581</v>
      </c>
      <c r="H6">
        <v>45</v>
      </c>
      <c r="I6" s="2">
        <v>10505.7</v>
      </c>
      <c r="J6" s="2">
        <v>7027.4500000000116</v>
      </c>
      <c r="K6" s="2">
        <v>3478.2499999999891</v>
      </c>
      <c r="L6" s="736">
        <v>0.49495193846985508</v>
      </c>
      <c r="M6" s="2">
        <v>3703.0199999999895</v>
      </c>
      <c r="N6">
        <v>30</v>
      </c>
      <c r="O6"/>
      <c r="P6" s="736">
        <v>0</v>
      </c>
      <c r="Q6" s="736">
        <v>1.5299999999999999E-2</v>
      </c>
      <c r="R6" s="2">
        <v>23.841911764705884</v>
      </c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32</v>
      </c>
      <c r="F7" s="2">
        <v>49.54</v>
      </c>
      <c r="G7" s="78">
        <v>47.110650000000007</v>
      </c>
      <c r="H7">
        <v>200</v>
      </c>
      <c r="I7" s="2">
        <v>9908</v>
      </c>
      <c r="J7" s="2">
        <v>9422.130000000001</v>
      </c>
      <c r="K7" s="2">
        <v>485.86999999999898</v>
      </c>
      <c r="L7" s="736">
        <v>5.1566896232592675E-2</v>
      </c>
      <c r="M7" s="2">
        <v>1684.3399999999961</v>
      </c>
      <c r="N7">
        <v>100</v>
      </c>
      <c r="O7"/>
      <c r="P7" s="736">
        <v>2.4626564392410174E-2</v>
      </c>
      <c r="Q7" s="736">
        <v>-1.8E-3</v>
      </c>
      <c r="R7" s="2">
        <v>7.9391025641025639</v>
      </c>
      <c r="U7" s="48"/>
    </row>
    <row r="8" spans="1:41" ht="21.95" customHeight="1" x14ac:dyDescent="0.25">
      <c r="A8" s="50"/>
      <c r="B8" s="50"/>
      <c r="C8" s="50"/>
      <c r="D8" s="788"/>
      <c r="E8" s="22" t="s">
        <v>174</v>
      </c>
      <c r="F8" s="2">
        <v>25.79</v>
      </c>
      <c r="G8" s="78">
        <v>33.285684210526298</v>
      </c>
      <c r="H8">
        <v>380</v>
      </c>
      <c r="I8" s="2">
        <v>9800.1999999999989</v>
      </c>
      <c r="J8" s="2">
        <v>12648.559999999994</v>
      </c>
      <c r="K8" s="2">
        <v>-2848.3599999999915</v>
      </c>
      <c r="L8" s="736">
        <v>-0.22519243297260677</v>
      </c>
      <c r="M8" s="2">
        <v>-2773.3399999999915</v>
      </c>
      <c r="N8">
        <v>380</v>
      </c>
      <c r="O8"/>
      <c r="P8" s="736">
        <v>3.567274137262505E-2</v>
      </c>
      <c r="Q8" s="736">
        <v>-9.5999999999999992E-3</v>
      </c>
      <c r="R8" s="2">
        <v>9.6591760299625467</v>
      </c>
      <c r="S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175</v>
      </c>
      <c r="F9" s="2">
        <v>271.27999999999997</v>
      </c>
      <c r="G9" s="78">
        <v>247.96200000000005</v>
      </c>
      <c r="H9">
        <v>35</v>
      </c>
      <c r="I9" s="2">
        <v>9494.7999999999993</v>
      </c>
      <c r="J9" s="2">
        <v>8678.6700000000019</v>
      </c>
      <c r="K9" s="2">
        <v>816.12999999999738</v>
      </c>
      <c r="L9" s="736">
        <v>9.4038602689121412E-2</v>
      </c>
      <c r="M9" s="2">
        <v>976.95999999999731</v>
      </c>
      <c r="N9">
        <v>35</v>
      </c>
      <c r="O9"/>
      <c r="P9" s="736">
        <v>1.84E-2</v>
      </c>
      <c r="Q9" s="736">
        <v>5.7000000000000002E-3</v>
      </c>
      <c r="R9" s="2">
        <v>17</v>
      </c>
      <c r="S9" s="736"/>
      <c r="U9" s="48"/>
    </row>
    <row r="10" spans="1:41" ht="21.95" customHeight="1" x14ac:dyDescent="0.25">
      <c r="A10" s="50"/>
      <c r="B10" s="50"/>
      <c r="C10" s="51"/>
      <c r="D10" s="788"/>
      <c r="E10" s="22" t="s">
        <v>825</v>
      </c>
      <c r="F10" s="2">
        <v>22.67</v>
      </c>
      <c r="G10" s="78">
        <v>30.841699999999999</v>
      </c>
      <c r="H10">
        <v>400</v>
      </c>
      <c r="I10" s="2">
        <v>9068</v>
      </c>
      <c r="J10" s="2">
        <v>12336.68</v>
      </c>
      <c r="K10" s="2">
        <v>-3268.6800000000003</v>
      </c>
      <c r="L10" s="736">
        <v>-0.26495621188196494</v>
      </c>
      <c r="M10" s="2">
        <v>-3268.6800000000003</v>
      </c>
      <c r="N10">
        <v>300</v>
      </c>
      <c r="O10"/>
      <c r="P10" s="736">
        <v>4.5875606528451698E-2</v>
      </c>
      <c r="Q10" s="736">
        <v>-2.9100000000000001E-2</v>
      </c>
      <c r="R10" s="2">
        <v>13.335294117647059</v>
      </c>
      <c r="V10" s="48"/>
    </row>
    <row r="11" spans="1:41" ht="21.95" customHeight="1" x14ac:dyDescent="0.25">
      <c r="A11" s="50"/>
      <c r="B11" s="50"/>
      <c r="C11" s="51"/>
      <c r="D11" s="788"/>
      <c r="E11" s="22" t="s">
        <v>966</v>
      </c>
      <c r="F11" s="2">
        <v>43.77</v>
      </c>
      <c r="G11" s="78">
        <v>49.396250000000002</v>
      </c>
      <c r="H11">
        <v>200</v>
      </c>
      <c r="I11" s="2">
        <v>8754</v>
      </c>
      <c r="J11" s="2">
        <v>9879.25</v>
      </c>
      <c r="K11" s="2">
        <v>-1125.25</v>
      </c>
      <c r="L11" s="736">
        <v>-0.11390034668623628</v>
      </c>
      <c r="M11" s="2">
        <v>-1125.25</v>
      </c>
      <c r="N11">
        <v>200</v>
      </c>
      <c r="O11"/>
      <c r="P11" s="736">
        <v>1.9900000000000001E-2</v>
      </c>
      <c r="Q11" s="736">
        <v>-7.3000000000000001E-3</v>
      </c>
      <c r="R11" s="2">
        <v>16.834615384615386</v>
      </c>
      <c r="S11" s="48"/>
      <c r="U11" s="48"/>
    </row>
    <row r="12" spans="1:41" ht="21.95" customHeight="1" x14ac:dyDescent="0.25">
      <c r="A12" s="50"/>
      <c r="B12" s="50"/>
      <c r="C12" s="51"/>
      <c r="D12" s="788"/>
      <c r="E12" s="22" t="s">
        <v>14</v>
      </c>
      <c r="F12" s="2">
        <v>56.79</v>
      </c>
      <c r="G12" s="78">
        <v>59.84</v>
      </c>
      <c r="H12">
        <v>150</v>
      </c>
      <c r="I12" s="2">
        <v>8518.5</v>
      </c>
      <c r="J12" s="2">
        <v>8976</v>
      </c>
      <c r="K12" s="2">
        <v>-457.5</v>
      </c>
      <c r="L12" s="736">
        <v>-5.0969251336898461E-2</v>
      </c>
      <c r="M12" s="2">
        <v>-457.5</v>
      </c>
      <c r="N12">
        <v>150</v>
      </c>
      <c r="O12" t="s">
        <v>1142</v>
      </c>
      <c r="P12" s="736">
        <v>4.648705758055996E-2</v>
      </c>
      <c r="Q12" s="736">
        <v>2.3199999999999998E-2</v>
      </c>
      <c r="R12" s="2">
        <v>14.322824716267339</v>
      </c>
      <c r="S12" s="48"/>
      <c r="T12" s="48"/>
    </row>
    <row r="13" spans="1:41" ht="21.95" customHeight="1" x14ac:dyDescent="0.25">
      <c r="A13" s="50"/>
      <c r="B13" s="50"/>
      <c r="C13" s="51"/>
      <c r="D13" s="788"/>
      <c r="E13" s="22" t="s">
        <v>226</v>
      </c>
      <c r="F13" s="2">
        <v>28.05</v>
      </c>
      <c r="G13" s="78">
        <v>14.744499999999874</v>
      </c>
      <c r="H13">
        <v>300</v>
      </c>
      <c r="I13" s="2">
        <v>8415</v>
      </c>
      <c r="J13" s="2">
        <v>4423.3499999999622</v>
      </c>
      <c r="K13" s="2">
        <v>3991.6500000000378</v>
      </c>
      <c r="L13" s="736">
        <v>0.90240428634407677</v>
      </c>
      <c r="M13" s="2">
        <v>5443.9100000000362</v>
      </c>
      <c r="N13">
        <v>100</v>
      </c>
      <c r="O13"/>
      <c r="P13" s="736">
        <v>3.5650623885918006E-3</v>
      </c>
      <c r="Q13" s="736">
        <v>8.6E-3</v>
      </c>
      <c r="R13" s="2">
        <v>20.035714285714288</v>
      </c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960</v>
      </c>
      <c r="F14" s="2">
        <v>32.81</v>
      </c>
      <c r="G14" s="78">
        <v>32.480520000000006</v>
      </c>
      <c r="H14">
        <v>250</v>
      </c>
      <c r="I14" s="2">
        <v>8202.5</v>
      </c>
      <c r="J14" s="2">
        <v>8120.130000000001</v>
      </c>
      <c r="K14" s="2">
        <v>82.369999999998981</v>
      </c>
      <c r="L14" s="736">
        <v>1.01439262671902E-2</v>
      </c>
      <c r="M14" s="2">
        <v>82.369999999998981</v>
      </c>
      <c r="N14">
        <v>100</v>
      </c>
      <c r="O14"/>
      <c r="P14" s="736">
        <v>1.9900000000000001E-2</v>
      </c>
      <c r="Q14" s="736">
        <v>1.0500000000000001E-2</v>
      </c>
      <c r="R14" s="2">
        <v>13.124000000000001</v>
      </c>
      <c r="S14" s="736"/>
      <c r="U14" s="48"/>
    </row>
    <row r="15" spans="1:41" ht="21.95" customHeight="1" x14ac:dyDescent="0.25">
      <c r="A15" s="50"/>
      <c r="B15" s="51"/>
      <c r="C15" s="51"/>
      <c r="D15" s="788"/>
      <c r="E15" s="22" t="s">
        <v>919</v>
      </c>
      <c r="F15" s="2">
        <v>242.73</v>
      </c>
      <c r="G15" s="78">
        <v>229.4733333333333</v>
      </c>
      <c r="H15">
        <v>30</v>
      </c>
      <c r="I15" s="2">
        <v>7281.9</v>
      </c>
      <c r="J15" s="2">
        <v>6884.1999999999989</v>
      </c>
      <c r="K15" s="2">
        <v>397.70000000000073</v>
      </c>
      <c r="L15" s="736">
        <v>5.7769966009122445E-2</v>
      </c>
      <c r="M15" s="2">
        <v>397.70000000000073</v>
      </c>
      <c r="N15">
        <v>30</v>
      </c>
      <c r="O15"/>
      <c r="P15" s="736">
        <v>1.9900000000000001E-2</v>
      </c>
      <c r="Q15" s="736">
        <v>4.0000000000000001E-3</v>
      </c>
      <c r="R15" s="2">
        <v>16.34</v>
      </c>
      <c r="S15" s="736"/>
    </row>
    <row r="16" spans="1:41" ht="21.95" customHeight="1" x14ac:dyDescent="0.25">
      <c r="A16" s="50"/>
      <c r="B16" s="50"/>
      <c r="C16" s="51"/>
      <c r="D16" s="788"/>
      <c r="E16" s="22" t="s">
        <v>734</v>
      </c>
      <c r="F16" s="2">
        <v>72.64</v>
      </c>
      <c r="G16" s="78">
        <v>69.36</v>
      </c>
      <c r="H16">
        <v>100</v>
      </c>
      <c r="I16" s="2">
        <v>7264</v>
      </c>
      <c r="J16" s="2">
        <v>6936</v>
      </c>
      <c r="K16" s="2">
        <v>328</v>
      </c>
      <c r="L16" s="736">
        <v>4.7289504036908896E-2</v>
      </c>
      <c r="M16" s="2">
        <v>787.31999999999971</v>
      </c>
      <c r="N16">
        <v>100</v>
      </c>
      <c r="O16"/>
      <c r="P16" s="736">
        <v>0</v>
      </c>
      <c r="Q16" s="736">
        <v>-1.55E-2</v>
      </c>
      <c r="R16" s="2">
        <v>17.782129742962056</v>
      </c>
      <c r="S16" s="736"/>
      <c r="T16" s="48"/>
      <c r="V16" s="48"/>
    </row>
    <row r="17" spans="1:41" ht="21.95" customHeight="1" x14ac:dyDescent="0.25">
      <c r="A17" s="50"/>
      <c r="B17" s="50"/>
      <c r="C17" s="51"/>
      <c r="D17" s="788"/>
      <c r="E17" s="22" t="s">
        <v>962</v>
      </c>
      <c r="F17" s="2">
        <v>171.65</v>
      </c>
      <c r="G17" s="78">
        <v>150.06350000000012</v>
      </c>
      <c r="H17">
        <v>40</v>
      </c>
      <c r="I17" s="2">
        <v>6866</v>
      </c>
      <c r="J17" s="2">
        <v>6002.5400000000045</v>
      </c>
      <c r="K17" s="2">
        <v>863.45999999999549</v>
      </c>
      <c r="L17" s="736">
        <v>0.14384910387935687</v>
      </c>
      <c r="M17" s="2">
        <v>863.45999999999549</v>
      </c>
      <c r="N17">
        <v>25</v>
      </c>
      <c r="O17"/>
      <c r="P17" s="736">
        <v>7.4570346635595688E-3</v>
      </c>
      <c r="Q17" s="736">
        <v>8.6E-3</v>
      </c>
      <c r="R17" s="2">
        <v>19.68</v>
      </c>
      <c r="S17" s="48"/>
      <c r="T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173</v>
      </c>
      <c r="F18" s="78">
        <v>55.44</v>
      </c>
      <c r="G18" s="78">
        <v>48.821083333333384</v>
      </c>
      <c r="H18">
        <v>120</v>
      </c>
      <c r="I18" s="2">
        <v>6652.7999999999993</v>
      </c>
      <c r="J18" s="2">
        <v>5858.5300000000061</v>
      </c>
      <c r="K18" s="2">
        <v>794.26999999999316</v>
      </c>
      <c r="L18" s="736">
        <v>0.13557496505095867</v>
      </c>
      <c r="M18" s="2">
        <v>2398.8499999999949</v>
      </c>
      <c r="N18">
        <v>120</v>
      </c>
      <c r="O18" t="s">
        <v>1126</v>
      </c>
      <c r="P18" s="736">
        <v>2.813852813852814E-2</v>
      </c>
      <c r="Q18" s="736">
        <v>6.6E-3</v>
      </c>
      <c r="R18" s="2">
        <v>12.265486725663717</v>
      </c>
      <c r="S18" s="48"/>
    </row>
    <row r="19" spans="1:41" ht="21.95" customHeight="1" x14ac:dyDescent="0.25">
      <c r="A19" s="60"/>
      <c r="B19" s="61"/>
      <c r="C19" s="60"/>
      <c r="D19" s="788"/>
      <c r="E19" s="22" t="s">
        <v>171</v>
      </c>
      <c r="F19" s="2">
        <v>44.26</v>
      </c>
      <c r="G19" s="78">
        <v>52.35306666666667</v>
      </c>
      <c r="H19">
        <v>150</v>
      </c>
      <c r="I19" s="2">
        <v>6639</v>
      </c>
      <c r="J19" s="2">
        <v>7852.9600000000009</v>
      </c>
      <c r="K19" s="2">
        <v>-1213.9599999999991</v>
      </c>
      <c r="L19" s="736">
        <v>-0.15458629612273597</v>
      </c>
      <c r="M19" s="2">
        <v>-1164.0099999999993</v>
      </c>
      <c r="N19">
        <v>150</v>
      </c>
      <c r="O19" t="s">
        <v>1128</v>
      </c>
      <c r="P19" s="736">
        <v>4.4283777677361053E-2</v>
      </c>
      <c r="Q19" s="736">
        <v>-2.3E-2</v>
      </c>
      <c r="R19" s="2">
        <v>14.370129870129869</v>
      </c>
      <c r="S19" s="736"/>
      <c r="U19" s="48"/>
    </row>
    <row r="20" spans="1:41" ht="21.95" customHeight="1" x14ac:dyDescent="0.25">
      <c r="A20" s="51"/>
      <c r="B20" s="51"/>
      <c r="C20" s="51"/>
      <c r="D20" s="788"/>
      <c r="E20" s="22" t="s">
        <v>943</v>
      </c>
      <c r="F20" s="2">
        <v>62.82</v>
      </c>
      <c r="G20" s="78">
        <v>63.722499999999997</v>
      </c>
      <c r="H20">
        <v>100</v>
      </c>
      <c r="I20" s="2">
        <v>6282</v>
      </c>
      <c r="J20" s="2">
        <v>6372.25</v>
      </c>
      <c r="K20" s="2">
        <v>-90.25</v>
      </c>
      <c r="L20" s="736">
        <v>-1.4162972262544571E-2</v>
      </c>
      <c r="M20" s="2">
        <v>-90.25</v>
      </c>
      <c r="N20">
        <v>100</v>
      </c>
      <c r="O20"/>
      <c r="P20" s="736">
        <v>3.9796243234638651E-2</v>
      </c>
      <c r="Q20" s="736">
        <v>-5.9999999999999995E-4</v>
      </c>
      <c r="R20" s="2">
        <v>16.575197889182057</v>
      </c>
      <c r="S20" s="736"/>
      <c r="T20" s="48"/>
      <c r="V20" s="48"/>
      <c r="W20" s="48"/>
    </row>
    <row r="21" spans="1:41" ht="21.95" customHeight="1" x14ac:dyDescent="0.25">
      <c r="A21" s="51"/>
      <c r="B21" s="51"/>
      <c r="C21" s="51"/>
      <c r="D21" s="788"/>
      <c r="E21" s="22" t="s">
        <v>270</v>
      </c>
      <c r="F21" s="2">
        <v>121.34</v>
      </c>
      <c r="G21" s="78">
        <v>119.88</v>
      </c>
      <c r="H21">
        <v>50</v>
      </c>
      <c r="I21" s="2">
        <v>6067</v>
      </c>
      <c r="J21" s="2">
        <v>5994</v>
      </c>
      <c r="K21" s="2">
        <v>73</v>
      </c>
      <c r="L21" s="736">
        <v>1.2178845512178913E-2</v>
      </c>
      <c r="M21" s="2">
        <v>227.77999999999975</v>
      </c>
      <c r="N21">
        <v>50</v>
      </c>
      <c r="O21"/>
      <c r="P21" s="736">
        <v>2.5700000000000001E-2</v>
      </c>
      <c r="Q21" s="736">
        <v>3.2000000000000002E-3</v>
      </c>
      <c r="R21" s="2"/>
      <c r="S21" s="48"/>
      <c r="T21" s="48"/>
      <c r="V21" s="48"/>
      <c r="W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1"/>
      <c r="C22" s="51"/>
      <c r="D22" s="788"/>
      <c r="E22" s="22" t="s">
        <v>782</v>
      </c>
      <c r="F22" s="2">
        <v>13.61</v>
      </c>
      <c r="G22" s="78">
        <v>15.013949999999999</v>
      </c>
      <c r="H22">
        <v>400</v>
      </c>
      <c r="I22" s="2">
        <v>5444</v>
      </c>
      <c r="J22" s="2">
        <v>6005.58</v>
      </c>
      <c r="K22" s="2">
        <v>-561.57999999999993</v>
      </c>
      <c r="L22" s="736">
        <v>-9.3509702643208487E-2</v>
      </c>
      <c r="M22" s="2">
        <v>-561.57999999999993</v>
      </c>
      <c r="N22">
        <v>300</v>
      </c>
      <c r="O22"/>
      <c r="P22" s="736">
        <v>3.526818515797208E-2</v>
      </c>
      <c r="Q22" s="736">
        <v>-9.2999999999999992E-3</v>
      </c>
      <c r="R22" s="2">
        <v>14.326315789473684</v>
      </c>
      <c r="S22" s="48"/>
      <c r="T22" s="48"/>
      <c r="U22" s="48"/>
    </row>
    <row r="23" spans="1:41" ht="21.95" customHeight="1" x14ac:dyDescent="0.25">
      <c r="A23" s="51"/>
      <c r="B23" s="51"/>
      <c r="C23" s="51"/>
      <c r="D23" s="788"/>
      <c r="E23" s="22" t="s">
        <v>1154</v>
      </c>
      <c r="F23" s="2">
        <v>52.51</v>
      </c>
      <c r="G23" s="78">
        <v>51.18</v>
      </c>
      <c r="H23">
        <v>100</v>
      </c>
      <c r="I23" s="2">
        <v>5251</v>
      </c>
      <c r="J23" s="2">
        <v>5118</v>
      </c>
      <c r="K23" s="2">
        <v>133</v>
      </c>
      <c r="L23" s="736">
        <v>2.5986713559984335E-2</v>
      </c>
      <c r="M23" s="2">
        <v>133</v>
      </c>
      <c r="N23" s="29">
        <v>43311</v>
      </c>
      <c r="O23"/>
      <c r="P23" s="736">
        <v>3.3517425252332887E-2</v>
      </c>
      <c r="Q23" s="736">
        <v>7.4000000000000003E-3</v>
      </c>
      <c r="R23" s="2">
        <v>6.0916473317865432</v>
      </c>
      <c r="S23" s="736"/>
      <c r="T23" s="48"/>
    </row>
    <row r="24" spans="1:41" ht="21.95" customHeight="1" x14ac:dyDescent="0.25">
      <c r="A24" s="50"/>
      <c r="B24" s="50"/>
      <c r="C24" s="51"/>
      <c r="D24" s="788"/>
      <c r="E24" s="22" t="s">
        <v>1046</v>
      </c>
      <c r="F24" s="2">
        <v>51.53</v>
      </c>
      <c r="G24" s="78">
        <v>48.044899999999998</v>
      </c>
      <c r="H24">
        <v>100</v>
      </c>
      <c r="I24" s="2">
        <v>5153</v>
      </c>
      <c r="J24" s="2">
        <v>4804.49</v>
      </c>
      <c r="K24" s="2">
        <v>348.51000000000022</v>
      </c>
      <c r="L24" s="736">
        <v>7.2538396375057559E-2</v>
      </c>
      <c r="M24" s="2">
        <v>348.51000000000022</v>
      </c>
      <c r="N24">
        <v>100</v>
      </c>
      <c r="O24"/>
      <c r="P24" s="736">
        <v>2.9109256743644479E-2</v>
      </c>
      <c r="Q24" s="736">
        <v>0</v>
      </c>
      <c r="R24" s="2"/>
      <c r="U24" s="48"/>
    </row>
    <row r="25" spans="1:41" ht="21.95" customHeight="1" x14ac:dyDescent="0.25">
      <c r="A25" s="50"/>
      <c r="B25" s="50"/>
      <c r="C25" s="51"/>
      <c r="D25" s="788"/>
      <c r="E25" s="22" t="s">
        <v>924</v>
      </c>
      <c r="F25" s="78">
        <v>73.55</v>
      </c>
      <c r="G25" s="78">
        <v>65.593999999999994</v>
      </c>
      <c r="H25">
        <v>60</v>
      </c>
      <c r="I25" s="2">
        <v>4413</v>
      </c>
      <c r="J25" s="2">
        <v>3935.6399999999994</v>
      </c>
      <c r="K25" s="2">
        <v>477.36000000000013</v>
      </c>
      <c r="L25" s="736">
        <v>0.12129158154709278</v>
      </c>
      <c r="M25" s="2">
        <v>477.36000000000013</v>
      </c>
      <c r="N25">
        <v>60</v>
      </c>
      <c r="O25"/>
      <c r="P25" s="736">
        <v>1.3052345343303875E-2</v>
      </c>
      <c r="Q25" s="736">
        <v>4.1999999999999997E-3</v>
      </c>
      <c r="R25" s="2">
        <v>20.718309859154928</v>
      </c>
      <c r="S25" s="736"/>
      <c r="T25" s="48"/>
    </row>
    <row r="26" spans="1:41" ht="21.95" customHeight="1" x14ac:dyDescent="0.25">
      <c r="A26" s="50"/>
      <c r="B26" s="50"/>
      <c r="C26" s="51"/>
      <c r="D26" s="788"/>
      <c r="E26" s="22" t="s">
        <v>682</v>
      </c>
      <c r="F26" s="2">
        <v>208.98</v>
      </c>
      <c r="G26" s="78">
        <v>142.98999999999995</v>
      </c>
      <c r="H26">
        <v>20</v>
      </c>
      <c r="I26" s="2">
        <v>4179.5999999999995</v>
      </c>
      <c r="J26" s="2">
        <v>2859.7999999999993</v>
      </c>
      <c r="K26" s="2">
        <v>1319.8000000000002</v>
      </c>
      <c r="L26" s="736">
        <v>0.46150080425204604</v>
      </c>
      <c r="M26" s="2">
        <v>1462.8300000000004</v>
      </c>
      <c r="N26">
        <v>20</v>
      </c>
      <c r="O26"/>
      <c r="P26" s="736">
        <v>2.3925734520049767E-3</v>
      </c>
      <c r="Q26" s="736">
        <v>-6.3E-3</v>
      </c>
      <c r="R26" s="2">
        <v>30.463556851311949</v>
      </c>
      <c r="S26" s="736"/>
      <c r="T26" s="48"/>
      <c r="U26" s="48"/>
    </row>
    <row r="27" spans="1:41" ht="21.95" customHeight="1" x14ac:dyDescent="0.25">
      <c r="A27" s="50"/>
      <c r="B27" s="50"/>
      <c r="C27" s="51"/>
      <c r="D27" s="788"/>
      <c r="E27" s="22" t="s">
        <v>850</v>
      </c>
      <c r="F27" s="2">
        <v>92.31</v>
      </c>
      <c r="G27" s="78">
        <v>82.575749999999942</v>
      </c>
      <c r="H27">
        <v>40</v>
      </c>
      <c r="I27" s="2">
        <v>3692.4</v>
      </c>
      <c r="J27" s="2">
        <v>3303.0299999999979</v>
      </c>
      <c r="K27" s="2">
        <v>389.37000000000126</v>
      </c>
      <c r="L27" s="736">
        <v>0.1178826713653835</v>
      </c>
      <c r="M27" s="2">
        <v>389.37000000000126</v>
      </c>
      <c r="N27">
        <v>40</v>
      </c>
      <c r="O27"/>
      <c r="P27" s="736">
        <v>2.4699382515437112E-2</v>
      </c>
      <c r="Q27" s="736">
        <v>1.18E-2</v>
      </c>
      <c r="R27" s="2">
        <v>19.392857142857146</v>
      </c>
      <c r="S27" s="736"/>
      <c r="T27" s="48"/>
    </row>
    <row r="28" spans="1:41" ht="21.95" customHeight="1" x14ac:dyDescent="0.25">
      <c r="A28" s="50"/>
      <c r="B28" s="50"/>
      <c r="C28" s="51"/>
      <c r="D28" s="788"/>
      <c r="E28" s="22" t="s">
        <v>55</v>
      </c>
      <c r="F28" s="2">
        <v>70.84</v>
      </c>
      <c r="G28" s="78">
        <v>70.510000000000005</v>
      </c>
      <c r="H28">
        <v>50</v>
      </c>
      <c r="I28" s="2">
        <v>3542</v>
      </c>
      <c r="J28" s="2">
        <v>3525.5000000000005</v>
      </c>
      <c r="K28" s="2">
        <v>16.499999999999545</v>
      </c>
      <c r="L28" s="736">
        <v>4.6801872074882754E-3</v>
      </c>
      <c r="M28" s="2">
        <v>826.62999999998965</v>
      </c>
      <c r="N28">
        <v>50</v>
      </c>
      <c r="O28"/>
      <c r="P28" s="736">
        <v>2.9361942405420664E-2</v>
      </c>
      <c r="Q28" s="736">
        <v>2.46E-2</v>
      </c>
      <c r="R28" s="2">
        <v>10.965944272445821</v>
      </c>
      <c r="S28" s="48"/>
      <c r="T28" s="48"/>
    </row>
    <row r="29" spans="1:41" ht="21.95" customHeight="1" x14ac:dyDescent="0.25">
      <c r="A29" s="50"/>
      <c r="B29" s="51"/>
      <c r="C29" s="51"/>
      <c r="D29" s="788"/>
      <c r="E29" s="22" t="s">
        <v>922</v>
      </c>
      <c r="F29" s="78">
        <v>32.11</v>
      </c>
      <c r="G29" s="78">
        <v>32.211599999999997</v>
      </c>
      <c r="H29">
        <v>100</v>
      </c>
      <c r="I29" s="2">
        <v>3211</v>
      </c>
      <c r="J29" s="2">
        <v>3221.16</v>
      </c>
      <c r="K29" s="2">
        <v>-10.159999999999854</v>
      </c>
      <c r="L29" s="736">
        <v>-3.1541432279054036E-3</v>
      </c>
      <c r="M29" s="2">
        <v>-10.159999999999854</v>
      </c>
      <c r="N29" s="29">
        <v>43297</v>
      </c>
      <c r="O29"/>
      <c r="P29" s="736">
        <v>3.114294612270321E-2</v>
      </c>
      <c r="Q29" s="736">
        <v>1.7100000000000001E-2</v>
      </c>
      <c r="R29" s="2">
        <v>9.2536023054755034</v>
      </c>
    </row>
    <row r="30" spans="1:41" ht="21.95" customHeight="1" x14ac:dyDescent="0.25">
      <c r="A30" s="50"/>
      <c r="B30" s="50"/>
      <c r="C30" s="51"/>
      <c r="D30" s="788"/>
      <c r="E30" s="22" t="s">
        <v>214</v>
      </c>
      <c r="F30" s="2">
        <v>55.75</v>
      </c>
      <c r="G30" s="78">
        <v>39.522599999999947</v>
      </c>
      <c r="H30">
        <v>50</v>
      </c>
      <c r="I30" s="2">
        <v>2787.5</v>
      </c>
      <c r="J30" s="2">
        <v>1976.1299999999974</v>
      </c>
      <c r="K30" s="2">
        <v>811.37000000000262</v>
      </c>
      <c r="L30" s="736">
        <v>0.41058533598498265</v>
      </c>
      <c r="M30" s="2">
        <v>1969.239999999998</v>
      </c>
      <c r="N30">
        <v>50</v>
      </c>
      <c r="O30"/>
      <c r="P30" s="736">
        <v>2.6547085201793722E-2</v>
      </c>
      <c r="Q30" s="736">
        <v>1.0500000000000001E-2</v>
      </c>
      <c r="R30" s="2">
        <v>13.9375</v>
      </c>
      <c r="S30" s="48"/>
      <c r="T30" s="345"/>
      <c r="U30" s="345"/>
    </row>
    <row r="31" spans="1:41" ht="21.95" customHeight="1" x14ac:dyDescent="0.25">
      <c r="A31" s="50"/>
      <c r="B31" s="51"/>
      <c r="C31" s="51"/>
      <c r="D31" s="788"/>
      <c r="E31" s="22" t="s">
        <v>947</v>
      </c>
      <c r="F31" s="2">
        <v>52.65</v>
      </c>
      <c r="G31" s="78">
        <v>15.022800000000025</v>
      </c>
      <c r="H31">
        <v>50</v>
      </c>
      <c r="I31" s="2">
        <v>2632.5</v>
      </c>
      <c r="J31" s="2">
        <v>751.14000000000124</v>
      </c>
      <c r="K31" s="2">
        <v>1881.3599999999988</v>
      </c>
      <c r="L31" s="736">
        <v>2.5046728971962557</v>
      </c>
      <c r="M31" s="2">
        <v>1881.3599999999988</v>
      </c>
      <c r="N31">
        <v>50</v>
      </c>
      <c r="O31"/>
      <c r="P31" s="736">
        <v>2.621082621082621E-2</v>
      </c>
      <c r="Q31" s="736">
        <v>1.37E-2</v>
      </c>
      <c r="R31" s="2">
        <v>11.96590909090909</v>
      </c>
      <c r="T31" s="48"/>
    </row>
    <row r="32" spans="1:41" ht="21.95" customHeight="1" x14ac:dyDescent="0.25">
      <c r="A32" s="50"/>
      <c r="B32" s="50"/>
      <c r="C32" s="51"/>
      <c r="D32" s="788"/>
      <c r="E32" s="22" t="s">
        <v>62</v>
      </c>
      <c r="F32" s="2">
        <v>291.92</v>
      </c>
      <c r="G32" s="78">
        <v>291.92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1659.3600000000079</v>
      </c>
      <c r="N32">
        <v>0</v>
      </c>
      <c r="O32"/>
      <c r="P32" s="736">
        <v>0</v>
      </c>
      <c r="Q32" s="736">
        <v>-7.1999999999999998E-3</v>
      </c>
      <c r="R32" s="2"/>
      <c r="T32" s="48"/>
      <c r="U32" s="48"/>
    </row>
    <row r="33" spans="1:41" ht="21.95" customHeight="1" x14ac:dyDescent="0.25">
      <c r="A33" s="51"/>
      <c r="B33" s="51"/>
      <c r="C33" s="51"/>
      <c r="D33" s="788"/>
      <c r="E33" s="22" t="s">
        <v>203</v>
      </c>
      <c r="F33" s="2">
        <v>38.29</v>
      </c>
      <c r="G33" s="78">
        <v>38.29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555.54</v>
      </c>
      <c r="N33">
        <v>0</v>
      </c>
      <c r="O33"/>
      <c r="P33" s="736">
        <v>0</v>
      </c>
      <c r="Q33" s="736">
        <v>4.7000000000000002E-3</v>
      </c>
      <c r="R33" s="2"/>
      <c r="S33" s="736"/>
      <c r="T33" s="48"/>
      <c r="U33" s="48"/>
    </row>
    <row r="34" spans="1:41" ht="21.95" customHeight="1" x14ac:dyDescent="0.25">
      <c r="A34" s="50"/>
      <c r="B34" s="50"/>
      <c r="C34" s="51"/>
      <c r="D34" s="788"/>
      <c r="E34" s="22" t="s">
        <v>202</v>
      </c>
      <c r="F34" s="2">
        <v>184.43</v>
      </c>
      <c r="G34" s="78">
        <v>184.43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363.09999999999945</v>
      </c>
      <c r="N34">
        <v>0</v>
      </c>
      <c r="O34"/>
      <c r="P34" s="736">
        <v>1.5900000000000001E-2</v>
      </c>
      <c r="Q34" s="736">
        <v>1.24E-2</v>
      </c>
      <c r="R34" s="2"/>
      <c r="S34" s="736"/>
      <c r="T34" s="48"/>
    </row>
    <row r="35" spans="1:41" ht="21.95" customHeight="1" x14ac:dyDescent="0.25">
      <c r="A35" s="50"/>
      <c r="B35" s="50"/>
      <c r="C35" s="51"/>
      <c r="D35" s="788"/>
      <c r="E35" s="22" t="s">
        <v>225</v>
      </c>
      <c r="F35" s="2">
        <v>98.21</v>
      </c>
      <c r="G35" s="78">
        <v>98.21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231.53999999999996</v>
      </c>
      <c r="N35">
        <v>0</v>
      </c>
      <c r="O35"/>
      <c r="P35" s="736">
        <v>1.6199999999999999E-2</v>
      </c>
      <c r="Q35" s="736">
        <v>-3.7000000000000002E-3</v>
      </c>
      <c r="R35" s="2"/>
      <c r="U35" s="48"/>
    </row>
    <row r="36" spans="1:41" ht="21.95" customHeight="1" x14ac:dyDescent="0.25">
      <c r="A36" s="50"/>
      <c r="B36" s="50"/>
      <c r="C36" s="51"/>
      <c r="D36" s="788"/>
      <c r="E36" s="22" t="s">
        <v>266</v>
      </c>
      <c r="F36" s="2">
        <v>99.73</v>
      </c>
      <c r="G36" s="78">
        <v>99.73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1857.7799999999988</v>
      </c>
      <c r="N36">
        <v>0</v>
      </c>
      <c r="O36"/>
      <c r="P36" s="736">
        <v>1.49E-2</v>
      </c>
      <c r="Q36" s="736">
        <v>-7.4999999999999997E-3</v>
      </c>
      <c r="R36" s="2"/>
      <c r="S36" s="48"/>
      <c r="T36" s="48"/>
      <c r="V36" s="48"/>
    </row>
    <row r="37" spans="1:41" ht="21.95" customHeight="1" x14ac:dyDescent="0.25">
      <c r="A37" s="51"/>
      <c r="B37" s="50"/>
      <c r="C37" s="51"/>
      <c r="D37" s="788"/>
      <c r="E37" s="22" t="s">
        <v>23</v>
      </c>
      <c r="F37" s="2">
        <v>36.11</v>
      </c>
      <c r="G37" s="78">
        <v>36.11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171.89999999999964</v>
      </c>
      <c r="N37">
        <v>0</v>
      </c>
      <c r="O37"/>
      <c r="P37" s="736">
        <v>0</v>
      </c>
      <c r="Q37" s="736">
        <v>-8.0000000000000004E-4</v>
      </c>
      <c r="R37" s="2"/>
      <c r="S37" s="736"/>
      <c r="T37" s="48"/>
    </row>
    <row r="38" spans="1:41" ht="21.95" customHeight="1" x14ac:dyDescent="0.25">
      <c r="A38" s="50"/>
      <c r="B38" s="50"/>
      <c r="C38" s="51"/>
      <c r="D38" s="788"/>
      <c r="E38" s="22" t="s">
        <v>267</v>
      </c>
      <c r="F38" s="78">
        <v>47.68</v>
      </c>
      <c r="G38" s="78">
        <v>47.68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98.449999999999818</v>
      </c>
      <c r="N38">
        <v>0</v>
      </c>
      <c r="O38"/>
      <c r="P38" s="736">
        <v>1.11E-2</v>
      </c>
      <c r="Q38" s="736">
        <v>-9.5999999999999992E-3</v>
      </c>
      <c r="R38" s="2"/>
      <c r="S38" s="48"/>
      <c r="T38" s="48"/>
      <c r="V38" s="48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0"/>
      <c r="C39" s="51"/>
      <c r="D39" s="788"/>
      <c r="E39" s="22" t="s">
        <v>326</v>
      </c>
      <c r="F39" s="2">
        <v>12.77</v>
      </c>
      <c r="G39" s="78">
        <v>12.77</v>
      </c>
      <c r="H39">
        <v>0</v>
      </c>
      <c r="I39" s="2">
        <v>0</v>
      </c>
      <c r="J39" s="2">
        <v>0</v>
      </c>
      <c r="K39" s="2">
        <v>-1184.9399999999987</v>
      </c>
      <c r="L39" s="736">
        <v>0</v>
      </c>
      <c r="M39" s="2">
        <v>98.479999999995925</v>
      </c>
      <c r="N39">
        <v>0</v>
      </c>
      <c r="O39"/>
      <c r="P39" s="736">
        <v>0</v>
      </c>
      <c r="Q39" s="736">
        <v>1.03E-2</v>
      </c>
      <c r="R39" s="2">
        <v>39.90625</v>
      </c>
      <c r="S39" s="48"/>
      <c r="T39" s="48"/>
      <c r="U39" s="48"/>
    </row>
    <row r="40" spans="1:41" ht="21.95" customHeight="1" x14ac:dyDescent="0.25">
      <c r="A40" s="50"/>
      <c r="B40" s="50"/>
      <c r="C40" s="50"/>
      <c r="D40" s="788"/>
      <c r="E40" s="22" t="s">
        <v>36</v>
      </c>
      <c r="F40" s="2">
        <v>51.17</v>
      </c>
      <c r="G40" s="78">
        <v>51.17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117.73999999999978</v>
      </c>
      <c r="N40">
        <v>0</v>
      </c>
      <c r="O40"/>
      <c r="P40" s="736">
        <v>0</v>
      </c>
      <c r="Q40" s="736">
        <v>-2.0999999999999999E-3</v>
      </c>
      <c r="R40" s="2"/>
      <c r="S40" s="736"/>
    </row>
    <row r="41" spans="1:41" ht="21.95" customHeight="1" x14ac:dyDescent="0.25">
      <c r="A41" s="50"/>
      <c r="B41" s="51"/>
      <c r="C41" s="51"/>
      <c r="D41" s="788"/>
      <c r="E41" s="22" t="s">
        <v>314</v>
      </c>
      <c r="F41" s="2">
        <v>40.35</v>
      </c>
      <c r="G41" s="78">
        <v>40.35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264.92000000000007</v>
      </c>
      <c r="N41">
        <v>0</v>
      </c>
      <c r="O41"/>
      <c r="P41" s="736">
        <v>3.4200000000000001E-2</v>
      </c>
      <c r="Q41" s="736">
        <v>4.7000000000000002E-3</v>
      </c>
      <c r="R41" s="2"/>
      <c r="S41" s="736"/>
    </row>
    <row r="42" spans="1:41" ht="21.95" customHeight="1" x14ac:dyDescent="0.25">
      <c r="A42" s="50"/>
      <c r="B42" s="50"/>
      <c r="C42" s="51"/>
      <c r="D42" s="788"/>
      <c r="E42" s="22" t="s">
        <v>299</v>
      </c>
      <c r="F42" s="2">
        <v>54.91</v>
      </c>
      <c r="G42" s="78">
        <v>54.91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910.79999999999927</v>
      </c>
      <c r="N42">
        <v>0</v>
      </c>
      <c r="O42"/>
      <c r="P42" s="736">
        <v>2.87E-2</v>
      </c>
      <c r="Q42" s="736">
        <v>4.4000000000000003E-3</v>
      </c>
      <c r="R42" s="2"/>
      <c r="S42" s="736"/>
      <c r="T42" s="48"/>
    </row>
    <row r="43" spans="1:41" ht="21.95" customHeight="1" x14ac:dyDescent="0.25">
      <c r="A43" s="51"/>
      <c r="B43" s="51"/>
      <c r="C43" s="51"/>
      <c r="D43" s="788"/>
      <c r="E43" s="22" t="s">
        <v>694</v>
      </c>
      <c r="F43" s="2">
        <v>33.729999999999997</v>
      </c>
      <c r="G43" s="78">
        <v>33.729999999999997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557.94000000000005</v>
      </c>
      <c r="N43">
        <v>0</v>
      </c>
      <c r="O43"/>
      <c r="P43" s="736">
        <v>4.0599999999999997E-2</v>
      </c>
      <c r="Q43" s="736">
        <v>5.7000000000000002E-3</v>
      </c>
      <c r="R43" s="2"/>
      <c r="S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1"/>
      <c r="C44" s="51"/>
      <c r="D44" s="788"/>
      <c r="E44" s="22" t="s">
        <v>248</v>
      </c>
      <c r="F44" s="2">
        <v>75.72</v>
      </c>
      <c r="G44" s="78">
        <v>75.72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329.74000000000069</v>
      </c>
      <c r="N44">
        <v>0</v>
      </c>
      <c r="O44"/>
      <c r="P44" s="736">
        <v>0</v>
      </c>
      <c r="Q44" s="736">
        <v>-2.4899999999999999E-2</v>
      </c>
      <c r="R44" s="2"/>
      <c r="T44" s="48"/>
      <c r="V44" s="48"/>
    </row>
    <row r="45" spans="1:41" ht="21.95" customHeight="1" x14ac:dyDescent="0.25">
      <c r="A45" s="50"/>
      <c r="B45" s="50"/>
      <c r="C45" s="51"/>
      <c r="D45" s="788"/>
      <c r="E45" s="22" t="s">
        <v>673</v>
      </c>
      <c r="F45" s="2">
        <v>17.03</v>
      </c>
      <c r="G45" s="78">
        <v>17.03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309.26000000000022</v>
      </c>
      <c r="N45">
        <v>0</v>
      </c>
      <c r="O45"/>
      <c r="P45" s="736">
        <v>8.8000000000000005E-3</v>
      </c>
      <c r="Q45" s="736">
        <v>9.7999999999999997E-3</v>
      </c>
      <c r="R45" s="2"/>
      <c r="S45" s="48"/>
      <c r="T45" s="48"/>
    </row>
    <row r="46" spans="1:41" ht="21.95" customHeight="1" x14ac:dyDescent="0.25">
      <c r="A46" s="50"/>
      <c r="B46" s="50"/>
      <c r="C46" s="51"/>
      <c r="D46" s="788"/>
      <c r="E46" s="22" t="s">
        <v>275</v>
      </c>
      <c r="F46" s="2">
        <v>69.81</v>
      </c>
      <c r="G46" s="78">
        <v>69.81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197.20999999999549</v>
      </c>
      <c r="N46">
        <v>0</v>
      </c>
      <c r="O46"/>
      <c r="P46" s="736">
        <v>2.5499999999999998E-2</v>
      </c>
      <c r="Q46" s="736">
        <v>-2.2499999999999999E-2</v>
      </c>
      <c r="R46" s="2"/>
      <c r="S46" s="736"/>
      <c r="T46" s="48"/>
      <c r="U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1"/>
      <c r="B47" s="51"/>
      <c r="C47" s="51"/>
      <c r="D47" s="788"/>
      <c r="E47" s="22" t="s">
        <v>737</v>
      </c>
      <c r="F47" s="2">
        <v>242.25</v>
      </c>
      <c r="G47" s="78">
        <v>242.25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843.18000000000029</v>
      </c>
      <c r="N47">
        <v>0</v>
      </c>
      <c r="O47"/>
      <c r="P47" s="736">
        <v>2.8E-3</v>
      </c>
      <c r="Q47" s="736">
        <v>1.0699999999999999E-2</v>
      </c>
      <c r="R47" s="2"/>
      <c r="S47" s="48"/>
      <c r="T47" s="48"/>
      <c r="U47" s="48"/>
    </row>
    <row r="48" spans="1:41" ht="21.95" customHeight="1" x14ac:dyDescent="0.25">
      <c r="A48" s="50"/>
      <c r="B48" s="50"/>
      <c r="C48" s="51"/>
      <c r="D48" s="788"/>
      <c r="E48" s="22" t="s">
        <v>196</v>
      </c>
      <c r="F48" s="2">
        <v>11.52</v>
      </c>
      <c r="G48" s="78">
        <v>11.52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495.20999999999913</v>
      </c>
      <c r="N48">
        <v>0</v>
      </c>
      <c r="O48"/>
      <c r="P48" s="736">
        <v>5.1499999999999997E-2</v>
      </c>
      <c r="Q48" s="736">
        <v>1.6999999999999999E-3</v>
      </c>
      <c r="R48" s="2"/>
      <c r="V48" s="48"/>
    </row>
    <row r="49" spans="1:41" ht="21.95" customHeight="1" x14ac:dyDescent="0.25">
      <c r="A49" s="50"/>
      <c r="B49" s="50"/>
      <c r="C49" s="51"/>
      <c r="D49" s="788"/>
      <c r="E49" s="22" t="s">
        <v>829</v>
      </c>
      <c r="F49" s="2">
        <v>98.14</v>
      </c>
      <c r="G49" s="78">
        <v>98.14</v>
      </c>
      <c r="H49">
        <v>0</v>
      </c>
      <c r="I49" s="2">
        <v>0</v>
      </c>
      <c r="J49" s="2">
        <v>0</v>
      </c>
      <c r="K49" s="2">
        <v>604.30000000000109</v>
      </c>
      <c r="L49" s="736">
        <v>0</v>
      </c>
      <c r="M49" s="2">
        <v>604.30000000000109</v>
      </c>
      <c r="N49">
        <v>0</v>
      </c>
      <c r="O49"/>
      <c r="P49" s="736">
        <v>6.9288771143264727E-3</v>
      </c>
      <c r="Q49" s="736">
        <v>-1.11E-2</v>
      </c>
      <c r="R49" s="2">
        <v>20.661052631578947</v>
      </c>
      <c r="S49" s="736"/>
    </row>
    <row r="50" spans="1:41" ht="21.95" customHeight="1" x14ac:dyDescent="0.25">
      <c r="A50" s="50"/>
      <c r="B50" s="51"/>
      <c r="C50" s="51"/>
      <c r="D50" s="788"/>
      <c r="E50" s="22" t="s">
        <v>680</v>
      </c>
      <c r="F50" s="2">
        <v>137.07</v>
      </c>
      <c r="G50" s="78">
        <v>137.07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-1.6999999999999999E-3</v>
      </c>
      <c r="R50" s="2">
        <v>20.488789237668158</v>
      </c>
      <c r="S50" s="48"/>
      <c r="T50" s="48"/>
    </row>
    <row r="51" spans="1:41" ht="21.95" customHeight="1" x14ac:dyDescent="0.25">
      <c r="A51" s="51"/>
      <c r="B51" s="152"/>
      <c r="C51" s="325"/>
      <c r="D51" s="788"/>
      <c r="E51" s="22" t="s">
        <v>961</v>
      </c>
      <c r="F51" s="2">
        <v>98.56</v>
      </c>
      <c r="G51" s="78">
        <v>98.56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6.4935064935064931E-3</v>
      </c>
      <c r="Q51" s="736">
        <v>3.5499999999999997E-2</v>
      </c>
      <c r="R51" s="2">
        <v>13.355013550135501</v>
      </c>
      <c r="S51" s="736"/>
      <c r="T51" s="48"/>
      <c r="X51" s="736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 s="2"/>
      <c r="AN51"/>
      <c r="AO51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48"/>
      <c r="T52" s="48"/>
      <c r="V52" s="48"/>
    </row>
    <row r="53" spans="1:41" ht="21.95" customHeight="1" x14ac:dyDescent="0.25">
      <c r="A53" s="51"/>
      <c r="B53" s="152"/>
      <c r="C53" s="325"/>
      <c r="D53" s="788"/>
      <c r="E53" s="22" t="s">
        <v>308</v>
      </c>
      <c r="F53" s="2">
        <v>150.22999999999999</v>
      </c>
      <c r="G53" s="78">
        <v>150.22999999999999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1.6000000000000001E-3</v>
      </c>
      <c r="R53" s="2"/>
      <c r="W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692</v>
      </c>
      <c r="F54" s="2">
        <v>95.17</v>
      </c>
      <c r="G54" s="78">
        <v>95.17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-5.0000000000000001E-4</v>
      </c>
      <c r="R54" s="2"/>
      <c r="S54" s="48"/>
    </row>
    <row r="55" spans="1:41" ht="21.95" customHeight="1" x14ac:dyDescent="0.25">
      <c r="A55" s="50"/>
      <c r="B55" s="50"/>
      <c r="C55" s="51"/>
      <c r="D55" s="788"/>
      <c r="E55" s="22" t="s">
        <v>735</v>
      </c>
      <c r="F55" s="2">
        <v>675.35</v>
      </c>
      <c r="G55" s="78">
        <v>675.35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-5.0000000000000001E-3</v>
      </c>
      <c r="R55" s="2"/>
      <c r="U55" s="48"/>
    </row>
    <row r="56" spans="1:41" ht="21.95" customHeight="1" x14ac:dyDescent="0.25">
      <c r="A56" s="50"/>
      <c r="B56" s="51"/>
      <c r="C56" s="51"/>
      <c r="D56" s="788"/>
      <c r="E56" s="22" t="s">
        <v>946</v>
      </c>
      <c r="F56" s="78">
        <v>222.36</v>
      </c>
      <c r="G56" s="78">
        <v>222.36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7.9150926425616119E-3</v>
      </c>
      <c r="Q56" s="736">
        <v>-1.1599999999999999E-2</v>
      </c>
      <c r="R56" s="2">
        <v>25.795823665893277</v>
      </c>
      <c r="S56" s="736"/>
    </row>
    <row r="57" spans="1:41" ht="21.95" customHeight="1" x14ac:dyDescent="0.25">
      <c r="A57" s="50"/>
      <c r="B57" s="50"/>
      <c r="C57" s="51"/>
      <c r="D57" s="788"/>
      <c r="E57" s="22" t="s">
        <v>923</v>
      </c>
      <c r="F57" s="2">
        <v>35.32</v>
      </c>
      <c r="G57" s="78">
        <v>35.32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7.4745186862967161E-2</v>
      </c>
      <c r="Q57" s="736">
        <v>-2.5000000000000001E-3</v>
      </c>
      <c r="R57" s="2"/>
      <c r="S57" s="736"/>
      <c r="T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0"/>
      <c r="D58" s="788"/>
      <c r="E58" s="22" t="s">
        <v>194</v>
      </c>
      <c r="F58" s="2">
        <v>72.56</v>
      </c>
      <c r="G58" s="78">
        <v>72.56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3.2000000000000002E-3</v>
      </c>
      <c r="R58" s="2"/>
      <c r="U58" s="48"/>
    </row>
    <row r="59" spans="1:41" ht="21.95" customHeight="1" x14ac:dyDescent="0.25">
      <c r="A59" s="51"/>
      <c r="B59" s="51"/>
      <c r="C59" s="51"/>
      <c r="D59" s="788"/>
      <c r="E59" s="22" t="s">
        <v>224</v>
      </c>
      <c r="F59" s="2">
        <v>55.91</v>
      </c>
      <c r="G59" s="78">
        <v>55.91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736">
        <v>-8.9999999999999998E-4</v>
      </c>
      <c r="R59" s="2"/>
      <c r="S59" s="48"/>
    </row>
    <row r="60" spans="1:41" ht="21.95" customHeight="1" x14ac:dyDescent="0.25">
      <c r="A60" s="51"/>
      <c r="B60" s="51"/>
      <c r="C60" s="51"/>
      <c r="D60" s="788"/>
      <c r="E60" s="22" t="s">
        <v>824</v>
      </c>
      <c r="F60" s="2">
        <v>461.7</v>
      </c>
      <c r="G60" s="78">
        <v>461.7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736">
        <v>1.7500000000000002E-2</v>
      </c>
      <c r="R60" s="2"/>
      <c r="S60" s="736"/>
    </row>
    <row r="61" spans="1:41" ht="21.95" customHeight="1" x14ac:dyDescent="0.25">
      <c r="A61" s="50"/>
      <c r="B61" s="51"/>
      <c r="C61" s="51"/>
      <c r="D61" s="788"/>
      <c r="E61" s="22" t="s">
        <v>34</v>
      </c>
      <c r="F61" s="78">
        <v>54.59</v>
      </c>
      <c r="G61" s="78">
        <v>54.59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21137.586999999941</v>
      </c>
      <c r="N61">
        <v>0</v>
      </c>
      <c r="O61"/>
      <c r="P61" s="736">
        <v>0</v>
      </c>
      <c r="Q61" s="736">
        <v>2.69E-2</v>
      </c>
      <c r="R61" s="2"/>
      <c r="S61" s="48"/>
      <c r="T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172</v>
      </c>
      <c r="F62" s="2">
        <v>53.2</v>
      </c>
      <c r="G62" s="78">
        <v>53.2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119.92000000000053</v>
      </c>
      <c r="N62">
        <v>0</v>
      </c>
      <c r="O62"/>
      <c r="P62" s="736">
        <v>3.6400000000000002E-2</v>
      </c>
      <c r="Q62" s="736">
        <v>3.0000000000000001E-3</v>
      </c>
      <c r="R62" s="2"/>
      <c r="S62" s="48"/>
      <c r="U62" s="48"/>
    </row>
    <row r="63" spans="1:41" ht="21.95" customHeight="1" x14ac:dyDescent="0.25">
      <c r="A63" s="50"/>
      <c r="B63" s="50"/>
      <c r="C63" s="51"/>
      <c r="D63" s="788"/>
      <c r="E63" s="22" t="s">
        <v>27</v>
      </c>
      <c r="F63" s="2">
        <v>49.67</v>
      </c>
      <c r="G63" s="78">
        <v>49.67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1407.5400000000009</v>
      </c>
      <c r="N63">
        <v>0</v>
      </c>
      <c r="O63"/>
      <c r="P63" s="736">
        <v>3.0200000000000001E-2</v>
      </c>
      <c r="Q63" s="736">
        <v>-2.0500000000000001E-2</v>
      </c>
      <c r="R63" s="2"/>
      <c r="S63" s="736"/>
    </row>
    <row r="64" spans="1:41" ht="21.95" customHeight="1" x14ac:dyDescent="0.25">
      <c r="A64" s="50"/>
      <c r="B64" s="50"/>
      <c r="C64" s="51"/>
      <c r="D64" s="788"/>
      <c r="E64" s="22" t="s">
        <v>22</v>
      </c>
      <c r="F64" s="2">
        <v>63.77</v>
      </c>
      <c r="G64" s="78">
        <v>63.77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3178.8000000000466</v>
      </c>
      <c r="N64">
        <v>0</v>
      </c>
      <c r="O64"/>
      <c r="P64" s="736">
        <v>2.07E-2</v>
      </c>
      <c r="Q64" s="736">
        <v>2.3800000000000002E-2</v>
      </c>
      <c r="R64" s="2"/>
      <c r="S64" s="48"/>
      <c r="T64" s="48"/>
    </row>
    <row r="65" spans="1:41" ht="21.95" customHeight="1" x14ac:dyDescent="0.25">
      <c r="A65" s="50"/>
      <c r="B65" s="50"/>
      <c r="C65" s="51"/>
      <c r="D65" s="788"/>
      <c r="E65" s="22" t="s">
        <v>42</v>
      </c>
      <c r="F65" s="2">
        <v>141.26</v>
      </c>
      <c r="G65" s="78">
        <v>141.26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128.08999999999833</v>
      </c>
      <c r="N65">
        <v>0</v>
      </c>
      <c r="O65"/>
      <c r="P65" s="736">
        <v>2.18E-2</v>
      </c>
      <c r="Q65" s="736">
        <v>0</v>
      </c>
      <c r="R65" s="2"/>
      <c r="S65" s="736"/>
      <c r="T65" s="48"/>
      <c r="U65" s="48"/>
    </row>
    <row r="66" spans="1:41" ht="21.95" customHeight="1" x14ac:dyDescent="0.25">
      <c r="A66" s="50"/>
      <c r="B66" s="50"/>
      <c r="C66" s="51"/>
      <c r="D66" s="788"/>
      <c r="E66" s="22" t="s">
        <v>268</v>
      </c>
      <c r="F66" s="2">
        <v>49.48</v>
      </c>
      <c r="G66" s="78">
        <v>49.48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427.92000000000007</v>
      </c>
      <c r="N66">
        <v>0</v>
      </c>
      <c r="O66"/>
      <c r="P66" s="736">
        <v>0</v>
      </c>
      <c r="Q66" s="736">
        <v>1.46E-2</v>
      </c>
      <c r="R66" s="2"/>
      <c r="S66" s="48"/>
      <c r="T66" s="48"/>
      <c r="V66" s="48"/>
    </row>
    <row r="67" spans="1:41" ht="21.95" customHeight="1" x14ac:dyDescent="0.25">
      <c r="A67" s="51"/>
      <c r="B67" s="51"/>
      <c r="C67" s="51"/>
      <c r="D67" s="788"/>
      <c r="E67" s="22" t="s">
        <v>170</v>
      </c>
      <c r="F67" s="2">
        <v>97.8</v>
      </c>
      <c r="G67" s="78">
        <v>97.8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1368.9000000000015</v>
      </c>
      <c r="N67">
        <v>0</v>
      </c>
      <c r="O67"/>
      <c r="P67" s="736">
        <v>1.14E-2</v>
      </c>
      <c r="Q67" s="736">
        <v>4.3E-3</v>
      </c>
      <c r="R67" s="2"/>
      <c r="S67" s="736"/>
      <c r="U67" s="48"/>
    </row>
    <row r="68" spans="1:41" ht="21.95" customHeight="1" x14ac:dyDescent="0.25">
      <c r="A68" s="50"/>
      <c r="B68" s="50"/>
      <c r="C68" s="51"/>
      <c r="D68" s="788"/>
      <c r="E68" s="22" t="s">
        <v>8</v>
      </c>
      <c r="F68" s="2">
        <v>80.58</v>
      </c>
      <c r="G68" s="78">
        <v>80.58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121.94999999999982</v>
      </c>
      <c r="N68">
        <v>0</v>
      </c>
      <c r="O68"/>
      <c r="P68" s="736">
        <v>1.67E-2</v>
      </c>
      <c r="Q68" s="736">
        <v>1.83E-2</v>
      </c>
      <c r="R68" s="2"/>
      <c r="S68" s="736"/>
      <c r="T68" s="48"/>
      <c r="Y68" s="48"/>
    </row>
    <row r="69" spans="1:41" ht="21.95" customHeight="1" x14ac:dyDescent="0.25">
      <c r="A69" s="50"/>
      <c r="B69" s="50"/>
      <c r="C69" s="51"/>
      <c r="D69" s="788"/>
      <c r="E69" s="22" t="s">
        <v>10</v>
      </c>
      <c r="F69" s="2">
        <v>45.8</v>
      </c>
      <c r="G69" s="78">
        <v>45.8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1128.3800000000047</v>
      </c>
      <c r="N69">
        <v>0</v>
      </c>
      <c r="O69"/>
      <c r="P69" s="736">
        <v>1.2500000000000001E-2</v>
      </c>
      <c r="Q69" s="736">
        <v>3.3599999999999998E-2</v>
      </c>
      <c r="R69" s="2"/>
      <c r="S69" s="48"/>
      <c r="T69" s="48"/>
    </row>
    <row r="70" spans="1:41" ht="21.95" customHeight="1" x14ac:dyDescent="0.25">
      <c r="A70" s="50"/>
      <c r="B70" s="51"/>
      <c r="C70" s="51"/>
      <c r="D70" s="788"/>
      <c r="E70" s="22" t="s">
        <v>223</v>
      </c>
      <c r="F70" s="2">
        <v>44.1</v>
      </c>
      <c r="G70" s="78">
        <v>44.1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4376.9599999999991</v>
      </c>
      <c r="N70">
        <v>0</v>
      </c>
      <c r="O70"/>
      <c r="P70" s="736">
        <v>4.0899999999999999E-2</v>
      </c>
      <c r="Q70" s="736">
        <v>2.7000000000000001E-3</v>
      </c>
      <c r="R70" s="2"/>
      <c r="S70" s="736"/>
    </row>
    <row r="71" spans="1:41" ht="21.95" customHeight="1" x14ac:dyDescent="0.25">
      <c r="A71" s="50"/>
      <c r="B71" s="50"/>
      <c r="C71" s="51"/>
      <c r="D71" s="788"/>
      <c r="E71" s="22" t="s">
        <v>341</v>
      </c>
      <c r="F71" s="78">
        <v>76.33</v>
      </c>
      <c r="G71" s="78">
        <v>76.33</v>
      </c>
      <c r="H71">
        <v>0</v>
      </c>
      <c r="I71" s="2">
        <v>0</v>
      </c>
      <c r="J71" s="2">
        <v>0</v>
      </c>
      <c r="K71" s="2">
        <v>129.92000000000007</v>
      </c>
      <c r="L71" s="736">
        <v>0</v>
      </c>
      <c r="M71" s="2">
        <v>2190.3500000000004</v>
      </c>
      <c r="N71">
        <v>0</v>
      </c>
      <c r="O71"/>
      <c r="P71" s="736">
        <v>4.3499999999999997E-2</v>
      </c>
      <c r="Q71" s="736">
        <v>-6.7999999999999996E-3</v>
      </c>
      <c r="R71" s="2">
        <v>14.539047619047619</v>
      </c>
    </row>
    <row r="72" spans="1:41" ht="21.95" customHeight="1" x14ac:dyDescent="0.25">
      <c r="A72" s="152"/>
      <c r="B72" s="50"/>
      <c r="C72" s="51"/>
      <c r="D72" s="788"/>
      <c r="E72" s="22" t="s">
        <v>24</v>
      </c>
      <c r="F72" s="2">
        <v>68</v>
      </c>
      <c r="G72" s="78">
        <v>68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937.36999999999534</v>
      </c>
      <c r="N72">
        <v>0</v>
      </c>
      <c r="O72"/>
      <c r="P72" s="736">
        <v>0</v>
      </c>
      <c r="Q72" s="736">
        <v>1.9300000000000001E-2</v>
      </c>
      <c r="R72" s="2"/>
      <c r="S72" s="48"/>
      <c r="T72" s="48"/>
    </row>
    <row r="73" spans="1:41" ht="21.95" customHeight="1" x14ac:dyDescent="0.25">
      <c r="A73" s="50"/>
      <c r="B73" s="50"/>
      <c r="C73" s="51"/>
      <c r="D73" s="788"/>
      <c r="E73" s="22" t="s">
        <v>45</v>
      </c>
      <c r="F73" s="2">
        <v>92.22</v>
      </c>
      <c r="G73" s="78">
        <v>92.22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523.61999999999898</v>
      </c>
      <c r="N73">
        <v>0</v>
      </c>
      <c r="O73"/>
      <c r="P73" s="736">
        <v>1.67E-2</v>
      </c>
      <c r="Q73" s="736">
        <v>6.7000000000000002E-3</v>
      </c>
      <c r="R73" s="2"/>
      <c r="S73" s="48"/>
      <c r="T73" s="48"/>
    </row>
    <row r="74" spans="1:41" ht="21.95" customHeight="1" x14ac:dyDescent="0.25">
      <c r="A74" s="50"/>
      <c r="B74" s="50"/>
      <c r="C74" s="51"/>
      <c r="D74" s="788"/>
      <c r="E74" s="22" t="s">
        <v>47</v>
      </c>
      <c r="F74" s="2">
        <v>151.06</v>
      </c>
      <c r="G74" s="78">
        <v>151.06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-168.6200000000008</v>
      </c>
      <c r="N74">
        <v>0</v>
      </c>
      <c r="O74"/>
      <c r="P74" s="736">
        <v>0</v>
      </c>
      <c r="Q74" s="736">
        <v>-7.7000000000000002E-3</v>
      </c>
      <c r="R74" s="2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 s="2"/>
      <c r="AN74"/>
      <c r="AO74"/>
    </row>
    <row r="75" spans="1:41" ht="21.95" customHeight="1" x14ac:dyDescent="0.25">
      <c r="A75" s="50"/>
      <c r="B75" s="50"/>
      <c r="C75" s="51"/>
      <c r="D75" s="788"/>
      <c r="E75" s="22" t="s">
        <v>33</v>
      </c>
      <c r="F75" s="2">
        <v>251.54</v>
      </c>
      <c r="G75" s="78">
        <v>251.54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780.73999999999796</v>
      </c>
      <c r="N75">
        <v>0</v>
      </c>
      <c r="O75"/>
      <c r="P75" s="736">
        <v>1.8599999999999998E-2</v>
      </c>
      <c r="Q75" s="736">
        <v>-3.5000000000000001E-3</v>
      </c>
      <c r="R75" s="2"/>
      <c r="S75" s="48"/>
    </row>
    <row r="76" spans="1:41" ht="21.95" customHeight="1" x14ac:dyDescent="0.25">
      <c r="A76" s="51"/>
      <c r="B76" s="51"/>
      <c r="C76" s="51"/>
      <c r="D76" s="788"/>
      <c r="E76" s="22" t="s">
        <v>13</v>
      </c>
      <c r="F76" s="2">
        <v>71.02</v>
      </c>
      <c r="G76" s="78">
        <v>71.02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1461.5600000000013</v>
      </c>
      <c r="N76">
        <v>0</v>
      </c>
      <c r="O76"/>
      <c r="P76" s="736">
        <v>0</v>
      </c>
      <c r="Q76" s="736">
        <v>-4.3E-3</v>
      </c>
      <c r="R76" s="2"/>
      <c r="S76" s="48"/>
      <c r="T76" s="48"/>
      <c r="U76" s="48"/>
      <c r="V76" s="48"/>
    </row>
    <row r="77" spans="1:41" ht="21.95" customHeight="1" x14ac:dyDescent="0.25">
      <c r="A77" s="51"/>
      <c r="B77" s="50"/>
      <c r="C77" s="51"/>
      <c r="D77" s="788"/>
      <c r="E77" s="22" t="s">
        <v>52</v>
      </c>
      <c r="F77" s="78">
        <v>53.32</v>
      </c>
      <c r="G77" s="78">
        <v>53.32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1056.739999999998</v>
      </c>
      <c r="N77">
        <v>0</v>
      </c>
      <c r="O77"/>
      <c r="P77" s="736">
        <v>2.1999999999999999E-2</v>
      </c>
      <c r="Q77" s="736">
        <v>-5.9999999999999995E-4</v>
      </c>
      <c r="R77" s="2"/>
      <c r="S77" s="48"/>
      <c r="T77" s="48"/>
    </row>
    <row r="78" spans="1:41" ht="21.95" customHeight="1" x14ac:dyDescent="0.25">
      <c r="A78" s="50"/>
      <c r="B78" s="50"/>
      <c r="C78" s="51"/>
      <c r="D78" s="788"/>
      <c r="E78" s="22" t="s">
        <v>330</v>
      </c>
      <c r="F78" s="2">
        <v>23.62</v>
      </c>
      <c r="G78" s="78">
        <v>23.62</v>
      </c>
      <c r="H78">
        <v>0</v>
      </c>
      <c r="I78" s="2">
        <v>0</v>
      </c>
      <c r="J78" s="2">
        <v>0</v>
      </c>
      <c r="K78" s="2">
        <v>926.77000000000044</v>
      </c>
      <c r="L78" s="736">
        <v>0</v>
      </c>
      <c r="M78" s="2">
        <v>1211.7400000000052</v>
      </c>
      <c r="N78">
        <v>0</v>
      </c>
      <c r="O78"/>
      <c r="P78" s="736">
        <v>0</v>
      </c>
      <c r="Q78" s="736">
        <v>2.0999999999999999E-3</v>
      </c>
      <c r="R78" s="2">
        <v>9.6408163265306115</v>
      </c>
      <c r="S78" s="736"/>
      <c r="T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152"/>
      <c r="B79" s="50"/>
      <c r="C79" s="51"/>
      <c r="D79" s="788"/>
      <c r="E79" s="22" t="s">
        <v>63</v>
      </c>
      <c r="F79" s="2">
        <v>104.26</v>
      </c>
      <c r="G79" s="78">
        <v>104.26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257.30999999999949</v>
      </c>
      <c r="N79">
        <v>0</v>
      </c>
      <c r="O79"/>
      <c r="P79" s="736">
        <v>1.38E-2</v>
      </c>
      <c r="Q79" s="736">
        <v>-1.9E-3</v>
      </c>
      <c r="R79" s="2"/>
      <c r="S79" s="736"/>
      <c r="T79" s="48"/>
      <c r="U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1"/>
      <c r="C80" s="51"/>
      <c r="D80" s="788"/>
      <c r="E80" s="22" t="s">
        <v>9</v>
      </c>
      <c r="F80" s="2">
        <v>6.16</v>
      </c>
      <c r="G80" s="78">
        <v>6.16</v>
      </c>
      <c r="H80">
        <v>0</v>
      </c>
      <c r="I80" s="2">
        <v>0</v>
      </c>
      <c r="J80" s="2">
        <v>0</v>
      </c>
      <c r="K80" s="2">
        <v>-8332.1133333333346</v>
      </c>
      <c r="L80" s="736">
        <v>0</v>
      </c>
      <c r="M80" s="2">
        <v>-7897.1833333333343</v>
      </c>
      <c r="N80">
        <v>0</v>
      </c>
      <c r="O80"/>
      <c r="P80" s="736">
        <v>0.04</v>
      </c>
      <c r="Q80" s="736">
        <v>-1.6000000000000001E-3</v>
      </c>
      <c r="R80" s="2"/>
      <c r="S80" s="736"/>
      <c r="T80" s="48"/>
      <c r="U80" s="48"/>
      <c r="V80" s="48"/>
    </row>
    <row r="81" spans="1:21" ht="21.95" customHeight="1" x14ac:dyDescent="0.25">
      <c r="A81" s="50"/>
      <c r="B81" s="50"/>
      <c r="C81" s="51"/>
      <c r="D81" s="788"/>
      <c r="E81" s="22" t="s">
        <v>53</v>
      </c>
      <c r="F81" s="2">
        <v>76.78</v>
      </c>
      <c r="G81" s="78">
        <v>76.78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33.940000000000055</v>
      </c>
      <c r="N81">
        <v>0</v>
      </c>
      <c r="O81"/>
      <c r="P81" s="736">
        <v>7.4000000000000003E-3</v>
      </c>
      <c r="Q81" s="736">
        <v>6.4000000000000003E-3</v>
      </c>
      <c r="R81" s="2"/>
      <c r="S81" s="736"/>
      <c r="U81" s="48"/>
    </row>
    <row r="82" spans="1:21" ht="21.95" customHeight="1" x14ac:dyDescent="0.25">
      <c r="A82" s="50"/>
      <c r="B82" s="51"/>
      <c r="C82" s="51"/>
      <c r="D82" s="788"/>
      <c r="E82" s="22" t="s">
        <v>56</v>
      </c>
      <c r="F82" s="2">
        <v>41.01</v>
      </c>
      <c r="G82" s="78">
        <v>41.01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36.819999999999709</v>
      </c>
      <c r="N82">
        <v>0</v>
      </c>
      <c r="O82"/>
      <c r="P82" s="736">
        <v>4.2999999999999997E-2</v>
      </c>
      <c r="Q82" s="736">
        <v>9.7999999999999997E-3</v>
      </c>
      <c r="R82" s="2"/>
      <c r="T82" s="48"/>
    </row>
    <row r="83" spans="1:21" ht="21.95" customHeight="1" x14ac:dyDescent="0.25">
      <c r="A83" s="51"/>
      <c r="B83" s="51"/>
      <c r="C83" s="51"/>
      <c r="D83" s="788"/>
      <c r="E83" s="22" t="s">
        <v>0</v>
      </c>
      <c r="F83" s="2">
        <v>205.16</v>
      </c>
      <c r="G83" s="78">
        <v>205.16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465.57999999999993</v>
      </c>
      <c r="N83">
        <v>0</v>
      </c>
      <c r="O83"/>
      <c r="P83" s="736">
        <v>3.8999999999999998E-3</v>
      </c>
      <c r="Q83" s="736">
        <v>1.1999999999999999E-3</v>
      </c>
      <c r="R83" s="2"/>
      <c r="S83" s="48"/>
      <c r="T83" s="48"/>
    </row>
    <row r="84" spans="1:21" ht="21.95" customHeight="1" x14ac:dyDescent="0.25">
      <c r="A84" s="50"/>
      <c r="B84" s="50"/>
      <c r="C84" s="51"/>
      <c r="D84" s="788"/>
      <c r="E84" s="22" t="s">
        <v>39</v>
      </c>
      <c r="F84" s="2">
        <v>44.25</v>
      </c>
      <c r="G84" s="78">
        <v>44.25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529.88000000000284</v>
      </c>
      <c r="N84">
        <v>0</v>
      </c>
      <c r="O84"/>
      <c r="P84" s="736">
        <v>2.3E-2</v>
      </c>
      <c r="Q84" s="736">
        <v>4.4999999999999997E-3</v>
      </c>
      <c r="R84" s="2"/>
    </row>
    <row r="85" spans="1:21" ht="21.95" customHeight="1" x14ac:dyDescent="0.25">
      <c r="A85" s="50"/>
      <c r="B85" s="51"/>
      <c r="C85" s="51"/>
      <c r="D85" s="788"/>
      <c r="E85" s="22" t="s">
        <v>54</v>
      </c>
      <c r="F85" s="78">
        <v>125.64</v>
      </c>
      <c r="G85" s="78">
        <v>125.64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114.84999999999991</v>
      </c>
      <c r="N85">
        <v>0</v>
      </c>
      <c r="O85"/>
      <c r="P85" s="736">
        <v>2.35E-2</v>
      </c>
      <c r="Q85" s="736">
        <v>8.3000000000000001E-3</v>
      </c>
      <c r="R85" s="2"/>
      <c r="S85" s="736"/>
      <c r="T85" s="48"/>
    </row>
    <row r="86" spans="1:21" ht="21.95" customHeight="1" x14ac:dyDescent="0.25">
      <c r="A86" s="50"/>
      <c r="B86" s="50"/>
      <c r="C86" s="51"/>
      <c r="D86" s="788"/>
      <c r="E86" s="22" t="s">
        <v>51</v>
      </c>
      <c r="F86" s="78">
        <v>249.77</v>
      </c>
      <c r="G86" s="78">
        <v>249.77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176.70000000000073</v>
      </c>
      <c r="N86">
        <v>0</v>
      </c>
      <c r="O86"/>
      <c r="P86" s="736">
        <v>1.52E-2</v>
      </c>
      <c r="Q86" s="736">
        <v>-3.8999999999999998E-3</v>
      </c>
      <c r="R86" s="2"/>
    </row>
    <row r="87" spans="1:21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1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1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1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1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739" priority="595">
      <formula>$O1=0</formula>
    </cfRule>
    <cfRule type="dataBar" priority="9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38" priority="551">
      <formula>$H2=0</formula>
    </cfRule>
  </conditionalFormatting>
  <conditionalFormatting sqref="J105:K200">
    <cfRule type="expression" dxfId="2737" priority="552">
      <formula>$J105=0</formula>
    </cfRule>
  </conditionalFormatting>
  <conditionalFormatting sqref="J105:K458">
    <cfRule type="expression" dxfId="2736" priority="593">
      <formula>$J105&lt;0</formula>
    </cfRule>
  </conditionalFormatting>
  <conditionalFormatting sqref="E59">
    <cfRule type="expression" dxfId="2735" priority="522">
      <formula>$H59=0</formula>
    </cfRule>
  </conditionalFormatting>
  <conditionalFormatting sqref="E5">
    <cfRule type="expression" dxfId="2734" priority="500">
      <formula>$H5=0</formula>
    </cfRule>
  </conditionalFormatting>
  <conditionalFormatting sqref="E60">
    <cfRule type="expression" dxfId="2733" priority="478">
      <formula>$H60=0</formula>
    </cfRule>
  </conditionalFormatting>
  <conditionalFormatting sqref="E62">
    <cfRule type="expression" dxfId="2732" priority="467">
      <formula>$H62=0</formula>
    </cfRule>
  </conditionalFormatting>
  <conditionalFormatting sqref="E61">
    <cfRule type="expression" dxfId="2731" priority="456">
      <formula>$H61=0</formula>
    </cfRule>
  </conditionalFormatting>
  <conditionalFormatting sqref="E8">
    <cfRule type="expression" dxfId="2730" priority="441">
      <formula>$H8=0</formula>
    </cfRule>
  </conditionalFormatting>
  <conditionalFormatting sqref="E63">
    <cfRule type="expression" dxfId="2729" priority="431">
      <formula>$H63=0</formula>
    </cfRule>
  </conditionalFormatting>
  <conditionalFormatting sqref="E20">
    <cfRule type="expression" dxfId="2728" priority="421">
      <formula>$H20=0</formula>
    </cfRule>
  </conditionalFormatting>
  <conditionalFormatting sqref="E64">
    <cfRule type="expression" dxfId="2727" priority="412">
      <formula>$H64=0</formula>
    </cfRule>
  </conditionalFormatting>
  <conditionalFormatting sqref="E65">
    <cfRule type="expression" dxfId="2726" priority="405">
      <formula>$H65=0</formula>
    </cfRule>
  </conditionalFormatting>
  <conditionalFormatting sqref="E11">
    <cfRule type="expression" dxfId="2725" priority="396">
      <formula>$H11=0</formula>
    </cfRule>
  </conditionalFormatting>
  <conditionalFormatting sqref="E9">
    <cfRule type="expression" dxfId="2724" priority="389">
      <formula>$H9=0</formula>
    </cfRule>
  </conditionalFormatting>
  <conditionalFormatting sqref="E66">
    <cfRule type="expression" dxfId="2723" priority="380">
      <formula>$H66=0</formula>
    </cfRule>
  </conditionalFormatting>
  <conditionalFormatting sqref="E10">
    <cfRule type="expression" dxfId="2722" priority="371">
      <formula>$H10=0</formula>
    </cfRule>
  </conditionalFormatting>
  <conditionalFormatting sqref="E26:E28 E30 E45:E49 E36:E43">
    <cfRule type="expression" dxfId="2721" priority="367">
      <formula>$H26=0</formula>
    </cfRule>
  </conditionalFormatting>
  <conditionalFormatting sqref="E29">
    <cfRule type="expression" dxfId="2720" priority="366">
      <formula>$H29=0</formula>
    </cfRule>
  </conditionalFormatting>
  <conditionalFormatting sqref="E31">
    <cfRule type="expression" dxfId="2719" priority="365">
      <formula>$H31=0</formula>
    </cfRule>
  </conditionalFormatting>
  <conditionalFormatting sqref="E32">
    <cfRule type="expression" dxfId="2718" priority="364">
      <formula>$H32=0</formula>
    </cfRule>
  </conditionalFormatting>
  <conditionalFormatting sqref="E44">
    <cfRule type="expression" dxfId="2717" priority="363">
      <formula>$H44=0</formula>
    </cfRule>
  </conditionalFormatting>
  <conditionalFormatting sqref="E35">
    <cfRule type="expression" dxfId="2716" priority="362">
      <formula>$H35=0</formula>
    </cfRule>
  </conditionalFormatting>
  <conditionalFormatting sqref="E33">
    <cfRule type="expression" dxfId="2715" priority="361">
      <formula>$H33=0</formula>
    </cfRule>
  </conditionalFormatting>
  <conditionalFormatting sqref="E34">
    <cfRule type="expression" dxfId="2714" priority="360">
      <formula>$H34=0</formula>
    </cfRule>
  </conditionalFormatting>
  <conditionalFormatting sqref="E67">
    <cfRule type="expression" dxfId="2713" priority="356">
      <formula>$H67=0</formula>
    </cfRule>
  </conditionalFormatting>
  <conditionalFormatting sqref="E69:E70">
    <cfRule type="expression" dxfId="2712" priority="349">
      <formula>$H69=0</formula>
    </cfRule>
  </conditionalFormatting>
  <conditionalFormatting sqref="E68">
    <cfRule type="expression" dxfId="2711" priority="342">
      <formula>$H68=0</formula>
    </cfRule>
  </conditionalFormatting>
  <conditionalFormatting sqref="E69:E70">
    <cfRule type="expression" dxfId="2710" priority="334">
      <formula>$H69=0</formula>
    </cfRule>
  </conditionalFormatting>
  <conditionalFormatting sqref="E71">
    <cfRule type="expression" dxfId="2709" priority="327">
      <formula>$H71=0</formula>
    </cfRule>
  </conditionalFormatting>
  <conditionalFormatting sqref="E72">
    <cfRule type="expression" dxfId="2708" priority="304">
      <formula>$H72=0</formula>
    </cfRule>
  </conditionalFormatting>
  <conditionalFormatting sqref="E72">
    <cfRule type="expression" dxfId="2707" priority="296">
      <formula>$H72=0</formula>
    </cfRule>
  </conditionalFormatting>
  <conditionalFormatting sqref="E74">
    <cfRule type="expression" dxfId="2706" priority="289">
      <formula>$H74=0</formula>
    </cfRule>
  </conditionalFormatting>
  <conditionalFormatting sqref="E73">
    <cfRule type="expression" dxfId="2705" priority="282">
      <formula>$H73=0</formula>
    </cfRule>
  </conditionalFormatting>
  <conditionalFormatting sqref="E75">
    <cfRule type="expression" dxfId="2704" priority="265">
      <formula>$H75=0</formula>
    </cfRule>
  </conditionalFormatting>
  <conditionalFormatting sqref="E7">
    <cfRule type="expression" dxfId="2703" priority="257">
      <formula>$H7=0</formula>
    </cfRule>
  </conditionalFormatting>
  <conditionalFormatting sqref="P105:P1048576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02" priority="241">
      <formula>$H76=0</formula>
    </cfRule>
  </conditionalFormatting>
  <conditionalFormatting sqref="E77">
    <cfRule type="expression" dxfId="2701" priority="228">
      <formula>$H77=0</formula>
    </cfRule>
  </conditionalFormatting>
  <conditionalFormatting sqref="E78">
    <cfRule type="expression" dxfId="2700" priority="214">
      <formula>$H78=0</formula>
    </cfRule>
  </conditionalFormatting>
  <conditionalFormatting sqref="P105:P1048576 P1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99" priority="202">
      <formula>$H79=0</formula>
    </cfRule>
  </conditionalFormatting>
  <conditionalFormatting sqref="E80">
    <cfRule type="expression" dxfId="2698" priority="192">
      <formula>$H80=0</formula>
    </cfRule>
  </conditionalFormatting>
  <conditionalFormatting sqref="E81">
    <cfRule type="expression" dxfId="2697" priority="182">
      <formula>$H81=0</formula>
    </cfRule>
  </conditionalFormatting>
  <conditionalFormatting sqref="E82">
    <cfRule type="expression" dxfId="2696" priority="172">
      <formula>$H82=0</formula>
    </cfRule>
  </conditionalFormatting>
  <conditionalFormatting sqref="E83">
    <cfRule type="expression" dxfId="2695" priority="162">
      <formula>$H83=0</formula>
    </cfRule>
  </conditionalFormatting>
  <conditionalFormatting sqref="E84">
    <cfRule type="expression" dxfId="2694" priority="152">
      <formula>$H84=0</formula>
    </cfRule>
  </conditionalFormatting>
  <conditionalFormatting sqref="Q1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93" priority="141">
      <formula>$H85=0</formula>
    </cfRule>
  </conditionalFormatting>
  <conditionalFormatting sqref="R105:R1048576">
    <cfRule type="expression" dxfId="2692" priority="973">
      <formula>$O105=0</formula>
    </cfRule>
    <cfRule type="dataBar" priority="9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91" priority="115">
      <formula>$O1=0</formula>
    </cfRule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90" priority="113">
      <formula>$L2=0</formula>
    </cfRule>
  </conditionalFormatting>
  <conditionalFormatting sqref="Q1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89" priority="106">
      <formula>K3&gt;0</formula>
    </cfRule>
    <cfRule type="expression" dxfId="2688" priority="107">
      <formula>K3&lt;0</formula>
    </cfRule>
  </conditionalFormatting>
  <conditionalFormatting sqref="K2 K4 K6 K8 K10 K12 K14 K16 K18 K20 K22 K24 K26 K28 K30">
    <cfRule type="expression" dxfId="2687" priority="104">
      <formula>K2&gt;0</formula>
    </cfRule>
    <cfRule type="expression" dxfId="2686" priority="105">
      <formula>K2&lt;0</formula>
    </cfRule>
  </conditionalFormatting>
  <conditionalFormatting sqref="K23 K25 K27 K29">
    <cfRule type="expression" dxfId="2685" priority="102">
      <formula>K23&gt;0</formula>
    </cfRule>
    <cfRule type="expression" dxfId="2684" priority="103">
      <formula>K23&lt;0</formula>
    </cfRule>
  </conditionalFormatting>
  <conditionalFormatting sqref="K31 K33 K40 K35 K42 K37:K38">
    <cfRule type="expression" dxfId="2683" priority="100">
      <formula>K31&gt;0</formula>
    </cfRule>
    <cfRule type="expression" dxfId="2682" priority="101">
      <formula>K31&lt;0</formula>
    </cfRule>
  </conditionalFormatting>
  <conditionalFormatting sqref="K32 K39 K34 K41 K36 K43">
    <cfRule type="expression" dxfId="2681" priority="98">
      <formula>K32&gt;0</formula>
    </cfRule>
    <cfRule type="expression" dxfId="2680" priority="99">
      <formula>K32&lt;0</formula>
    </cfRule>
  </conditionalFormatting>
  <conditionalFormatting sqref="K45 K47 K49 K51 K53">
    <cfRule type="expression" dxfId="2679" priority="96">
      <formula>K45&gt;0</formula>
    </cfRule>
    <cfRule type="expression" dxfId="2678" priority="97">
      <formula>K45&lt;0</formula>
    </cfRule>
  </conditionalFormatting>
  <conditionalFormatting sqref="K46 K48 K50 K52">
    <cfRule type="expression" dxfId="2677" priority="94">
      <formula>K46&gt;0</formula>
    </cfRule>
    <cfRule type="expression" dxfId="2676" priority="95">
      <formula>K46&lt;0</formula>
    </cfRule>
  </conditionalFormatting>
  <conditionalFormatting sqref="K54 K56 K58 K60 K62">
    <cfRule type="expression" dxfId="2675" priority="92">
      <formula>K54&gt;0</formula>
    </cfRule>
    <cfRule type="expression" dxfId="2674" priority="93">
      <formula>K54&lt;0</formula>
    </cfRule>
  </conditionalFormatting>
  <conditionalFormatting sqref="K55 K57 K59 K61">
    <cfRule type="expression" dxfId="2673" priority="90">
      <formula>K55&gt;0</formula>
    </cfRule>
    <cfRule type="expression" dxfId="2672" priority="91">
      <formula>K55&lt;0</formula>
    </cfRule>
  </conditionalFormatting>
  <conditionalFormatting sqref="K66 K68 K70 K72 K74">
    <cfRule type="expression" dxfId="2671" priority="88">
      <formula>K66&gt;0</formula>
    </cfRule>
    <cfRule type="expression" dxfId="2670" priority="89">
      <formula>K66&lt;0</formula>
    </cfRule>
  </conditionalFormatting>
  <conditionalFormatting sqref="K67 K69 K71 K73">
    <cfRule type="expression" dxfId="2669" priority="86">
      <formula>K67&gt;0</formula>
    </cfRule>
    <cfRule type="expression" dxfId="2668" priority="87">
      <formula>K67&lt;0</formula>
    </cfRule>
  </conditionalFormatting>
  <conditionalFormatting sqref="K75 K77 K79 K81 K83">
    <cfRule type="expression" dxfId="2667" priority="84">
      <formula>K75&gt;0</formula>
    </cfRule>
    <cfRule type="expression" dxfId="2666" priority="85">
      <formula>K75&lt;0</formula>
    </cfRule>
  </conditionalFormatting>
  <conditionalFormatting sqref="K76 K78 K80 K82">
    <cfRule type="expression" dxfId="2665" priority="82">
      <formula>K76&gt;0</formula>
    </cfRule>
    <cfRule type="expression" dxfId="2664" priority="83">
      <formula>K76&lt;0</formula>
    </cfRule>
  </conditionalFormatting>
  <conditionalFormatting sqref="K82 K84 K88 K90">
    <cfRule type="expression" dxfId="2663" priority="80">
      <formula>K82&gt;0</formula>
    </cfRule>
    <cfRule type="expression" dxfId="2662" priority="81">
      <formula>K82&lt;0</formula>
    </cfRule>
  </conditionalFormatting>
  <conditionalFormatting sqref="K83 K85 K87 K89">
    <cfRule type="expression" dxfId="2661" priority="78">
      <formula>K83&gt;0</formula>
    </cfRule>
    <cfRule type="expression" dxfId="2660" priority="79">
      <formula>K83&lt;0</formula>
    </cfRule>
  </conditionalFormatting>
  <conditionalFormatting sqref="M105:M200">
    <cfRule type="expression" dxfId="2659" priority="76">
      <formula>$J105=0</formula>
    </cfRule>
  </conditionalFormatting>
  <conditionalFormatting sqref="M105:M458">
    <cfRule type="expression" dxfId="2658" priority="77">
      <formula>$J105&lt;0</formula>
    </cfRule>
  </conditionalFormatting>
  <conditionalFormatting sqref="M3 M5 M7 M9 M11 M13 M15 M17 M19 M21">
    <cfRule type="expression" dxfId="2657" priority="74">
      <formula>M3&gt;0</formula>
    </cfRule>
    <cfRule type="expression" dxfId="2656" priority="75">
      <formula>M3&lt;0</formula>
    </cfRule>
  </conditionalFormatting>
  <conditionalFormatting sqref="M2 M4 M6 M8 M10 M12 M14 M16 M18 M20 M22 M24 M26 M28 M30">
    <cfRule type="expression" dxfId="2655" priority="72">
      <formula>M2&gt;0</formula>
    </cfRule>
    <cfRule type="expression" dxfId="2654" priority="73">
      <formula>M2&lt;0</formula>
    </cfRule>
  </conditionalFormatting>
  <conditionalFormatting sqref="M23 M25 M27 M29">
    <cfRule type="expression" dxfId="2653" priority="70">
      <formula>M23&gt;0</formula>
    </cfRule>
    <cfRule type="expression" dxfId="2652" priority="71">
      <formula>M23&lt;0</formula>
    </cfRule>
  </conditionalFormatting>
  <conditionalFormatting sqref="M31 M33 M40 M35 M42 M37:M38">
    <cfRule type="expression" dxfId="2651" priority="68">
      <formula>M31&gt;0</formula>
    </cfRule>
    <cfRule type="expression" dxfId="2650" priority="69">
      <formula>M31&lt;0</formula>
    </cfRule>
  </conditionalFormatting>
  <conditionalFormatting sqref="M32 M39 M34 M41 M36 M43">
    <cfRule type="expression" dxfId="2649" priority="66">
      <formula>M32&gt;0</formula>
    </cfRule>
    <cfRule type="expression" dxfId="2648" priority="67">
      <formula>M32&lt;0</formula>
    </cfRule>
  </conditionalFormatting>
  <conditionalFormatting sqref="M45 M47 M49 M51 M53">
    <cfRule type="expression" dxfId="2647" priority="64">
      <formula>M45&gt;0</formula>
    </cfRule>
    <cfRule type="expression" dxfId="2646" priority="65">
      <formula>M45&lt;0</formula>
    </cfRule>
  </conditionalFormatting>
  <conditionalFormatting sqref="M46 M48 M50 M52">
    <cfRule type="expression" dxfId="2645" priority="62">
      <formula>M46&gt;0</formula>
    </cfRule>
    <cfRule type="expression" dxfId="2644" priority="63">
      <formula>M46&lt;0</formula>
    </cfRule>
  </conditionalFormatting>
  <conditionalFormatting sqref="M54 M56 M58 M60">
    <cfRule type="expression" dxfId="2643" priority="60">
      <formula>M54&gt;0</formula>
    </cfRule>
    <cfRule type="expression" dxfId="2642" priority="61">
      <formula>M54&lt;0</formula>
    </cfRule>
  </conditionalFormatting>
  <conditionalFormatting sqref="M55 M57 M59 M61">
    <cfRule type="expression" dxfId="2641" priority="58">
      <formula>M55&gt;0</formula>
    </cfRule>
    <cfRule type="expression" dxfId="2640" priority="59">
      <formula>M55&lt;0</formula>
    </cfRule>
  </conditionalFormatting>
  <conditionalFormatting sqref="M68 M70 M72 M74">
    <cfRule type="expression" dxfId="2639" priority="56">
      <formula>M68&gt;0</formula>
    </cfRule>
    <cfRule type="expression" dxfId="2638" priority="57">
      <formula>M68&lt;0</formula>
    </cfRule>
  </conditionalFormatting>
  <conditionalFormatting sqref="M67 M69 M71 M73">
    <cfRule type="expression" dxfId="2637" priority="54">
      <formula>M67&gt;0</formula>
    </cfRule>
    <cfRule type="expression" dxfId="2636" priority="55">
      <formula>M67&lt;0</formula>
    </cfRule>
  </conditionalFormatting>
  <conditionalFormatting sqref="M75 M77 M79 M81 M83">
    <cfRule type="expression" dxfId="2635" priority="52">
      <formula>M75&gt;0</formula>
    </cfRule>
    <cfRule type="expression" dxfId="2634" priority="53">
      <formula>M75&lt;0</formula>
    </cfRule>
  </conditionalFormatting>
  <conditionalFormatting sqref="M76 M78 M80 M82">
    <cfRule type="expression" dxfId="2633" priority="50">
      <formula>M76&gt;0</formula>
    </cfRule>
    <cfRule type="expression" dxfId="2632" priority="51">
      <formula>M76&lt;0</formula>
    </cfRule>
  </conditionalFormatting>
  <conditionalFormatting sqref="M82 M84 M88 M90">
    <cfRule type="expression" dxfId="2631" priority="48">
      <formula>M82&gt;0</formula>
    </cfRule>
    <cfRule type="expression" dxfId="2630" priority="49">
      <formula>M82&lt;0</formula>
    </cfRule>
  </conditionalFormatting>
  <conditionalFormatting sqref="M83 M85 M87 M89">
    <cfRule type="expression" dxfId="2629" priority="46">
      <formula>M83&gt;0</formula>
    </cfRule>
    <cfRule type="expression" dxfId="2628" priority="47">
      <formula>M83&lt;0</formula>
    </cfRule>
  </conditionalFormatting>
  <conditionalFormatting sqref="L105:L200">
    <cfRule type="expression" dxfId="2627" priority="44">
      <formula>$J105=0</formula>
    </cfRule>
  </conditionalFormatting>
  <conditionalFormatting sqref="L105:L458">
    <cfRule type="expression" dxfId="2626" priority="45">
      <formula>$J105&lt;0</formula>
    </cfRule>
  </conditionalFormatting>
  <conditionalFormatting sqref="L3 L5 L7 L9 L11 L13 L15 L17 L19 L21">
    <cfRule type="expression" dxfId="2625" priority="42">
      <formula>L3&gt;0</formula>
    </cfRule>
    <cfRule type="expression" dxfId="2624" priority="43">
      <formula>L3&lt;0</formula>
    </cfRule>
  </conditionalFormatting>
  <conditionalFormatting sqref="L2 L4 L6 L8 L10 L12 L14 L16 L18 L20 L22 L24 L26 L28 L30">
    <cfRule type="expression" dxfId="2623" priority="40">
      <formula>L2&gt;0</formula>
    </cfRule>
    <cfRule type="expression" dxfId="2622" priority="41">
      <formula>L2&lt;0</formula>
    </cfRule>
  </conditionalFormatting>
  <conditionalFormatting sqref="L23 L25 L27 L29">
    <cfRule type="expression" dxfId="2621" priority="38">
      <formula>L23&gt;0</formula>
    </cfRule>
    <cfRule type="expression" dxfId="2620" priority="39">
      <formula>L23&lt;0</formula>
    </cfRule>
  </conditionalFormatting>
  <conditionalFormatting sqref="L31 L33 L40 L35 L42 L37:L38">
    <cfRule type="expression" dxfId="2619" priority="36">
      <formula>L31&gt;0</formula>
    </cfRule>
    <cfRule type="expression" dxfId="2618" priority="37">
      <formula>L31&lt;0</formula>
    </cfRule>
  </conditionalFormatting>
  <conditionalFormatting sqref="L32 L39 L34 L41 L36 L43">
    <cfRule type="expression" dxfId="2617" priority="34">
      <formula>L32&gt;0</formula>
    </cfRule>
    <cfRule type="expression" dxfId="2616" priority="35">
      <formula>L32&lt;0</formula>
    </cfRule>
  </conditionalFormatting>
  <conditionalFormatting sqref="L45 L47 L49 L51 L53">
    <cfRule type="expression" dxfId="2615" priority="32">
      <formula>L45&gt;0</formula>
    </cfRule>
    <cfRule type="expression" dxfId="2614" priority="33">
      <formula>L45&lt;0</formula>
    </cfRule>
  </conditionalFormatting>
  <conditionalFormatting sqref="L46 L48 L50 L52">
    <cfRule type="expression" dxfId="2613" priority="30">
      <formula>L46&gt;0</formula>
    </cfRule>
    <cfRule type="expression" dxfId="2612" priority="31">
      <formula>L46&lt;0</formula>
    </cfRule>
  </conditionalFormatting>
  <conditionalFormatting sqref="L54 L56 L58 L60 L62">
    <cfRule type="expression" dxfId="2611" priority="28">
      <formula>L54&gt;0</formula>
    </cfRule>
    <cfRule type="expression" dxfId="2610" priority="29">
      <formula>L54&lt;0</formula>
    </cfRule>
  </conditionalFormatting>
  <conditionalFormatting sqref="L55 L57 L59 L61">
    <cfRule type="expression" dxfId="2609" priority="26">
      <formula>L55&gt;0</formula>
    </cfRule>
    <cfRule type="expression" dxfId="2608" priority="27">
      <formula>L55&lt;0</formula>
    </cfRule>
  </conditionalFormatting>
  <conditionalFormatting sqref="L66 L68 L70 L72 L74">
    <cfRule type="expression" dxfId="2607" priority="24">
      <formula>L66&gt;0</formula>
    </cfRule>
    <cfRule type="expression" dxfId="2606" priority="25">
      <formula>L66&lt;0</formula>
    </cfRule>
  </conditionalFormatting>
  <conditionalFormatting sqref="L67 L69 L71 L73">
    <cfRule type="expression" dxfId="2605" priority="22">
      <formula>L67&gt;0</formula>
    </cfRule>
    <cfRule type="expression" dxfId="2604" priority="23">
      <formula>L67&lt;0</formula>
    </cfRule>
  </conditionalFormatting>
  <conditionalFormatting sqref="L75 L77 L79 L81 L83">
    <cfRule type="expression" dxfId="2603" priority="20">
      <formula>L75&gt;0</formula>
    </cfRule>
    <cfRule type="expression" dxfId="2602" priority="21">
      <formula>L75&lt;0</formula>
    </cfRule>
  </conditionalFormatting>
  <conditionalFormatting sqref="L76 L78 L80 L82">
    <cfRule type="expression" dxfId="2601" priority="18">
      <formula>L76&gt;0</formula>
    </cfRule>
    <cfRule type="expression" dxfId="2600" priority="19">
      <formula>L76&lt;0</formula>
    </cfRule>
  </conditionalFormatting>
  <conditionalFormatting sqref="L82 L84 L88 L90">
    <cfRule type="expression" dxfId="2599" priority="16">
      <formula>L82&gt;0</formula>
    </cfRule>
    <cfRule type="expression" dxfId="2598" priority="17">
      <formula>L82&lt;0</formula>
    </cfRule>
  </conditionalFormatting>
  <conditionalFormatting sqref="L83 L85 L87 L89">
    <cfRule type="expression" dxfId="2597" priority="14">
      <formula>L83&gt;0</formula>
    </cfRule>
    <cfRule type="expression" dxfId="2596" priority="15">
      <formula>L83&lt;0</formula>
    </cfRule>
  </conditionalFormatting>
  <conditionalFormatting sqref="I1:I85 I87:I1048576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595" priority="11">
      <formula>M44&gt;0</formula>
    </cfRule>
    <cfRule type="expression" dxfId="2594" priority="12">
      <formula>M44&lt;0</formula>
    </cfRule>
  </conditionalFormatting>
  <conditionalFormatting sqref="M62:M66">
    <cfRule type="expression" dxfId="2593" priority="9">
      <formula>M62&gt;0</formula>
    </cfRule>
    <cfRule type="expression" dxfId="2592" priority="10">
      <formula>M62&lt;0</formula>
    </cfRule>
  </conditionalFormatting>
  <conditionalFormatting sqref="E86">
    <cfRule type="expression" dxfId="13" priority="8">
      <formula>$H86=0</formula>
    </cfRule>
  </conditionalFormatting>
  <conditionalFormatting sqref="K86">
    <cfRule type="expression" dxfId="11" priority="6">
      <formula>K86&gt;0</formula>
    </cfRule>
    <cfRule type="expression" dxfId="10" priority="7">
      <formula>K86&lt;0</formula>
    </cfRule>
  </conditionalFormatting>
  <conditionalFormatting sqref="M86">
    <cfRule type="expression" dxfId="7" priority="4">
      <formula>M86&gt;0</formula>
    </cfRule>
    <cfRule type="expression" dxfId="6" priority="5">
      <formula>M86&lt;0</formula>
    </cfRule>
  </conditionalFormatting>
  <conditionalFormatting sqref="L86">
    <cfRule type="expression" dxfId="3" priority="2">
      <formula>L86&gt;0</formula>
    </cfRule>
    <cfRule type="expression" dxfId="2" priority="3">
      <formula>L86&lt;0</formula>
    </cfRule>
  </conditionalFormatting>
  <conditionalFormatting sqref="I8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hyperlinks>
    <hyperlink ref="E32" location="BIIB!A1" display="BIIB"/>
    <hyperlink ref="E33" location="MYL!A1" display="MYL"/>
    <hyperlink ref="E30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23" location="IEMG!A1" display="IEMG"/>
    <hyperlink ref="E46" location="CVS!A1" display="CVS"/>
    <hyperlink ref="E47" location="ADBE!A1" display="ADBE"/>
    <hyperlink ref="E2" location="MRO!A1" display="MRO"/>
    <hyperlink ref="E22" location="GE!A1" display="GE"/>
    <hyperlink ref="E11" location="XRAY!A1" display="XRAY"/>
    <hyperlink ref="E24" location="XLP!A1" display="XLP"/>
    <hyperlink ref="E3" location="KR!A1" display="KR"/>
    <hyperlink ref="E48" location="F!A1" display="F"/>
    <hyperlink ref="E21" location="JNJ!A1" display="JNJ"/>
    <hyperlink ref="E6" location="ULTA!A1" display="ULTA"/>
    <hyperlink ref="E49" location="FRC!A1" display="FRC"/>
    <hyperlink ref="E50" location="AAP!A1" display="AAP"/>
    <hyperlink ref="E14" location="CMCSA!A1" display="CMCSA"/>
    <hyperlink ref="E51" location="XEC!A1" display="XEC"/>
    <hyperlink ref="E12" location="MO!A1" display="MO"/>
    <hyperlink ref="E29" location="T!A1" display="T"/>
    <hyperlink ref="E26" location="COST!A1" display="COST"/>
    <hyperlink ref="E52" location="CPN!A1" display="CPN"/>
    <hyperlink ref="E53" location="EW!A1" display="EW"/>
    <hyperlink ref="E54" location="TJX!A1" display="TJX"/>
    <hyperlink ref="E17" location="QQQ!A1" display="QQQ"/>
    <hyperlink ref="E4" location="WBA!A1" display="WBA"/>
    <hyperlink ref="E55" location="AZO!A1" display="AZO"/>
    <hyperlink ref="E31" location="FL!A1" display="FL"/>
    <hyperlink ref="E56" location="MLM!A1" display="MLM"/>
    <hyperlink ref="E20" location="KHC!A1" display="KHC"/>
    <hyperlink ref="E57" location="KBWY!A1" display="KBWY"/>
    <hyperlink ref="E5" location="AYI!A1" display="AYI"/>
    <hyperlink ref="E15" location="DIA!A1" display="DIA"/>
    <hyperlink ref="E25" location="ICE!A1" display="ICE"/>
    <hyperlink ref="E58" location="NKE!A1" display="NKE"/>
    <hyperlink ref="E13" location="MOS!A1" display="MOS"/>
    <hyperlink ref="E59" location="VGK!A1" display="VGK"/>
    <hyperlink ref="E60" location="CMG!A1" display="CMG"/>
    <hyperlink ref="E27" location="HAS!A1" display="HAS"/>
    <hyperlink ref="E16" location="HSIC!A1" display="HSIC"/>
    <hyperlink ref="E10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9" location="SPY!A1" display="SPY"/>
    <hyperlink ref="E67" location="SWKS!A1" display="SWKS"/>
    <hyperlink ref="E68" location="CNI!A1" display="CNI"/>
    <hyperlink ref="E18" location="WFC!A1" display="WFC"/>
    <hyperlink ref="E69" location="AA!A1" display="AA"/>
    <hyperlink ref="E70" location="CF!A1" display="CF"/>
    <hyperlink ref="E71" location="TGT!A1" display="TGT"/>
    <hyperlink ref="E8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7" location="DAL!A1" display="DAL"/>
    <hyperlink ref="E78" location="TEVA!A1" display="TEVA"/>
    <hyperlink ref="E79" location="DIS!A1" display="DIS"/>
    <hyperlink ref="E80" location="FTR!A1" display="FTR"/>
    <hyperlink ref="E28" location="GILD!A1" display="GILD"/>
    <hyperlink ref="E81" location="WWD!A1" display="WWD"/>
    <hyperlink ref="E19" location="GIS!A1" display="GIS"/>
    <hyperlink ref="E82" location="GM!A1" display="GM"/>
    <hyperlink ref="E83" location="TMO!A1" display="TMO"/>
    <hyperlink ref="E84" location="TKR!A1" display="TKR"/>
    <hyperlink ref="E85" location="UTX!A1" display="UTX"/>
    <hyperlink ref="E8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I87:I1048576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8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87225.214666668238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86037.474666668306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86037.419999999984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5.4666668322170153E-2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91" priority="7">
      <formula>#REF!&gt;0</formula>
    </cfRule>
    <cfRule type="expression" dxfId="259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9"/>
  <sheetViews>
    <sheetView topLeftCell="W1" zoomScaleNormal="100" workbookViewId="0">
      <pane ySplit="1" topLeftCell="A65" activePane="bottomLeft" state="frozen"/>
      <selection pane="bottomLeft" activeCell="AB679" sqref="AB67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86037.419999999984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4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4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4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4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4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4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4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4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4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4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4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4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4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4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4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4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4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4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4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4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4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4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4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4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4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4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4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4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4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4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4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4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4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4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4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4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4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4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4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4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4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4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4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4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4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4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4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4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4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4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4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4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4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4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4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4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4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4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4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4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4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4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4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4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4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4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4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4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4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4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4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4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4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4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4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4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4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4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4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4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4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4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4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4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4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4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4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4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4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4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4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4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4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4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4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4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4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4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4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4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4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4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4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4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4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4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4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4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4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4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4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4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4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4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4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4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4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4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4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4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4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4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4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4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4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4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4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4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4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4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4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4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4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4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4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4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4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4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4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4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4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4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4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4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4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4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4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4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4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4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4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4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4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4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4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4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4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4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4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4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4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4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4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4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4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4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4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4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4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4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4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4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4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4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4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4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4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4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4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4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4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4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4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4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4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4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4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4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4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4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4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4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4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4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4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4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4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4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4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4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4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4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4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4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4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4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4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4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4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4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4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4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4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4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4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4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4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4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4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4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4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4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4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4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4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4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2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4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2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4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2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4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2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4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2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4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2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4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2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4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2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4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2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4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2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4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2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4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2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4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2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4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2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4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2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4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2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4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2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4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2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4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2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4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2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4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2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4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39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4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2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4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2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4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2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4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2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4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2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4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2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4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2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4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2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4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2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4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2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4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2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4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2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4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2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4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2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4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2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4">
        <f t="shared" ref="Z673" si="3685">-(E673-N673)</f>
        <v>-1.8589513662855328E-2</v>
      </c>
    </row>
    <row r="674" spans="1:26" ht="20.100000000000001" customHeight="1" x14ac:dyDescent="0.25">
      <c r="A674" s="160">
        <f t="shared" ref="A674" si="3686">B674-$B$2</f>
        <v>1040</v>
      </c>
      <c r="B674" s="169">
        <v>43273</v>
      </c>
      <c r="C674" s="211">
        <v>2754.88</v>
      </c>
      <c r="D674" s="168">
        <f t="shared" ref="D674" si="3687">(C674-C673)/C673</f>
        <v>1.8619806819503849E-3</v>
      </c>
      <c r="E674" s="205">
        <f t="shared" ref="E674" si="3688">(C674-$C$2)/$C$2</f>
        <v>0.3103251460208139</v>
      </c>
      <c r="F674" s="215">
        <v>7692.81</v>
      </c>
      <c r="G674" s="168">
        <f t="shared" ref="G674" si="3689">(F674-F673)/F673</f>
        <v>-2.6111928639495157E-3</v>
      </c>
      <c r="H674" s="199">
        <f t="shared" ref="H674" si="3690">(F674-F$2)/F$2</f>
        <v>0.51085295677278719</v>
      </c>
      <c r="I674" s="822">
        <v>393809.39</v>
      </c>
      <c r="J674" s="170">
        <v>300000</v>
      </c>
      <c r="K674" s="170">
        <f t="shared" ref="K674" si="3691">I674-I673-J674+J673</f>
        <v>7019.2800000000279</v>
      </c>
      <c r="L674" s="168">
        <f t="shared" ref="L674" si="3692">K674/I673</f>
        <v>1.8147516750105189E-2</v>
      </c>
      <c r="M674" s="178">
        <f t="shared" ref="M674" si="3693">I674-J674</f>
        <v>93809.390000000014</v>
      </c>
      <c r="N674" s="180">
        <f t="shared" ref="N674" si="3694">M674/J674</f>
        <v>0.31269796666666672</v>
      </c>
      <c r="O674" s="179">
        <f t="shared" ref="O674" si="3695">N674/(A674/365.25)</f>
        <v>0.10982012723557695</v>
      </c>
      <c r="P674" s="178" t="b">
        <f t="shared" ref="P674" si="3696">L674&gt;D674</f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ref="S674" si="3697">I674-R674</f>
        <v>119430.79999999999</v>
      </c>
      <c r="T674" s="170">
        <v>-31374</v>
      </c>
      <c r="U674" s="170">
        <f t="shared" ref="U674" si="3698">M674-T674</f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ref="X674" si="3699">E674/(A674/365.25)/V674</f>
        <v>0.77437669557314881</v>
      </c>
      <c r="Y674" s="171">
        <f t="shared" ref="Y674" si="3700">O674/W674</f>
        <v>0.40540777367822317</v>
      </c>
      <c r="Z674" s="784">
        <f t="shared" ref="Z674" si="3701">-(E674-N674)</f>
        <v>2.3728206458528134E-3</v>
      </c>
    </row>
    <row r="675" spans="1:26" ht="20.100000000000001" customHeight="1" x14ac:dyDescent="0.25">
      <c r="A675" s="160">
        <f t="shared" ref="A675" si="3702">B675-$B$2</f>
        <v>1041</v>
      </c>
      <c r="B675" s="169">
        <v>43274</v>
      </c>
      <c r="C675" s="211">
        <v>2717.07</v>
      </c>
      <c r="D675" s="168">
        <f t="shared" ref="D675" si="3703">(C675-C674)/C674</f>
        <v>-1.3724735741665679E-2</v>
      </c>
      <c r="E675" s="205">
        <f t="shared" ref="E675" si="3704">(C675-$C$2)/$C$2</f>
        <v>0.29234127965601875</v>
      </c>
      <c r="F675" s="215">
        <v>7532</v>
      </c>
      <c r="G675" s="168">
        <f t="shared" ref="G675" si="3705">(F675-F674)/F674</f>
        <v>-2.0903934973046313E-2</v>
      </c>
      <c r="H675" s="199">
        <f t="shared" ref="H675" si="3706">(F675-F$2)/F$2</f>
        <v>0.47927018481057415</v>
      </c>
      <c r="I675" s="822">
        <v>389217.82</v>
      </c>
      <c r="J675" s="170">
        <v>300000</v>
      </c>
      <c r="K675" s="170">
        <f t="shared" ref="K675" si="3707">I675-I674-J675+J674</f>
        <v>-4591.570000000007</v>
      </c>
      <c r="L675" s="168">
        <f t="shared" ref="L675" si="3708">K675/I674</f>
        <v>-1.1659371555360848E-2</v>
      </c>
      <c r="M675" s="178">
        <f t="shared" ref="M675" si="3709">I675-J675</f>
        <v>89217.82</v>
      </c>
      <c r="N675" s="180">
        <f t="shared" ref="N675" si="3710">M675/J675</f>
        <v>0.29739273333333338</v>
      </c>
      <c r="O675" s="179">
        <f t="shared" ref="O675" si="3711">N675/(A675/365.25)</f>
        <v>0.10434456853986554</v>
      </c>
      <c r="P675" s="178" t="b">
        <f t="shared" ref="P675" si="3712">L675&gt;D675</f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ref="S675" si="3713">I675-R675</f>
        <v>111667.02000000002</v>
      </c>
      <c r="T675" s="170">
        <v>-31574</v>
      </c>
      <c r="U675" s="170">
        <f t="shared" ref="U675" si="3714">M675-T675</f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ref="X675" si="3715">E675/(A675/365.25)/V675</f>
        <v>0.72796080876750646</v>
      </c>
      <c r="Y675" s="171">
        <f t="shared" ref="Y675" si="3716">O675/W675</f>
        <v>0.38533195776680862</v>
      </c>
      <c r="Z675" s="784">
        <f t="shared" ref="Z675" si="3717">-(E675-N675)</f>
        <v>5.0514536773146324E-3</v>
      </c>
    </row>
    <row r="676" spans="1:26" ht="20.100000000000001" customHeight="1" x14ac:dyDescent="0.25">
      <c r="A676" s="160">
        <f t="shared" ref="A676" si="3718">B676-$B$2</f>
        <v>1044</v>
      </c>
      <c r="B676" s="169">
        <v>43277</v>
      </c>
      <c r="C676" s="211">
        <v>2723.06</v>
      </c>
      <c r="D676" s="168">
        <f t="shared" ref="D676" si="3719">(C676-C675)/C675</f>
        <v>2.2045806696182951E-3</v>
      </c>
      <c r="E676" s="205">
        <f t="shared" ref="E676" si="3720">(C676-$C$2)/$C$2</f>
        <v>0.2951903502596982</v>
      </c>
      <c r="F676" s="215">
        <v>7561.62</v>
      </c>
      <c r="G676" s="168">
        <f t="shared" ref="G676" si="3721">(F676-F675)/F675</f>
        <v>3.9325544344131561E-3</v>
      </c>
      <c r="H676" s="199">
        <f t="shared" ref="H676" si="3722">(F676-F$2)/F$2</f>
        <v>0.48508749533554613</v>
      </c>
      <c r="I676" s="822">
        <v>389379.96</v>
      </c>
      <c r="J676" s="170">
        <v>300000</v>
      </c>
      <c r="K676" s="170">
        <f t="shared" ref="K676" si="3723">I676-I675-J676+J675</f>
        <v>162.14000000001397</v>
      </c>
      <c r="L676" s="168">
        <f t="shared" ref="L676" si="3724">K676/I675</f>
        <v>4.165790764667814E-4</v>
      </c>
      <c r="M676" s="178">
        <f t="shared" ref="M676" si="3725">I676-J676</f>
        <v>89379.960000000021</v>
      </c>
      <c r="N676" s="180">
        <f t="shared" ref="N676" si="3726">M676/J676</f>
        <v>0.29793320000000006</v>
      </c>
      <c r="O676" s="179">
        <f t="shared" ref="O676" si="3727">N676/(A676/365.25)</f>
        <v>0.10423381350574715</v>
      </c>
      <c r="P676" s="178" t="b">
        <f t="shared" ref="P676" si="3728">L676&gt;D676</f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ref="S676" si="3729">I676-R676</f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ref="X676" si="3730">E676/(A676/365.25)/V676</f>
        <v>0.73346619555718418</v>
      </c>
      <c r="Y676" s="171">
        <f t="shared" ref="Y676" si="3731">O676/W676</f>
        <v>0.38520919785221641</v>
      </c>
      <c r="Z676" s="784">
        <f t="shared" ref="Z676" si="3732">-(E676-N676)</f>
        <v>2.742849740301867E-3</v>
      </c>
    </row>
    <row r="677" spans="1:26" ht="20.100000000000001" customHeight="1" x14ac:dyDescent="0.25">
      <c r="A677" s="160">
        <f t="shared" ref="A677" si="3733">B677-$B$2</f>
        <v>1045</v>
      </c>
      <c r="B677" s="169">
        <v>43278</v>
      </c>
      <c r="C677" s="211">
        <v>2699.23</v>
      </c>
      <c r="D677" s="168">
        <f t="shared" ref="D677" si="3734">(C677-C676)/C676</f>
        <v>-8.7511843293941113E-3</v>
      </c>
      <c r="E677" s="205">
        <f t="shared" ref="E677" si="3735">(C677-$C$2)/$C$2</f>
        <v>0.28385590076292305</v>
      </c>
      <c r="F677" s="215">
        <v>7445.08</v>
      </c>
      <c r="G677" s="168">
        <f t="shared" ref="G677" si="3736">(F677-F676)/F676</f>
        <v>-1.5412041335057827E-2</v>
      </c>
      <c r="H677" s="199">
        <f t="shared" ref="H677" si="3737">(F677-F$2)/F$2</f>
        <v>0.46219926547125717</v>
      </c>
      <c r="I677" s="822">
        <v>389218.36</v>
      </c>
      <c r="J677" s="170">
        <v>300000</v>
      </c>
      <c r="K677" s="170">
        <f t="shared" ref="K677" si="3738">I677-I676-J677+J676</f>
        <v>-161.60000000003492</v>
      </c>
      <c r="L677" s="168">
        <f t="shared" ref="L677" si="3739">K677/I676</f>
        <v>-4.1501879038673411E-4</v>
      </c>
      <c r="M677" s="178">
        <f t="shared" ref="M677" si="3740">I677-J677</f>
        <v>89218.359999999986</v>
      </c>
      <c r="N677" s="180">
        <f t="shared" ref="N677" si="3741">M677/J677</f>
        <v>0.29739453333333327</v>
      </c>
      <c r="O677" s="179">
        <f t="shared" ref="O677" si="3742">N677/(A677/365.25)</f>
        <v>0.10394579263157892</v>
      </c>
      <c r="P677" s="178" t="b">
        <f t="shared" ref="P677" si="3743">L677&gt;D677</f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ref="S677" si="3744">I677-R677</f>
        <v>101697.03999999998</v>
      </c>
      <c r="T677" s="170">
        <v>-31552</v>
      </c>
      <c r="U677" s="170">
        <f t="shared" ref="U677" si="3745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ref="X677" si="3746">E677/(A677/365.25)/V677</f>
        <v>0.70459261663957362</v>
      </c>
      <c r="Y677" s="171">
        <f t="shared" ref="Y677" si="3747">O677/W677</f>
        <v>0.38442897844932561</v>
      </c>
      <c r="Z677" s="784">
        <f t="shared" ref="Z677" si="3748">-(E677-N677)</f>
        <v>1.3538632570410214E-2</v>
      </c>
    </row>
    <row r="678" spans="1:26" ht="20.100000000000001" customHeight="1" x14ac:dyDescent="0.25">
      <c r="A678" s="160">
        <f t="shared" ref="A678" si="3749">B678-$B$2</f>
        <v>1046</v>
      </c>
      <c r="B678" s="169">
        <v>43279</v>
      </c>
      <c r="C678" s="211">
        <v>2716.31</v>
      </c>
      <c r="D678" s="168">
        <f t="shared" ref="D678" si="3750">(C678-C677)/C677</f>
        <v>6.3277305009206055E-3</v>
      </c>
      <c r="E678" s="205">
        <f t="shared" ref="E678" si="3751">(C678-$C$2)/$C$2</f>
        <v>0.2919797949049675</v>
      </c>
      <c r="F678" s="215">
        <v>7503.68</v>
      </c>
      <c r="G678" s="168">
        <f t="shared" ref="G678" si="3752">(F678-F677)/F677</f>
        <v>7.870969821680944E-3</v>
      </c>
      <c r="H678" s="199">
        <f t="shared" ref="H678" si="3753">(F678-F$2)/F$2</f>
        <v>0.4737081917630655</v>
      </c>
      <c r="I678" s="822">
        <v>385956.85</v>
      </c>
      <c r="J678" s="170">
        <v>300000</v>
      </c>
      <c r="K678" s="170">
        <f t="shared" ref="K678" si="3754">I678-I677-J678+J677</f>
        <v>-3261.5100000000093</v>
      </c>
      <c r="L678" s="168">
        <f t="shared" ref="L678" si="3755">K678/I677</f>
        <v>-8.3796406726548284E-3</v>
      </c>
      <c r="M678" s="178">
        <f t="shared" ref="M678" si="3756">I678-J678</f>
        <v>85956.849999999977</v>
      </c>
      <c r="N678" s="180">
        <f t="shared" ref="N678" si="3757">M678/J678</f>
        <v>0.28652283333333328</v>
      </c>
      <c r="O678" s="179">
        <f t="shared" ref="O678" si="3758">N678/(A678/365.25)</f>
        <v>0.10005015762428296</v>
      </c>
      <c r="P678" s="178" t="b">
        <f t="shared" ref="P678" si="3759">L678&gt;D678</f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ref="S678" si="3760">I678-R678</f>
        <v>85222.27999999997</v>
      </c>
      <c r="T678" s="170">
        <v>-31828</v>
      </c>
      <c r="U678" s="170">
        <f t="shared" ref="U678" si="3761">M678-T678</f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ref="X678" si="3762">E678/(A678/365.25)/V678</f>
        <v>0.7243631441355034</v>
      </c>
      <c r="Y678" s="171">
        <f t="shared" ref="Y678" si="3763">O678/W678</f>
        <v>0.37021904047841658</v>
      </c>
      <c r="Z678" s="784">
        <f t="shared" ref="Z678" si="3764">-(E678-N678)</f>
        <v>-5.4569615716342224E-3</v>
      </c>
    </row>
    <row r="679" spans="1:26" ht="20.100000000000001" customHeight="1" x14ac:dyDescent="0.25">
      <c r="A679" s="160">
        <f t="shared" ref="A679" si="3765">B679-$B$2</f>
        <v>1047</v>
      </c>
      <c r="B679" s="169">
        <v>43280</v>
      </c>
      <c r="C679" s="211">
        <v>2718.37</v>
      </c>
      <c r="D679" s="168">
        <f t="shared" ref="D679" si="3766">(C679-C678)/C678</f>
        <v>7.5838177527599773E-4</v>
      </c>
      <c r="E679" s="205">
        <f t="shared" ref="E679" si="3767">(C679-$C$2)/$C$2</f>
        <v>0.29295960883544825</v>
      </c>
      <c r="F679" s="215">
        <v>7510.3</v>
      </c>
      <c r="G679" s="168">
        <f t="shared" ref="G679" si="3768">(F679-F678)/F678</f>
        <v>8.8223378395665736E-4</v>
      </c>
      <c r="H679" s="199">
        <f t="shared" ref="H679" si="3769">(F679-F$2)/F$2</f>
        <v>0.47500834691753252</v>
      </c>
      <c r="I679" s="822">
        <v>386037.42</v>
      </c>
      <c r="J679" s="170">
        <v>300000</v>
      </c>
      <c r="K679" s="170">
        <f t="shared" ref="K679" si="3770">I679-I678-J679+J678</f>
        <v>80.570000000006985</v>
      </c>
      <c r="L679" s="168">
        <f t="shared" ref="L679" si="3771">K679/I678</f>
        <v>2.087539060389963E-4</v>
      </c>
      <c r="M679" s="178">
        <f t="shared" ref="M679" si="3772">I679-J679</f>
        <v>86037.419999999984</v>
      </c>
      <c r="N679" s="180">
        <f t="shared" ref="N679" si="3773">M679/J679</f>
        <v>0.28679139999999992</v>
      </c>
      <c r="O679" s="179">
        <f t="shared" ref="O679" si="3774">N679/(A679/365.25)</f>
        <v>0.1000482892550143</v>
      </c>
      <c r="P679" s="178" t="b">
        <f t="shared" ref="P679" si="3775">L679&gt;D679</f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ref="S679" si="3776">I679-R679</f>
        <v>89534.62</v>
      </c>
      <c r="T679" s="170">
        <v>-31984</v>
      </c>
      <c r="U679" s="170">
        <f t="shared" ref="U679" si="3777">M679-T679</f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ref="X679" si="3778">E679/(A679/365.25)/V679</f>
        <v>0.72663662641063287</v>
      </c>
      <c r="Y679" s="171">
        <f t="shared" ref="Y679" si="3779">O679/W679</f>
        <v>0.37048609238858166</v>
      </c>
      <c r="Z679" s="784">
        <f t="shared" ref="Z679" si="3780">-(E679-N679)</f>
        <v>-6.16820883544833E-3</v>
      </c>
    </row>
  </sheetData>
  <conditionalFormatting sqref="L680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9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9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9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291.92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291.92</v>
      </c>
      <c r="R4" s="490">
        <v>-7.1999999999999998E-3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321.11200000000002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318.19280000000003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315.27360000000004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312.35440000000006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309.43520000000001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306.51600000000002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303.59680000000003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300.67760000000004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297.75839999999999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294.83920000000001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291.92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289.00080000000003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286.08160000000004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283.16239999999999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280.2432</v>
      </c>
      <c r="U57" s="470"/>
    </row>
    <row r="58" spans="1:21" x14ac:dyDescent="0.25">
      <c r="O58" s="81">
        <v>0.95</v>
      </c>
      <c r="P58" s="81">
        <f t="shared" si="3"/>
        <v>277.32400000000001</v>
      </c>
      <c r="U58" s="470"/>
    </row>
    <row r="59" spans="1:21" x14ac:dyDescent="0.25">
      <c r="O59" s="81">
        <v>0.94</v>
      </c>
      <c r="P59" s="81">
        <f t="shared" si="3"/>
        <v>274.40480000000002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271.48560000000003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268.56640000000004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265.6472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262.72800000000001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89" priority="58">
      <formula>F19&gt;0</formula>
    </cfRule>
    <cfRule type="expression" dxfId="258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87" priority="47">
      <formula>H25&gt;0</formula>
    </cfRule>
    <cfRule type="expression" dxfId="2586" priority="48">
      <formula>H25&lt;0</formula>
    </cfRule>
  </conditionalFormatting>
  <conditionalFormatting sqref="M39">
    <cfRule type="expression" dxfId="2585" priority="45">
      <formula>M39&gt;0</formula>
    </cfRule>
    <cfRule type="expression" dxfId="2584" priority="46">
      <formula>M39&lt;0</formula>
    </cfRule>
  </conditionalFormatting>
  <conditionalFormatting sqref="F61:F67">
    <cfRule type="expression" dxfId="2583" priority="43">
      <formula>F61&gt;0</formula>
    </cfRule>
    <cfRule type="expression" dxfId="2582" priority="44">
      <formula>F61&lt;0</formula>
    </cfRule>
  </conditionalFormatting>
  <conditionalFormatting sqref="H61:H67">
    <cfRule type="expression" dxfId="2581" priority="41">
      <formula>H61&gt;0</formula>
    </cfRule>
    <cfRule type="expression" dxfId="2580" priority="42">
      <formula>H61&lt;0</formula>
    </cfRule>
  </conditionalFormatting>
  <conditionalFormatting sqref="F21:F24">
    <cfRule type="expression" dxfId="2579" priority="39">
      <formula>F21&gt;0</formula>
    </cfRule>
    <cfRule type="expression" dxfId="2578" priority="40">
      <formula>F21&lt;0</formula>
    </cfRule>
  </conditionalFormatting>
  <conditionalFormatting sqref="H21:H24">
    <cfRule type="expression" dxfId="2577" priority="37">
      <formula>H21&gt;0</formula>
    </cfRule>
    <cfRule type="expression" dxfId="2576" priority="38">
      <formula>H21&lt;0</formula>
    </cfRule>
  </conditionalFormatting>
  <conditionalFormatting sqref="I25:I28">
    <cfRule type="expression" dxfId="2575" priority="31">
      <formula>I25&gt;0</formula>
    </cfRule>
    <cfRule type="expression" dxfId="2574" priority="32">
      <formula>I25&lt;0</formula>
    </cfRule>
  </conditionalFormatting>
  <conditionalFormatting sqref="I21:I24">
    <cfRule type="expression" dxfId="2573" priority="29">
      <formula>I21&gt;0</formula>
    </cfRule>
    <cfRule type="expression" dxfId="2572" priority="30">
      <formula>I21&lt;0</formula>
    </cfRule>
  </conditionalFormatting>
  <conditionalFormatting sqref="H29">
    <cfRule type="expression" dxfId="2571" priority="27">
      <formula>H29&gt;0</formula>
    </cfRule>
    <cfRule type="expression" dxfId="2570" priority="28">
      <formula>H29&lt;0</formula>
    </cfRule>
  </conditionalFormatting>
  <conditionalFormatting sqref="H30">
    <cfRule type="expression" dxfId="2569" priority="25">
      <formula>H30&gt;0</formula>
    </cfRule>
    <cfRule type="expression" dxfId="2568" priority="26">
      <formula>H30&lt;0</formula>
    </cfRule>
  </conditionalFormatting>
  <conditionalFormatting sqref="H31">
    <cfRule type="expression" dxfId="2567" priority="23">
      <formula>H31&gt;0</formula>
    </cfRule>
    <cfRule type="expression" dxfId="2566" priority="24">
      <formula>H31&lt;0</formula>
    </cfRule>
  </conditionalFormatting>
  <conditionalFormatting sqref="Q7">
    <cfRule type="expression" dxfId="2565" priority="21">
      <formula>Q7&gt;0</formula>
    </cfRule>
    <cfRule type="expression" dxfId="2564" priority="22">
      <formula>Q7&lt;0</formula>
    </cfRule>
  </conditionalFormatting>
  <conditionalFormatting sqref="Q8">
    <cfRule type="expression" dxfId="2563" priority="19">
      <formula>Q8&gt;0</formula>
    </cfRule>
    <cfRule type="expression" dxfId="2562" priority="20">
      <formula>Q8&lt;0</formula>
    </cfRule>
  </conditionalFormatting>
  <conditionalFormatting sqref="F73:F82">
    <cfRule type="expression" dxfId="2561" priority="17">
      <formula>F73&gt;0</formula>
    </cfRule>
    <cfRule type="expression" dxfId="2560" priority="18">
      <formula>F73&lt;0</formula>
    </cfRule>
  </conditionalFormatting>
  <conditionalFormatting sqref="H73:H76">
    <cfRule type="expression" dxfId="2559" priority="15">
      <formula>H73&gt;0</formula>
    </cfRule>
    <cfRule type="expression" dxfId="2558" priority="16">
      <formula>H73&lt;0</formula>
    </cfRule>
  </conditionalFormatting>
  <conditionalFormatting sqref="F69:F72">
    <cfRule type="expression" dxfId="2557" priority="13">
      <formula>F69&gt;0</formula>
    </cfRule>
    <cfRule type="expression" dxfId="2556" priority="14">
      <formula>F69&lt;0</formula>
    </cfRule>
  </conditionalFormatting>
  <conditionalFormatting sqref="H69:H72">
    <cfRule type="expression" dxfId="2555" priority="11">
      <formula>H69&gt;0</formula>
    </cfRule>
    <cfRule type="expression" dxfId="2554" priority="12">
      <formula>H69&lt;0</formula>
    </cfRule>
  </conditionalFormatting>
  <conditionalFormatting sqref="I73:I76">
    <cfRule type="expression" dxfId="2553" priority="9">
      <formula>I73&gt;0</formula>
    </cfRule>
    <cfRule type="expression" dxfId="2552" priority="10">
      <formula>I73&lt;0</formula>
    </cfRule>
  </conditionalFormatting>
  <conditionalFormatting sqref="I69:I72">
    <cfRule type="expression" dxfId="2551" priority="7">
      <formula>I69&gt;0</formula>
    </cfRule>
    <cfRule type="expression" dxfId="2550" priority="8">
      <formula>I69&lt;0</formula>
    </cfRule>
  </conditionalFormatting>
  <conditionalFormatting sqref="H77">
    <cfRule type="expression" dxfId="2549" priority="5">
      <formula>H77&gt;0</formula>
    </cfRule>
    <cfRule type="expression" dxfId="2548" priority="6">
      <formula>H77&lt;0</formula>
    </cfRule>
  </conditionalFormatting>
  <conditionalFormatting sqref="H78">
    <cfRule type="expression" dxfId="2547" priority="3">
      <formula>H78&gt;0</formula>
    </cfRule>
    <cfRule type="expression" dxfId="2546" priority="4">
      <formula>H78&lt;0</formula>
    </cfRule>
  </conditionalFormatting>
  <conditionalFormatting sqref="H79">
    <cfRule type="expression" dxfId="2545" priority="1">
      <formula>H79&gt;0</formula>
    </cfRule>
    <cfRule type="expression" dxfId="254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38.29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38.29</v>
      </c>
      <c r="R4" s="490">
        <v>4.7000000000000002E-3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42.119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41.7361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41.353200000000001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40.970300000000002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40.587400000000002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40.204500000000003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39.821600000000004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39.438699999999997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39.055799999999998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38.672899999999998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38.29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37.9071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37.5242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37.141300000000001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36.758399999999995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36.375499999999995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35.992599999999996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35.609700000000004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35.226799999999997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34.843899999999998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34.460999999999999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43" priority="29">
      <formula>N19&gt;0</formula>
    </cfRule>
    <cfRule type="expression" dxfId="254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41" priority="23">
      <formula>F22&gt;0</formula>
    </cfRule>
    <cfRule type="expression" dxfId="2540" priority="24">
      <formula>F22&lt;0</formula>
    </cfRule>
  </conditionalFormatting>
  <conditionalFormatting sqref="H22:H31">
    <cfRule type="expression" dxfId="2539" priority="21">
      <formula>H22&gt;0</formula>
    </cfRule>
    <cfRule type="expression" dxfId="2538" priority="22">
      <formula>H22&lt;0</formula>
    </cfRule>
  </conditionalFormatting>
  <conditionalFormatting sqref="I21:J31">
    <cfRule type="expression" dxfId="2537" priority="19">
      <formula>I21&gt;0</formula>
    </cfRule>
    <cfRule type="expression" dxfId="2536" priority="20">
      <formula>I21&lt;0</formula>
    </cfRule>
  </conditionalFormatting>
  <conditionalFormatting sqref="Q8">
    <cfRule type="expression" dxfId="2535" priority="11">
      <formula>Q8&gt;0</formula>
    </cfRule>
    <cfRule type="expression" dxfId="2534" priority="12">
      <formula>Q8&lt;0</formula>
    </cfRule>
  </conditionalFormatting>
  <conditionalFormatting sqref="Q7">
    <cfRule type="expression" dxfId="2533" priority="13">
      <formula>Q7&gt;0</formula>
    </cfRule>
    <cfRule type="expression" dxfId="2532" priority="14">
      <formula>Q7&lt;0</formula>
    </cfRule>
  </conditionalFormatting>
  <conditionalFormatting sqref="F56:F66">
    <cfRule type="expression" dxfId="2531" priority="9">
      <formula>F56&gt;0</formula>
    </cfRule>
    <cfRule type="expression" dxfId="2530" priority="10">
      <formula>F56&lt;0</formula>
    </cfRule>
  </conditionalFormatting>
  <conditionalFormatting sqref="H56:H66">
    <cfRule type="expression" dxfId="2529" priority="7">
      <formula>H56&gt;0</formula>
    </cfRule>
    <cfRule type="expression" dxfId="2528" priority="8">
      <formula>H56&lt;0</formula>
    </cfRule>
  </conditionalFormatting>
  <conditionalFormatting sqref="I56:I66">
    <cfRule type="expression" dxfId="2527" priority="5">
      <formula>I56&gt;0</formula>
    </cfRule>
    <cfRule type="expression" dxfId="2526" priority="6">
      <formula>I56&lt;0</formula>
    </cfRule>
  </conditionalFormatting>
  <conditionalFormatting sqref="F21">
    <cfRule type="expression" dxfId="2525" priority="3">
      <formula>F21&gt;0</formula>
    </cfRule>
    <cfRule type="expression" dxfId="2524" priority="4">
      <formula>F21&lt;0</formula>
    </cfRule>
  </conditionalFormatting>
  <conditionalFormatting sqref="H21">
    <cfRule type="expression" dxfId="2523" priority="1">
      <formula>H21&gt;0</formula>
    </cfRule>
    <cfRule type="expression" dxfId="252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55.75</v>
      </c>
      <c r="R4" s="222">
        <v>1.0500000000000001E-2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2787.5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1969.239999999998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811.37000000000262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0.41058533598498259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2.6547085201793722E-2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13.9375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61.325000000000003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60.767500000000005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60.21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59.652500000000003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59.095000000000006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58.537500000000001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57.980000000000004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57.422499999999999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56.865000000000002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56.307499999999997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55.75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55.192500000000003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54.634999999999998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54.077500000000001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53.519999999999996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52.962499999999999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52.404999999999994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51.847500000000004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51.29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50.732500000000002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50.175000000000004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21" priority="64">
      <formula>N23&gt;0</formula>
    </cfRule>
    <cfRule type="expression" dxfId="252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19" priority="58">
      <formula>F79&gt;0</formula>
    </cfRule>
    <cfRule type="expression" dxfId="2518" priority="59">
      <formula>F79&lt;0</formula>
    </cfRule>
  </conditionalFormatting>
  <conditionalFormatting sqref="H79:H97 H101:H118">
    <cfRule type="expression" dxfId="2517" priority="56">
      <formula>H79&gt;0</formula>
    </cfRule>
    <cfRule type="expression" dxfId="2516" priority="57">
      <formula>H79&lt;0</formula>
    </cfRule>
  </conditionalFormatting>
  <conditionalFormatting sqref="I75:I97 I100:I118">
    <cfRule type="expression" dxfId="2515" priority="54">
      <formula>I75&gt;0</formula>
    </cfRule>
    <cfRule type="expression" dxfId="2514" priority="55">
      <formula>I75&lt;0</formula>
    </cfRule>
  </conditionalFormatting>
  <conditionalFormatting sqref="Q7">
    <cfRule type="expression" dxfId="2513" priority="52">
      <formula>Q7&gt;0</formula>
    </cfRule>
    <cfRule type="expression" dxfId="2512" priority="53">
      <formula>Q7&lt;0</formula>
    </cfRule>
  </conditionalFormatting>
  <conditionalFormatting sqref="Q8">
    <cfRule type="expression" dxfId="2511" priority="50">
      <formula>Q8&gt;0</formula>
    </cfRule>
    <cfRule type="expression" dxfId="2510" priority="51">
      <formula>Q8&lt;0</formula>
    </cfRule>
  </conditionalFormatting>
  <conditionalFormatting sqref="F75:F78">
    <cfRule type="expression" dxfId="2509" priority="48">
      <formula>F75&gt;0</formula>
    </cfRule>
    <cfRule type="expression" dxfId="2508" priority="49">
      <formula>F75&lt;0</formula>
    </cfRule>
  </conditionalFormatting>
  <conditionalFormatting sqref="H75:H78">
    <cfRule type="expression" dxfId="2507" priority="46">
      <formula>H75&gt;0</formula>
    </cfRule>
    <cfRule type="expression" dxfId="2506" priority="47">
      <formula>H75&lt;0</formula>
    </cfRule>
  </conditionalFormatting>
  <conditionalFormatting sqref="F100:F114">
    <cfRule type="expression" dxfId="2505" priority="40">
      <formula>F100&gt;0</formula>
    </cfRule>
    <cfRule type="expression" dxfId="2504" priority="41">
      <formula>F100&lt;0</formula>
    </cfRule>
  </conditionalFormatting>
  <conditionalFormatting sqref="H100:H114">
    <cfRule type="expression" dxfId="2503" priority="38">
      <formula>H100&gt;0</formula>
    </cfRule>
    <cfRule type="expression" dxfId="2502" priority="39">
      <formula>H100&lt;0</formula>
    </cfRule>
  </conditionalFormatting>
  <conditionalFormatting sqref="F29:F63">
    <cfRule type="expression" dxfId="2501" priority="36">
      <formula>F29&gt;0</formula>
    </cfRule>
    <cfRule type="expression" dxfId="2500" priority="37">
      <formula>F29&lt;0</formula>
    </cfRule>
  </conditionalFormatting>
  <conditionalFormatting sqref="H29:H63">
    <cfRule type="expression" dxfId="2499" priority="34">
      <formula>H29&gt;0</formula>
    </cfRule>
    <cfRule type="expression" dxfId="2498" priority="35">
      <formula>H29&lt;0</formula>
    </cfRule>
  </conditionalFormatting>
  <conditionalFormatting sqref="J38:J68">
    <cfRule type="expression" dxfId="2497" priority="32">
      <formula>J38&gt;0</formula>
    </cfRule>
    <cfRule type="expression" dxfId="2496" priority="33">
      <formula>J38&lt;0</formula>
    </cfRule>
  </conditionalFormatting>
  <conditionalFormatting sqref="J43">
    <cfRule type="expression" dxfId="2495" priority="30">
      <formula>J43&gt;0</formula>
    </cfRule>
    <cfRule type="expression" dxfId="2494" priority="31">
      <formula>J43&lt;0</formula>
    </cfRule>
  </conditionalFormatting>
  <conditionalFormatting sqref="Q9">
    <cfRule type="expression" dxfId="2493" priority="24">
      <formula>Q9&gt;0</formula>
    </cfRule>
    <cfRule type="expression" dxfId="2492" priority="25">
      <formula>Q9&lt;0</formula>
    </cfRule>
  </conditionalFormatting>
  <conditionalFormatting sqref="R4">
    <cfRule type="expression" dxfId="2491" priority="26">
      <formula>R4&gt;0</formula>
    </cfRule>
    <cfRule type="expression" dxfId="249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89" priority="21">
      <formula>F120&gt;0</formula>
    </cfRule>
    <cfRule type="expression" dxfId="2488" priority="22">
      <formula>F120&lt;0</formula>
    </cfRule>
  </conditionalFormatting>
  <conditionalFormatting sqref="H120:H160">
    <cfRule type="expression" dxfId="2487" priority="19">
      <formula>H120&gt;0</formula>
    </cfRule>
    <cfRule type="expression" dxfId="2486" priority="20">
      <formula>H120&lt;0</formula>
    </cfRule>
  </conditionalFormatting>
  <conditionalFormatting sqref="J129:J160">
    <cfRule type="expression" dxfId="2485" priority="17">
      <formula>J129&gt;0</formula>
    </cfRule>
    <cfRule type="expression" dxfId="2484" priority="18">
      <formula>J129&lt;0</formula>
    </cfRule>
  </conditionalFormatting>
  <conditionalFormatting sqref="J134">
    <cfRule type="expression" dxfId="2483" priority="15">
      <formula>J134&gt;0</formula>
    </cfRule>
    <cfRule type="expression" dxfId="2482" priority="16">
      <formula>J134&lt;0</formula>
    </cfRule>
  </conditionalFormatting>
  <conditionalFormatting sqref="J31:J40">
    <cfRule type="expression" dxfId="2481" priority="13">
      <formula>J31&gt;0</formula>
    </cfRule>
    <cfRule type="expression" dxfId="2480" priority="14">
      <formula>J31&lt;0</formula>
    </cfRule>
  </conditionalFormatting>
  <conditionalFormatting sqref="J36:J37">
    <cfRule type="expression" dxfId="2479" priority="11">
      <formula>J36&gt;0</formula>
    </cfRule>
    <cfRule type="expression" dxfId="2478" priority="12">
      <formula>J36&lt;0</formula>
    </cfRule>
  </conditionalFormatting>
  <conditionalFormatting sqref="Q10">
    <cfRule type="expression" dxfId="2477" priority="9">
      <formula>Q10&gt;0</formula>
    </cfRule>
    <cfRule type="expression" dxfId="2476" priority="10">
      <formula>Q10&lt;0</formula>
    </cfRule>
  </conditionalFormatting>
  <conditionalFormatting sqref="K38:K55 K57:K68">
    <cfRule type="expression" dxfId="2475" priority="7">
      <formula>K38&gt;0</formula>
    </cfRule>
    <cfRule type="expression" dxfId="2474" priority="8">
      <formula>K38&lt;0</formula>
    </cfRule>
  </conditionalFormatting>
  <conditionalFormatting sqref="K43">
    <cfRule type="expression" dxfId="2473" priority="5">
      <formula>K43&gt;0</formula>
    </cfRule>
    <cfRule type="expression" dxfId="2472" priority="6">
      <formula>K43&lt;0</formula>
    </cfRule>
  </conditionalFormatting>
  <conditionalFormatting sqref="K31:K40">
    <cfRule type="expression" dxfId="2471" priority="3">
      <formula>K31&gt;0</formula>
    </cfRule>
    <cfRule type="expression" dxfId="2470" priority="4">
      <formula>K31&lt;0</formula>
    </cfRule>
  </conditionalFormatting>
  <conditionalFormatting sqref="K36:K37">
    <cfRule type="expression" dxfId="2469" priority="1">
      <formula>K36&gt;0</formula>
    </cfRule>
    <cfRule type="expression" dxfId="246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184.43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184.43</v>
      </c>
      <c r="R4" s="490">
        <v>1.24E-2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202.87300000000002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201.02870000000001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199.18440000000001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197.34010000000001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195.49580000000003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193.65150000000003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191.80720000000002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189.96290000000002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188.11860000000001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186.27430000000001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184.43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182.5857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180.7414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178.89709999999999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177.05279999999999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175.20849999999999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173.36419999999998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171.51990000000001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169.6756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167.8313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165.98700000000002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67" priority="35">
      <formula>N19&gt;0</formula>
    </cfRule>
    <cfRule type="expression" dxfId="24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65" priority="21">
      <formula>F25&gt;0</formula>
    </cfRule>
    <cfRule type="expression" dxfId="2464" priority="22">
      <formula>F25&lt;0</formula>
    </cfRule>
  </conditionalFormatting>
  <conditionalFormatting sqref="H25:H47">
    <cfRule type="expression" dxfId="2463" priority="19">
      <formula>H25&gt;0</formula>
    </cfRule>
    <cfRule type="expression" dxfId="2462" priority="20">
      <formula>H25&lt;0</formula>
    </cfRule>
  </conditionalFormatting>
  <conditionalFormatting sqref="I25:I27">
    <cfRule type="expression" dxfId="2461" priority="15">
      <formula>I25&gt;0</formula>
    </cfRule>
    <cfRule type="expression" dxfId="2460" priority="16">
      <formula>I25&lt;0</formula>
    </cfRule>
  </conditionalFormatting>
  <conditionalFormatting sqref="Q7">
    <cfRule type="expression" dxfId="2459" priority="5">
      <formula>Q7&gt;0</formula>
    </cfRule>
    <cfRule type="expression" dxfId="2458" priority="6">
      <formula>Q7&lt;0</formula>
    </cfRule>
  </conditionalFormatting>
  <conditionalFormatting sqref="Q8">
    <cfRule type="expression" dxfId="2457" priority="3">
      <formula>Q8&gt;0</formula>
    </cfRule>
    <cfRule type="expression" dxfId="24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98.21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98.21</v>
      </c>
      <c r="R4" s="475">
        <v>-3.7000000000000002E-3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108.03100000000001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107.0489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106.0668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105.0847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104.1026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103.12049999999999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102.13839999999999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101.1563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100.1742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99.192099999999996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98.21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97.227899999999991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96.245799999999988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95.263699999999986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94.281599999999997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93.299499999999995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92.317399999999992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91.335300000000004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90.353200000000001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89.371099999999998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88.388999999999996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55" priority="9">
      <formula>F36&gt;0</formula>
    </cfRule>
    <cfRule type="expression" dxfId="2454" priority="10">
      <formula>F36&lt;0</formula>
    </cfRule>
  </conditionalFormatting>
  <conditionalFormatting sqref="F25:F35">
    <cfRule type="expression" dxfId="2453" priority="7">
      <formula>F25&gt;0</formula>
    </cfRule>
    <cfRule type="expression" dxfId="2452" priority="8">
      <formula>F25&lt;0</formula>
    </cfRule>
  </conditionalFormatting>
  <conditionalFormatting sqref="H25:H35">
    <cfRule type="expression" dxfId="2451" priority="5">
      <formula>H25&gt;0</formula>
    </cfRule>
    <cfRule type="expression" dxfId="2450" priority="6">
      <formula>H25&lt;0</formula>
    </cfRule>
  </conditionalFormatting>
  <conditionalFormatting sqref="Q7">
    <cfRule type="expression" dxfId="2449" priority="3">
      <formula>Q7&gt;0</formula>
    </cfRule>
    <cfRule type="expression" dxfId="2448" priority="4">
      <formula>Q7&lt;0</formula>
    </cfRule>
  </conditionalFormatting>
  <conditionalFormatting sqref="Q8">
    <cfRule type="expression" dxfId="2447" priority="1">
      <formula>Q8&gt;0</formula>
    </cfRule>
    <cfRule type="expression" dxfId="24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99.73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99.73</v>
      </c>
      <c r="R4" s="495">
        <v>-7.4999999999999997E-3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109.70300000000002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108.70570000000001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107.70840000000001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106.71110000000002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105.71380000000001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104.71650000000001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103.7192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102.72190000000001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101.72460000000001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100.7273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99.73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98.732700000000008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97.735399999999998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96.738100000000003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95.740800000000007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94.743499999999997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93.746200000000002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92.748900000000006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91.75160000000001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90.754300000000001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89.757000000000005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45" priority="37">
      <formula>F25&gt;0</formula>
    </cfRule>
    <cfRule type="expression" dxfId="2444" priority="38">
      <formula>F25&lt;0</formula>
    </cfRule>
  </conditionalFormatting>
  <conditionalFormatting sqref="Q7">
    <cfRule type="expression" dxfId="2443" priority="35">
      <formula>Q7&gt;0</formula>
    </cfRule>
    <cfRule type="expression" dxfId="2442" priority="36">
      <formula>Q7&lt;0</formula>
    </cfRule>
  </conditionalFormatting>
  <conditionalFormatting sqref="Q8">
    <cfRule type="expression" dxfId="2441" priority="33">
      <formula>Q8&gt;0</formula>
    </cfRule>
    <cfRule type="expression" dxfId="2440" priority="34">
      <formula>Q8&lt;0</formula>
    </cfRule>
  </conditionalFormatting>
  <conditionalFormatting sqref="F44:F46">
    <cfRule type="expression" dxfId="2439" priority="31">
      <formula>F44&gt;0</formula>
    </cfRule>
    <cfRule type="expression" dxfId="2438" priority="32">
      <formula>F44&lt;0</formula>
    </cfRule>
  </conditionalFormatting>
  <conditionalFormatting sqref="H44:H46">
    <cfRule type="expression" dxfId="2437" priority="29">
      <formula>H44&gt;0</formula>
    </cfRule>
    <cfRule type="expression" dxfId="2436" priority="30">
      <formula>H44&lt;0</formula>
    </cfRule>
  </conditionalFormatting>
  <conditionalFormatting sqref="F89:F110">
    <cfRule type="expression" dxfId="2435" priority="27">
      <formula>F89&gt;0</formula>
    </cfRule>
    <cfRule type="expression" dxfId="2434" priority="28">
      <formula>F89&lt;0</formula>
    </cfRule>
  </conditionalFormatting>
  <conditionalFormatting sqref="H89:H110">
    <cfRule type="expression" dxfId="2433" priority="25">
      <formula>H89&gt;0</formula>
    </cfRule>
    <cfRule type="expression" dxfId="2432" priority="26">
      <formula>H89&lt;0</formula>
    </cfRule>
  </conditionalFormatting>
  <conditionalFormatting sqref="Q10">
    <cfRule type="expression" dxfId="2431" priority="23">
      <formula>Q10&gt;0</formula>
    </cfRule>
    <cfRule type="expression" dxfId="2430" priority="24">
      <formula>Q10&lt;0</formula>
    </cfRule>
  </conditionalFormatting>
  <conditionalFormatting sqref="J25:J38">
    <cfRule type="expression" dxfId="2429" priority="21">
      <formula>J25&gt;0</formula>
    </cfRule>
    <cfRule type="expression" dxfId="2428" priority="22">
      <formula>J25&lt;0</formula>
    </cfRule>
  </conditionalFormatting>
  <conditionalFormatting sqref="K25:K38">
    <cfRule type="expression" dxfId="2427" priority="19">
      <formula>K25&gt;0</formula>
    </cfRule>
    <cfRule type="expression" dxfId="2426" priority="20">
      <formula>K25&lt;0</formula>
    </cfRule>
  </conditionalFormatting>
  <conditionalFormatting sqref="L25:L38">
    <cfRule type="expression" dxfId="2425" priority="17">
      <formula>L25&gt;0</formula>
    </cfRule>
    <cfRule type="expression" dxfId="2424" priority="18">
      <formula>L25&lt;0</formula>
    </cfRule>
  </conditionalFormatting>
  <conditionalFormatting sqref="J40">
    <cfRule type="expression" dxfId="2423" priority="15">
      <formula>J40&gt;0</formula>
    </cfRule>
    <cfRule type="expression" dxfId="2422" priority="16">
      <formula>J40&lt;0</formula>
    </cfRule>
  </conditionalFormatting>
  <conditionalFormatting sqref="L39">
    <cfRule type="expression" dxfId="2421" priority="11">
      <formula>L39&gt;0</formula>
    </cfRule>
    <cfRule type="expression" dxfId="2420" priority="12">
      <formula>L39&lt;0</formula>
    </cfRule>
  </conditionalFormatting>
  <conditionalFormatting sqref="F39">
    <cfRule type="expression" dxfId="2419" priority="9">
      <formula>F39&gt;0</formula>
    </cfRule>
    <cfRule type="expression" dxfId="2418" priority="10">
      <formula>F39&lt;0</formula>
    </cfRule>
  </conditionalFormatting>
  <conditionalFormatting sqref="H39">
    <cfRule type="expression" dxfId="2417" priority="7">
      <formula>H39&gt;0</formula>
    </cfRule>
    <cfRule type="expression" dxfId="2416" priority="8">
      <formula>H39&lt;0</formula>
    </cfRule>
  </conditionalFormatting>
  <conditionalFormatting sqref="J41">
    <cfRule type="expression" dxfId="2415" priority="5">
      <formula>J41&gt;0</formula>
    </cfRule>
    <cfRule type="expression" dxfId="2414" priority="6">
      <formula>J41&lt;0</formula>
    </cfRule>
  </conditionalFormatting>
  <conditionalFormatting sqref="J43">
    <cfRule type="expression" dxfId="2413" priority="3">
      <formula>J43&gt;0</formula>
    </cfRule>
    <cfRule type="expression" dxfId="2412" priority="4">
      <formula>J43&lt;0</formula>
    </cfRule>
  </conditionalFormatting>
  <conditionalFormatting sqref="J44">
    <cfRule type="expression" dxfId="2411" priority="1">
      <formula>J44&gt;0</formula>
    </cfRule>
    <cfRule type="expression" dxfId="24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36.11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36.11</v>
      </c>
      <c r="R4" s="475">
        <v>-8.0000000000000004E-4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39.721000000000004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39.359900000000003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38.998800000000003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38.637700000000002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38.276600000000002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37.915500000000002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37.554400000000001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37.193300000000001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36.8322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36.4711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36.11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35.748899999999999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35.387799999999999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35.026699999999998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34.665599999999998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34.304499999999997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33.943399999999997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33.582300000000004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33.221200000000003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32.860100000000003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32.499000000000002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09" priority="31">
      <formula>F29&gt;0</formula>
    </cfRule>
    <cfRule type="expression" dxfId="2408" priority="32">
      <formula>F29&lt;0</formula>
    </cfRule>
  </conditionalFormatting>
  <conditionalFormatting sqref="F29 F31:F35">
    <cfRule type="expression" dxfId="2407" priority="33">
      <formula>F29&gt;0</formula>
    </cfRule>
    <cfRule type="expression" dxfId="2406" priority="34">
      <formula>F29&lt;0</formula>
    </cfRule>
  </conditionalFormatting>
  <conditionalFormatting sqref="H29 H31:H35">
    <cfRule type="expression" dxfId="2405" priority="29">
      <formula>H29&gt;0</formula>
    </cfRule>
    <cfRule type="expression" dxfId="2404" priority="30">
      <formula>H29&lt;0</formula>
    </cfRule>
  </conditionalFormatting>
  <conditionalFormatting sqref="F21:F28">
    <cfRule type="expression" dxfId="2403" priority="27">
      <formula>F21&gt;0</formula>
    </cfRule>
    <cfRule type="expression" dxfId="2402" priority="28">
      <formula>F21&lt;0</formula>
    </cfRule>
  </conditionalFormatting>
  <conditionalFormatting sqref="H21:H28">
    <cfRule type="expression" dxfId="2401" priority="25">
      <formula>H21&gt;0</formula>
    </cfRule>
    <cfRule type="expression" dxfId="2400" priority="26">
      <formula>H21&lt;0</formula>
    </cfRule>
  </conditionalFormatting>
  <conditionalFormatting sqref="Q8">
    <cfRule type="expression" dxfId="2399" priority="21">
      <formula>Q8&gt;0</formula>
    </cfRule>
    <cfRule type="expression" dxfId="2398" priority="22">
      <formula>Q8&lt;0</formula>
    </cfRule>
  </conditionalFormatting>
  <conditionalFormatting sqref="Q7">
    <cfRule type="expression" dxfId="2397" priority="23">
      <formula>Q7&gt;0</formula>
    </cfRule>
    <cfRule type="expression" dxfId="2396" priority="24">
      <formula>Q7&lt;0</formula>
    </cfRule>
  </conditionalFormatting>
  <conditionalFormatting sqref="F30">
    <cfRule type="expression" dxfId="2395" priority="19">
      <formula>F30&gt;0</formula>
    </cfRule>
    <cfRule type="expression" dxfId="2394" priority="20">
      <formula>F30&lt;0</formula>
    </cfRule>
  </conditionalFormatting>
  <conditionalFormatting sqref="H30">
    <cfRule type="expression" dxfId="2393" priority="17">
      <formula>H30&gt;0</formula>
    </cfRule>
    <cfRule type="expression" dxfId="2392" priority="18">
      <formula>H30&lt;0</formula>
    </cfRule>
  </conditionalFormatting>
  <conditionalFormatting sqref="F68 F70:F74">
    <cfRule type="expression" dxfId="2391" priority="13">
      <formula>F68&gt;0</formula>
    </cfRule>
    <cfRule type="expression" dxfId="2390" priority="14">
      <formula>F68&lt;0</formula>
    </cfRule>
  </conditionalFormatting>
  <conditionalFormatting sqref="F68 F70:F74">
    <cfRule type="expression" dxfId="2389" priority="15">
      <formula>F68&gt;0</formula>
    </cfRule>
    <cfRule type="expression" dxfId="2388" priority="16">
      <formula>F68&lt;0</formula>
    </cfRule>
  </conditionalFormatting>
  <conditionalFormatting sqref="H68 H70:H74">
    <cfRule type="expression" dxfId="2387" priority="11">
      <formula>H68&gt;0</formula>
    </cfRule>
    <cfRule type="expression" dxfId="2386" priority="12">
      <formula>H68&lt;0</formula>
    </cfRule>
  </conditionalFormatting>
  <conditionalFormatting sqref="F60:F67">
    <cfRule type="expression" dxfId="2385" priority="9">
      <formula>F60&gt;0</formula>
    </cfRule>
    <cfRule type="expression" dxfId="2384" priority="10">
      <formula>F60&lt;0</formula>
    </cfRule>
  </conditionalFormatting>
  <conditionalFormatting sqref="H60:H67">
    <cfRule type="expression" dxfId="2383" priority="7">
      <formula>H60&gt;0</formula>
    </cfRule>
    <cfRule type="expression" dxfId="2382" priority="8">
      <formula>H60&lt;0</formula>
    </cfRule>
  </conditionalFormatting>
  <conditionalFormatting sqref="F69">
    <cfRule type="expression" dxfId="2381" priority="5">
      <formula>F69&gt;0</formula>
    </cfRule>
    <cfRule type="expression" dxfId="2380" priority="6">
      <formula>F69&lt;0</formula>
    </cfRule>
  </conditionalFormatting>
  <conditionalFormatting sqref="H69">
    <cfRule type="expression" dxfId="2379" priority="3">
      <formula>H69&gt;0</formula>
    </cfRule>
    <cfRule type="expression" dxfId="2378" priority="4">
      <formula>H69&lt;0</formula>
    </cfRule>
  </conditionalFormatting>
  <conditionalFormatting sqref="Q10">
    <cfRule type="expression" dxfId="2377" priority="1">
      <formula>Q10&gt;0</formula>
    </cfRule>
    <cfRule type="expression" dxfId="23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47.68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47.68</v>
      </c>
      <c r="R4" s="475">
        <v>-9.5999999999999992E-3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52.448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51.971200000000003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51.494400000000006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51.017600000000002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50.540800000000004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50.064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49.587200000000003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49.110399999999998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48.633600000000001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48.156799999999997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47.68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47.203200000000002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46.726399999999998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46.249600000000001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45.772799999999997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45.295999999999999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44.819199999999995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44.342400000000005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43.865600000000001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43.388800000000003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42.911999999999999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75" priority="11">
      <formula>F33&gt;0</formula>
    </cfRule>
    <cfRule type="expression" dxfId="2374" priority="12">
      <formula>F33&lt;0</formula>
    </cfRule>
  </conditionalFormatting>
  <conditionalFormatting sqref="Q7">
    <cfRule type="expression" dxfId="2373" priority="9">
      <formula>Q7&gt;0</formula>
    </cfRule>
    <cfRule type="expression" dxfId="2372" priority="10">
      <formula>Q7&lt;0</formula>
    </cfRule>
  </conditionalFormatting>
  <conditionalFormatting sqref="Q8">
    <cfRule type="expression" dxfId="2371" priority="7">
      <formula>Q8&gt;0</formula>
    </cfRule>
    <cfRule type="expression" dxfId="2370" priority="8">
      <formula>Q8&lt;0</formula>
    </cfRule>
  </conditionalFormatting>
  <conditionalFormatting sqref="F25:F32">
    <cfRule type="expression" dxfId="2369" priority="5">
      <formula>F25&gt;0</formula>
    </cfRule>
    <cfRule type="expression" dxfId="2368" priority="6">
      <formula>F25&lt;0</formula>
    </cfRule>
  </conditionalFormatting>
  <conditionalFormatting sqref="H25:H32">
    <cfRule type="expression" dxfId="2367" priority="3">
      <formula>H25&gt;0</formula>
    </cfRule>
    <cfRule type="expression" dxfId="2366" priority="4">
      <formula>H25&lt;0</formula>
    </cfRule>
  </conditionalFormatting>
  <conditionalFormatting sqref="Q10">
    <cfRule type="expression" dxfId="2365" priority="1">
      <formula>Q10&gt;0</formula>
    </cfRule>
    <cfRule type="expression" dxfId="23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12.77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12.77</v>
      </c>
      <c r="R4" s="475">
        <v>1.03E-2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39.90625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14.685499999999998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14.557799999999999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14.430099999999998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14.3024</v>
      </c>
      <c r="X19" s="134"/>
    </row>
    <row r="20" spans="1:39" x14ac:dyDescent="0.25">
      <c r="O20" s="81">
        <v>1.1100000000000001</v>
      </c>
      <c r="P20" s="81">
        <f t="shared" si="5"/>
        <v>14.174700000000001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14.047000000000001</v>
      </c>
      <c r="X21" s="134"/>
    </row>
    <row r="22" spans="1:39" x14ac:dyDescent="0.25">
      <c r="O22" s="81">
        <v>1.0900000000000001</v>
      </c>
      <c r="P22" s="81">
        <f t="shared" si="5"/>
        <v>13.9193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13.791600000000001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13.6639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13.536200000000001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13.4085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13.280799999999999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13.1531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13.025399999999999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12.8977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12.77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12.642299999999999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12.5146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12.386899999999999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12.2592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12.131499999999999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12.003799999999998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11.876100000000001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11.7484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11.620699999999999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11.493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11.3653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11.2376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11.1099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63" priority="75">
      <formula>F32&gt;0</formula>
    </cfRule>
    <cfRule type="expression" dxfId="2362" priority="76">
      <formula>F32&lt;0</formula>
    </cfRule>
  </conditionalFormatting>
  <conditionalFormatting sqref="Q7">
    <cfRule type="expression" dxfId="2361" priority="73">
      <formula>Q7&gt;0</formula>
    </cfRule>
    <cfRule type="expression" dxfId="2360" priority="74">
      <formula>Q7&lt;0</formula>
    </cfRule>
  </conditionalFormatting>
  <conditionalFormatting sqref="Q8">
    <cfRule type="expression" dxfId="2359" priority="71">
      <formula>Q8&gt;0</formula>
    </cfRule>
    <cfRule type="expression" dxfId="235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57" priority="63">
      <formula>M58&gt;0</formula>
    </cfRule>
    <cfRule type="expression" dxfId="2356" priority="64">
      <formula>M58&lt;0</formula>
    </cfRule>
  </conditionalFormatting>
  <conditionalFormatting sqref="Q10">
    <cfRule type="expression" dxfId="2355" priority="61">
      <formula>Q10&gt;0</formula>
    </cfRule>
    <cfRule type="expression" dxfId="2354" priority="62">
      <formula>Q10&lt;0</formula>
    </cfRule>
  </conditionalFormatting>
  <conditionalFormatting sqref="F29:F31">
    <cfRule type="expression" dxfId="2353" priority="59">
      <formula>F29&gt;0</formula>
    </cfRule>
    <cfRule type="expression" dxfId="2352" priority="60">
      <formula>F29&lt;0</formula>
    </cfRule>
  </conditionalFormatting>
  <conditionalFormatting sqref="H29:H31">
    <cfRule type="expression" dxfId="2351" priority="57">
      <formula>H29&gt;0</formula>
    </cfRule>
    <cfRule type="expression" dxfId="2350" priority="58">
      <formula>H29&lt;0</formula>
    </cfRule>
  </conditionalFormatting>
  <conditionalFormatting sqref="F83:F94">
    <cfRule type="expression" dxfId="2349" priority="55">
      <formula>F83&gt;0</formula>
    </cfRule>
    <cfRule type="expression" dxfId="2348" priority="56">
      <formula>F83&lt;0</formula>
    </cfRule>
  </conditionalFormatting>
  <conditionalFormatting sqref="H83:H94">
    <cfRule type="expression" dxfId="2347" priority="53">
      <formula>H83&gt;0</formula>
    </cfRule>
    <cfRule type="expression" dxfId="2346" priority="54">
      <formula>H83&lt;0</formula>
    </cfRule>
  </conditionalFormatting>
  <conditionalFormatting sqref="J41">
    <cfRule type="expression" dxfId="2345" priority="51">
      <formula>J41&gt;0</formula>
    </cfRule>
    <cfRule type="expression" dxfId="2344" priority="52">
      <formula>J41&lt;0</formula>
    </cfRule>
  </conditionalFormatting>
  <conditionalFormatting sqref="J39:J47">
    <cfRule type="expression" dxfId="2343" priority="49">
      <formula>J39&gt;0</formula>
    </cfRule>
    <cfRule type="expression" dxfId="2342" priority="50">
      <formula>J39&lt;0</formula>
    </cfRule>
  </conditionalFormatting>
  <conditionalFormatting sqref="F48:F51 H48:H51">
    <cfRule type="expression" dxfId="2341" priority="47">
      <formula>F48&gt;0</formula>
    </cfRule>
    <cfRule type="expression" dxfId="2340" priority="48">
      <formula>F48&lt;0</formula>
    </cfRule>
  </conditionalFormatting>
  <conditionalFormatting sqref="J48:J57">
    <cfRule type="expression" dxfId="2339" priority="45">
      <formula>J48&gt;0</formula>
    </cfRule>
    <cfRule type="expression" dxfId="2338" priority="46">
      <formula>J48&lt;0</formula>
    </cfRule>
  </conditionalFormatting>
  <conditionalFormatting sqref="K45:K52">
    <cfRule type="expression" dxfId="2337" priority="43">
      <formula>K45&gt;0</formula>
    </cfRule>
    <cfRule type="expression" dxfId="2336" priority="44">
      <formula>K45&lt;0</formula>
    </cfRule>
  </conditionalFormatting>
  <conditionalFormatting sqref="K45:K52">
    <cfRule type="expression" dxfId="2335" priority="41">
      <formula>K45&gt;0</formula>
    </cfRule>
    <cfRule type="expression" dxfId="2334" priority="42">
      <formula>K45&lt;0</formula>
    </cfRule>
  </conditionalFormatting>
  <conditionalFormatting sqref="F102:F118 H102:H118 H120:H128 F120:F128">
    <cfRule type="expression" dxfId="2333" priority="37">
      <formula>F102&gt;0</formula>
    </cfRule>
    <cfRule type="expression" dxfId="2332" priority="38">
      <formula>F102&lt;0</formula>
    </cfRule>
  </conditionalFormatting>
  <conditionalFormatting sqref="F96:F101">
    <cfRule type="expression" dxfId="2331" priority="35">
      <formula>F96&gt;0</formula>
    </cfRule>
    <cfRule type="expression" dxfId="2330" priority="36">
      <formula>F96&lt;0</formula>
    </cfRule>
  </conditionalFormatting>
  <conditionalFormatting sqref="H96:H101">
    <cfRule type="expression" dxfId="2329" priority="33">
      <formula>H96&gt;0</formula>
    </cfRule>
    <cfRule type="expression" dxfId="2328" priority="34">
      <formula>H96&lt;0</formula>
    </cfRule>
  </conditionalFormatting>
  <conditionalFormatting sqref="J112">
    <cfRule type="expression" dxfId="2327" priority="31">
      <formula>J112&gt;0</formula>
    </cfRule>
    <cfRule type="expression" dxfId="2326" priority="32">
      <formula>J112&lt;0</formula>
    </cfRule>
  </conditionalFormatting>
  <conditionalFormatting sqref="J110:J118 J120">
    <cfRule type="expression" dxfId="2325" priority="29">
      <formula>J110&gt;0</formula>
    </cfRule>
    <cfRule type="expression" dxfId="2324" priority="30">
      <formula>J110&lt;0</formula>
    </cfRule>
  </conditionalFormatting>
  <conditionalFormatting sqref="F119 H119">
    <cfRule type="expression" dxfId="2323" priority="27">
      <formula>F119&gt;0</formula>
    </cfRule>
    <cfRule type="expression" dxfId="2322" priority="28">
      <formula>F119&lt;0</formula>
    </cfRule>
  </conditionalFormatting>
  <conditionalFormatting sqref="J119">
    <cfRule type="expression" dxfId="2321" priority="25">
      <formula>J119&gt;0</formula>
    </cfRule>
    <cfRule type="expression" dxfId="2320" priority="26">
      <formula>J119&lt;0</formula>
    </cfRule>
  </conditionalFormatting>
  <conditionalFormatting sqref="K112:K123">
    <cfRule type="expression" dxfId="2319" priority="23">
      <formula>K112&gt;0</formula>
    </cfRule>
    <cfRule type="expression" dxfId="2318" priority="24">
      <formula>K112&lt;0</formula>
    </cfRule>
  </conditionalFormatting>
  <conditionalFormatting sqref="K110:K123">
    <cfRule type="expression" dxfId="2317" priority="21">
      <formula>K110&gt;0</formula>
    </cfRule>
    <cfRule type="expression" dxfId="2316" priority="22">
      <formula>K110&lt;0</formula>
    </cfRule>
  </conditionalFormatting>
  <conditionalFormatting sqref="J121">
    <cfRule type="expression" dxfId="2315" priority="19">
      <formula>J121&gt;0</formula>
    </cfRule>
    <cfRule type="expression" dxfId="2314" priority="20">
      <formula>J121&lt;0</formula>
    </cfRule>
  </conditionalFormatting>
  <conditionalFormatting sqref="F25:F28">
    <cfRule type="expression" dxfId="2313" priority="17">
      <formula>F25&gt;0</formula>
    </cfRule>
    <cfRule type="expression" dxfId="2312" priority="18">
      <formula>F25&lt;0</formula>
    </cfRule>
  </conditionalFormatting>
  <conditionalFormatting sqref="H25:H28">
    <cfRule type="expression" dxfId="2311" priority="15">
      <formula>H25&gt;0</formula>
    </cfRule>
    <cfRule type="expression" dxfId="2310" priority="16">
      <formula>H25&lt;0</formula>
    </cfRule>
  </conditionalFormatting>
  <conditionalFormatting sqref="J27:J29">
    <cfRule type="expression" dxfId="2309" priority="13">
      <formula>J27&gt;0</formula>
    </cfRule>
    <cfRule type="expression" dxfId="2308" priority="14">
      <formula>J27&lt;0</formula>
    </cfRule>
  </conditionalFormatting>
  <conditionalFormatting sqref="J30:J31">
    <cfRule type="expression" dxfId="2307" priority="11">
      <formula>J30&gt;0</formula>
    </cfRule>
    <cfRule type="expression" dxfId="2306" priority="12">
      <formula>J30&lt;0</formula>
    </cfRule>
  </conditionalFormatting>
  <conditionalFormatting sqref="J33">
    <cfRule type="expression" dxfId="2305" priority="9">
      <formula>J33&gt;0</formula>
    </cfRule>
    <cfRule type="expression" dxfId="2304" priority="10">
      <formula>J33&lt;0</formula>
    </cfRule>
  </conditionalFormatting>
  <conditionalFormatting sqref="J34">
    <cfRule type="expression" dxfId="2303" priority="7">
      <formula>J34&gt;0</formula>
    </cfRule>
    <cfRule type="expression" dxfId="2302" priority="8">
      <formula>J34&lt;0</formula>
    </cfRule>
  </conditionalFormatting>
  <conditionalFormatting sqref="J35:J43">
    <cfRule type="expression" dxfId="2301" priority="5">
      <formula>J35&gt;0</formula>
    </cfRule>
    <cfRule type="expression" dxfId="230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99" priority="1">
      <formula>Q9&gt;0</formula>
    </cfRule>
    <cfRule type="expression" dxfId="229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51.17</v>
      </c>
      <c r="R4" s="475">
        <v>-2.0999999999999999E-3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8" t="s">
        <v>78</v>
      </c>
      <c r="P40" s="84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56.287000000000006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55.775300000000009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55.263600000000004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54.751900000000006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54.240200000000002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53.728500000000004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53.216800000000006</v>
      </c>
      <c r="Q47" s="2"/>
    </row>
    <row r="48" spans="2:17" x14ac:dyDescent="0.25">
      <c r="O48" s="81">
        <v>1.03</v>
      </c>
      <c r="P48" s="81">
        <f t="shared" si="4"/>
        <v>52.705100000000002</v>
      </c>
      <c r="Q48" s="2"/>
    </row>
    <row r="49" spans="1:17" x14ac:dyDescent="0.25">
      <c r="O49" s="81">
        <v>1.02</v>
      </c>
      <c r="P49" s="81">
        <f t="shared" si="4"/>
        <v>52.193400000000004</v>
      </c>
      <c r="Q49" s="2"/>
    </row>
    <row r="50" spans="1:17" x14ac:dyDescent="0.25">
      <c r="O50" s="81">
        <v>1.01</v>
      </c>
      <c r="P50" s="81">
        <f t="shared" si="4"/>
        <v>51.681699999999999</v>
      </c>
      <c r="Q50" s="2"/>
    </row>
    <row r="51" spans="1:17" x14ac:dyDescent="0.25">
      <c r="O51" s="81">
        <v>1</v>
      </c>
      <c r="P51" s="81">
        <f t="shared" si="4"/>
        <v>51.17</v>
      </c>
      <c r="Q51" s="2"/>
    </row>
    <row r="52" spans="1:17" x14ac:dyDescent="0.25">
      <c r="O52" s="81">
        <v>0.99</v>
      </c>
      <c r="P52" s="81">
        <f t="shared" si="4"/>
        <v>50.658300000000004</v>
      </c>
      <c r="Q52" s="2"/>
    </row>
    <row r="53" spans="1:17" x14ac:dyDescent="0.25">
      <c r="O53" s="81">
        <v>0.98</v>
      </c>
      <c r="P53" s="81">
        <f t="shared" si="4"/>
        <v>50.146599999999999</v>
      </c>
      <c r="Q53" s="2"/>
    </row>
    <row r="54" spans="1:17" x14ac:dyDescent="0.25">
      <c r="O54" s="81">
        <v>0.97</v>
      </c>
      <c r="P54" s="81">
        <f t="shared" si="4"/>
        <v>49.634900000000002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49.123199999999997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48.611499999999999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48.099800000000002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47.588100000000004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47.076400000000007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46.564700000000002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46.053000000000004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97" priority="15">
      <formula>F39&gt;0</formula>
    </cfRule>
    <cfRule type="expression" dxfId="2296" priority="16">
      <formula>F39&lt;0</formula>
    </cfRule>
  </conditionalFormatting>
  <conditionalFormatting sqref="Q7">
    <cfRule type="expression" dxfId="2295" priority="13">
      <formula>Q7&gt;0</formula>
    </cfRule>
    <cfRule type="expression" dxfId="2294" priority="14">
      <formula>Q7&lt;0</formula>
    </cfRule>
  </conditionalFormatting>
  <conditionalFormatting sqref="Q8">
    <cfRule type="expression" dxfId="2293" priority="11">
      <formula>Q8&gt;0</formula>
    </cfRule>
    <cfRule type="expression" dxfId="2292" priority="12">
      <formula>Q8&lt;0</formula>
    </cfRule>
  </conditionalFormatting>
  <conditionalFormatting sqref="F25:F38">
    <cfRule type="expression" dxfId="2291" priority="9">
      <formula>F25&gt;0</formula>
    </cfRule>
    <cfRule type="expression" dxfId="2290" priority="10">
      <formula>F25&lt;0</formula>
    </cfRule>
  </conditionalFormatting>
  <conditionalFormatting sqref="H25:H38">
    <cfRule type="expression" dxfId="2289" priority="7">
      <formula>H25&gt;0</formula>
    </cfRule>
    <cfRule type="expression" dxfId="2288" priority="8">
      <formula>H25&lt;0</formula>
    </cfRule>
  </conditionalFormatting>
  <conditionalFormatting sqref="M55">
    <cfRule type="expression" dxfId="2287" priority="3">
      <formula>M55&gt;0</formula>
    </cfRule>
    <cfRule type="expression" dxfId="2286" priority="4">
      <formula>M55&lt;0</formula>
    </cfRule>
  </conditionalFormatting>
  <conditionalFormatting sqref="Q10">
    <cfRule type="expression" dxfId="2285" priority="1">
      <formula>Q10&gt;0</formula>
    </cfRule>
    <cfRule type="expression" dxfId="22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40.35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40.35</v>
      </c>
      <c r="R4" s="475">
        <v>4.7000000000000002E-3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44.385000000000005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43.981500000000004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43.578000000000003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43.174500000000002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42.771000000000001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42.367500000000007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41.964000000000006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41.560500000000005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41.157000000000004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40.753500000000003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40.35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39.9465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39.542999999999999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39.139499999999998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38.735999999999997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38.332499999999996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37.929000000000002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37.525500000000001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37.122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36.718500000000006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36.315000000000005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83" priority="27">
      <formula>F27&gt;0</formula>
    </cfRule>
    <cfRule type="expression" dxfId="22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81" priority="15">
      <formula>Q8&gt;0</formula>
    </cfRule>
    <cfRule type="expression" dxfId="2280" priority="16">
      <formula>Q8&lt;0</formula>
    </cfRule>
  </conditionalFormatting>
  <conditionalFormatting sqref="Q7">
    <cfRule type="expression" dxfId="2279" priority="17">
      <formula>Q7&gt;0</formula>
    </cfRule>
    <cfRule type="expression" dxfId="2278" priority="18">
      <formula>Q7&lt;0</formula>
    </cfRule>
  </conditionalFormatting>
  <conditionalFormatting sqref="F37:F38">
    <cfRule type="expression" dxfId="2277" priority="13">
      <formula>F37&gt;0</formula>
    </cfRule>
    <cfRule type="expression" dxfId="2276" priority="14">
      <formula>F37&lt;0</formula>
    </cfRule>
  </conditionalFormatting>
  <conditionalFormatting sqref="H37:H38">
    <cfRule type="expression" dxfId="2275" priority="11">
      <formula>H37&gt;0</formula>
    </cfRule>
    <cfRule type="expression" dxfId="2274" priority="12">
      <formula>H37&lt;0</formula>
    </cfRule>
  </conditionalFormatting>
  <conditionalFormatting sqref="F23:F26 H23:H26">
    <cfRule type="expression" dxfId="2273" priority="9">
      <formula>F23&gt;0</formula>
    </cfRule>
    <cfRule type="expression" dxfId="2272" priority="10">
      <formula>F23&lt;0</formula>
    </cfRule>
  </conditionalFormatting>
  <conditionalFormatting sqref="Q10">
    <cfRule type="expression" dxfId="2271" priority="3">
      <formula>Q10&gt;0</formula>
    </cfRule>
    <cfRule type="expression" dxfId="2270" priority="4">
      <formula>Q10&lt;0</formula>
    </cfRule>
  </conditionalFormatting>
  <conditionalFormatting sqref="F22 H22">
    <cfRule type="expression" dxfId="2269" priority="1">
      <formula>F22&gt;0</formula>
    </cfRule>
    <cfRule type="expression" dxfId="2268" priority="2">
      <formula>F22&lt;0</formula>
    </cfRule>
  </conditionalFormatting>
  <conditionalFormatting sqref="M41">
    <cfRule type="expression" dxfId="2267" priority="5">
      <formula>M41&gt;0</formula>
    </cfRule>
    <cfRule type="expression" dxfId="22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54.91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54.91</v>
      </c>
      <c r="R4" s="475">
        <v>4.4000000000000003E-3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60.401000000000003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59.851900000000001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59.302799999999998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58.753700000000002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58.204599999999999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57.655499999999996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57.106400000000001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56.557299999999998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56.008199999999995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55.459099999999999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54.91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54.360899999999994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53.811799999999998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53.262699999999995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52.713599999999992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52.164499999999997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51.615399999999994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51.066299999999998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50.517200000000003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49.9681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49.418999999999997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65" priority="29">
      <formula>F25&gt;0</formula>
    </cfRule>
    <cfRule type="expression" dxfId="2264" priority="30">
      <formula>F25&lt;0</formula>
    </cfRule>
  </conditionalFormatting>
  <conditionalFormatting sqref="Q7">
    <cfRule type="expression" dxfId="2263" priority="27">
      <formula>Q7&gt;0</formula>
    </cfRule>
    <cfRule type="expression" dxfId="2262" priority="28">
      <formula>Q7&lt;0</formula>
    </cfRule>
  </conditionalFormatting>
  <conditionalFormatting sqref="Q8">
    <cfRule type="expression" dxfId="2261" priority="25">
      <formula>Q8&gt;0</formula>
    </cfRule>
    <cfRule type="expression" dxfId="2260" priority="26">
      <formula>Q8&lt;0</formula>
    </cfRule>
  </conditionalFormatting>
  <conditionalFormatting sqref="Q10">
    <cfRule type="expression" dxfId="2259" priority="13">
      <formula>Q10&gt;0</formula>
    </cfRule>
    <cfRule type="expression" dxfId="2258" priority="14">
      <formula>Q10&lt;0</formula>
    </cfRule>
  </conditionalFormatting>
  <conditionalFormatting sqref="M46">
    <cfRule type="expression" dxfId="2257" priority="11">
      <formula>M46&gt;0</formula>
    </cfRule>
    <cfRule type="expression" dxfId="2256" priority="12">
      <formula>M46&lt;0</formula>
    </cfRule>
  </conditionalFormatting>
  <conditionalFormatting sqref="F80:F88 H80:H88">
    <cfRule type="expression" dxfId="2255" priority="9">
      <formula>F80&gt;0</formula>
    </cfRule>
    <cfRule type="expression" dxfId="2254" priority="10">
      <formula>F80&lt;0</formula>
    </cfRule>
  </conditionalFormatting>
  <conditionalFormatting sqref="F75:F79">
    <cfRule type="expression" dxfId="2253" priority="7">
      <formula>F75&gt;0</formula>
    </cfRule>
    <cfRule type="expression" dxfId="2252" priority="8">
      <formula>F75&lt;0</formula>
    </cfRule>
  </conditionalFormatting>
  <conditionalFormatting sqref="H75:H79">
    <cfRule type="expression" dxfId="2251" priority="5">
      <formula>H75&gt;0</formula>
    </cfRule>
    <cfRule type="expression" dxfId="2250" priority="6">
      <formula>H75&lt;0</formula>
    </cfRule>
  </conditionalFormatting>
  <conditionalFormatting sqref="F71:F74">
    <cfRule type="expression" dxfId="2249" priority="3">
      <formula>F71&gt;0</formula>
    </cfRule>
    <cfRule type="expression" dxfId="2248" priority="4">
      <formula>F71&lt;0</formula>
    </cfRule>
  </conditionalFormatting>
  <conditionalFormatting sqref="H71:H74">
    <cfRule type="expression" dxfId="2247" priority="1">
      <formula>H71&gt;0</formula>
    </cfRule>
    <cfRule type="expression" dxfId="22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33.729999999999997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33.729999999999997</v>
      </c>
      <c r="R4" s="495">
        <v>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37.103000000000002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36.765700000000002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36.428399999999996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36.091099999999997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35.753799999999998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35.416499999999999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35.0792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34.741900000000001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34.404599999999995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34.067299999999996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33.729999999999997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33.392699999999998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33.055399999999999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32.718099999999993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32.380799999999994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32.043499999999995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31.706199999999995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31.3689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31.031599999999997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30.694299999999998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30.356999999999999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45" priority="21">
      <formula>F47&gt;0</formula>
    </cfRule>
    <cfRule type="expression" dxfId="2244" priority="22">
      <formula>F47&lt;0</formula>
    </cfRule>
  </conditionalFormatting>
  <conditionalFormatting sqref="Q7">
    <cfRule type="expression" dxfId="2243" priority="19">
      <formula>Q7&gt;0</formula>
    </cfRule>
    <cfRule type="expression" dxfId="2242" priority="20">
      <formula>Q7&lt;0</formula>
    </cfRule>
  </conditionalFormatting>
  <conditionalFormatting sqref="Q8">
    <cfRule type="expression" dxfId="2241" priority="17">
      <formula>Q8&gt;0</formula>
    </cfRule>
    <cfRule type="expression" dxfId="2240" priority="18">
      <formula>Q8&lt;0</formula>
    </cfRule>
  </conditionalFormatting>
  <conditionalFormatting sqref="F25:F46">
    <cfRule type="expression" dxfId="2239" priority="15">
      <formula>F25&gt;0</formula>
    </cfRule>
    <cfRule type="expression" dxfId="2238" priority="16">
      <formula>F25&lt;0</formula>
    </cfRule>
  </conditionalFormatting>
  <conditionalFormatting sqref="H25:H46">
    <cfRule type="expression" dxfId="2237" priority="13">
      <formula>H25&gt;0</formula>
    </cfRule>
    <cfRule type="expression" dxfId="2236" priority="14">
      <formula>H25&lt;0</formula>
    </cfRule>
  </conditionalFormatting>
  <conditionalFormatting sqref="F89:F110">
    <cfRule type="expression" dxfId="2235" priority="11">
      <formula>F89&gt;0</formula>
    </cfRule>
    <cfRule type="expression" dxfId="2234" priority="12">
      <formula>F89&lt;0</formula>
    </cfRule>
  </conditionalFormatting>
  <conditionalFormatting sqref="H89:H110">
    <cfRule type="expression" dxfId="2233" priority="9">
      <formula>H89&gt;0</formula>
    </cfRule>
    <cfRule type="expression" dxfId="2232" priority="10">
      <formula>H89&lt;0</formula>
    </cfRule>
  </conditionalFormatting>
  <conditionalFormatting sqref="Q10">
    <cfRule type="expression" dxfId="2231" priority="7">
      <formula>Q10&gt;0</formula>
    </cfRule>
    <cfRule type="expression" dxfId="2230" priority="8">
      <formula>Q10&lt;0</formula>
    </cfRule>
  </conditionalFormatting>
  <conditionalFormatting sqref="J25:J38">
    <cfRule type="expression" dxfId="2229" priority="5">
      <formula>J25&gt;0</formula>
    </cfRule>
    <cfRule type="expression" dxfId="2228" priority="6">
      <formula>J25&lt;0</formula>
    </cfRule>
  </conditionalFormatting>
  <conditionalFormatting sqref="K25:K38">
    <cfRule type="expression" dxfId="2227" priority="3">
      <formula>K25&gt;0</formula>
    </cfRule>
    <cfRule type="expression" dxfId="2226" priority="4">
      <formula>K25&lt;0</formula>
    </cfRule>
  </conditionalFormatting>
  <conditionalFormatting sqref="L25:L38">
    <cfRule type="expression" dxfId="2225" priority="1">
      <formula>L25&gt;0</formula>
    </cfRule>
    <cfRule type="expression" dxfId="22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75.72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75.72</v>
      </c>
      <c r="R4" s="475">
        <v>-2.4899999999999999E-2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83.292000000000002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82.534800000000004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81.777600000000007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81.020400000000009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80.263199999999998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79.506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78.748800000000003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77.991600000000005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77.234399999999994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76.477199999999996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75.72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74.962800000000001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74.205600000000004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73.448399999999992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72.691199999999995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71.933999999999997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71.1768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70.419600000000003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69.662400000000005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68.905200000000008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68.147999999999996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23" priority="23">
      <formula>F34&gt;0</formula>
    </cfRule>
    <cfRule type="expression" dxfId="2222" priority="24">
      <formula>F34&lt;0</formula>
    </cfRule>
  </conditionalFormatting>
  <conditionalFormatting sqref="Q7">
    <cfRule type="expression" dxfId="2221" priority="21">
      <formula>Q7&gt;0</formula>
    </cfRule>
    <cfRule type="expression" dxfId="2220" priority="22">
      <formula>Q7&lt;0</formula>
    </cfRule>
  </conditionalFormatting>
  <conditionalFormatting sqref="Q8">
    <cfRule type="expression" dxfId="2219" priority="19">
      <formula>Q8&gt;0</formula>
    </cfRule>
    <cfRule type="expression" dxfId="2218" priority="20">
      <formula>Q8&lt;0</formula>
    </cfRule>
  </conditionalFormatting>
  <conditionalFormatting sqref="F25:F33">
    <cfRule type="expression" dxfId="2217" priority="17">
      <formula>F25&gt;0</formula>
    </cfRule>
    <cfRule type="expression" dxfId="2216" priority="18">
      <formula>F25&lt;0</formula>
    </cfRule>
  </conditionalFormatting>
  <conditionalFormatting sqref="H25:H33">
    <cfRule type="expression" dxfId="2215" priority="15">
      <formula>H25&gt;0</formula>
    </cfRule>
    <cfRule type="expression" dxfId="2214" priority="16">
      <formula>H25&lt;0</formula>
    </cfRule>
  </conditionalFormatting>
  <conditionalFormatting sqref="M46">
    <cfRule type="expression" dxfId="2213" priority="13">
      <formula>M46&gt;0</formula>
    </cfRule>
    <cfRule type="expression" dxfId="2212" priority="14">
      <formula>M46&lt;0</formula>
    </cfRule>
  </conditionalFormatting>
  <conditionalFormatting sqref="F79:F87 H79:H87">
    <cfRule type="expression" dxfId="2211" priority="11">
      <formula>F79&gt;0</formula>
    </cfRule>
    <cfRule type="expression" dxfId="2210" priority="12">
      <formula>F79&lt;0</formula>
    </cfRule>
  </conditionalFormatting>
  <conditionalFormatting sqref="F70:F78">
    <cfRule type="expression" dxfId="2209" priority="9">
      <formula>F70&gt;0</formula>
    </cfRule>
    <cfRule type="expression" dxfId="2208" priority="10">
      <formula>F70&lt;0</formula>
    </cfRule>
  </conditionalFormatting>
  <conditionalFormatting sqref="H70:H78">
    <cfRule type="expression" dxfId="2207" priority="7">
      <formula>H70&gt;0</formula>
    </cfRule>
    <cfRule type="expression" dxfId="2206" priority="8">
      <formula>H70&lt;0</formula>
    </cfRule>
  </conditionalFormatting>
  <conditionalFormatting sqref="J27:K27 J30:K30 J33:K33 J36:K36 J39:K39 J42:K42">
    <cfRule type="expression" dxfId="2205" priority="5">
      <formula>J27&gt;0</formula>
    </cfRule>
    <cfRule type="expression" dxfId="2204" priority="6">
      <formula>J27&lt;0</formula>
    </cfRule>
  </conditionalFormatting>
  <conditionalFormatting sqref="J28:K29 J31:K32 J34:K35 J37:K38 J40:K41">
    <cfRule type="expression" dxfId="2203" priority="3">
      <formula>J28&gt;0</formula>
    </cfRule>
    <cfRule type="expression" dxfId="2202" priority="4">
      <formula>J28&lt;0</formula>
    </cfRule>
  </conditionalFormatting>
  <conditionalFormatting sqref="L27:L42">
    <cfRule type="expression" dxfId="2201" priority="1">
      <formula>L27&gt;0</formula>
    </cfRule>
    <cfRule type="expression" dxfId="22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17.03</v>
      </c>
      <c r="R4" s="475">
        <v>9.7999999999999997E-3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18.733000000000004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18.562700000000003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18.392400000000002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18.222100000000001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18.051800000000004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17.881500000000003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17.711200000000002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17.540900000000001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17.370600000000003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17.200300000000002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17.03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16.8597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16.689399999999999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16.519100000000002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16.348800000000001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16.1785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16.008199999999999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15.837900000000001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15.667600000000002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15.497300000000001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15.327000000000002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99" priority="9">
      <formula>F57&gt;0</formula>
    </cfRule>
    <cfRule type="expression" dxfId="2198" priority="10">
      <formula>F57&lt;0</formula>
    </cfRule>
  </conditionalFormatting>
  <conditionalFormatting sqref="Q7">
    <cfRule type="expression" dxfId="2197" priority="7">
      <formula>Q7&gt;0</formula>
    </cfRule>
    <cfRule type="expression" dxfId="2196" priority="8">
      <formula>Q7&lt;0</formula>
    </cfRule>
  </conditionalFormatting>
  <conditionalFormatting sqref="Q8">
    <cfRule type="expression" dxfId="2195" priority="5">
      <formula>Q8&gt;0</formula>
    </cfRule>
    <cfRule type="expression" dxfId="2194" priority="6">
      <formula>Q8&lt;0</formula>
    </cfRule>
  </conditionalFormatting>
  <conditionalFormatting sqref="F25:F56">
    <cfRule type="expression" dxfId="2193" priority="3">
      <formula>F25&gt;0</formula>
    </cfRule>
    <cfRule type="expression" dxfId="2192" priority="4">
      <formula>F25&lt;0</formula>
    </cfRule>
  </conditionalFormatting>
  <conditionalFormatting sqref="H25:H56">
    <cfRule type="expression" dxfId="2191" priority="1">
      <formula>H25&gt;0</formula>
    </cfRule>
    <cfRule type="expression" dxfId="21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1154</v>
      </c>
      <c r="B2" s="474">
        <v>43278</v>
      </c>
      <c r="C2" s="4">
        <v>100</v>
      </c>
      <c r="D2" s="3">
        <v>51.18</v>
      </c>
      <c r="E2" s="3">
        <v>0</v>
      </c>
      <c r="F2" s="3">
        <f t="shared" ref="F2" si="0"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52.51</v>
      </c>
      <c r="R4" s="495">
        <v>7.4000000000000003E-3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5251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133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2.5986713559984369E-2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3.3517425252332887E-2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6.0916473317865432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498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" si="1">C25*(E25-D25)</f>
        <v>7.0000000000000284</v>
      </c>
      <c r="G25" s="39">
        <f t="shared" ref="G25" si="2">D25*C25</f>
        <v>5118</v>
      </c>
      <c r="H25" s="222">
        <f t="shared" ref="H25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57.761000000000003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57.235900000000001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56.710799999999999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56.185700000000004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55.660600000000002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55.1355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54.610399999999998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54.085299999999997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53.560200000000002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53.0351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52.51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51.984899999999996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51.459799999999994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50.934699999999999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50.409599999999998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49.884499999999996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49.359399999999994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48.834299999999999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48.309199999999997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47.784100000000002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47.259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9" priority="35">
      <formula>F47&gt;0</formula>
    </cfRule>
    <cfRule type="expression" dxfId="2188" priority="36">
      <formula>F47&lt;0</formula>
    </cfRule>
  </conditionalFormatting>
  <conditionalFormatting sqref="Q7">
    <cfRule type="expression" dxfId="2187" priority="33">
      <formula>Q7&gt;0</formula>
    </cfRule>
    <cfRule type="expression" dxfId="2186" priority="34">
      <formula>Q7&lt;0</formula>
    </cfRule>
  </conditionalFormatting>
  <conditionalFormatting sqref="Q8">
    <cfRule type="expression" dxfId="2185" priority="31">
      <formula>Q8&gt;0</formula>
    </cfRule>
    <cfRule type="expression" dxfId="2184" priority="32">
      <formula>Q8&lt;0</formula>
    </cfRule>
  </conditionalFormatting>
  <conditionalFormatting sqref="F30:F46">
    <cfRule type="expression" dxfId="2183" priority="29">
      <formula>F30&gt;0</formula>
    </cfRule>
    <cfRule type="expression" dxfId="2182" priority="30">
      <formula>F30&lt;0</formula>
    </cfRule>
  </conditionalFormatting>
  <conditionalFormatting sqref="H30:H46">
    <cfRule type="expression" dxfId="2181" priority="27">
      <formula>H30&gt;0</formula>
    </cfRule>
    <cfRule type="expression" dxfId="2180" priority="28">
      <formula>H30&lt;0</formula>
    </cfRule>
  </conditionalFormatting>
  <conditionalFormatting sqref="Q10">
    <cfRule type="expression" dxfId="2179" priority="25">
      <formula>Q10&gt;0</formula>
    </cfRule>
    <cfRule type="expression" dxfId="2178" priority="26">
      <formula>Q10&lt;0</formula>
    </cfRule>
  </conditionalFormatting>
  <conditionalFormatting sqref="J27:J38">
    <cfRule type="expression" dxfId="2177" priority="23">
      <formula>J27&gt;0</formula>
    </cfRule>
    <cfRule type="expression" dxfId="2176" priority="24">
      <formula>J27&lt;0</formula>
    </cfRule>
  </conditionalFormatting>
  <conditionalFormatting sqref="K27:K38">
    <cfRule type="expression" dxfId="2175" priority="21">
      <formula>K27&gt;0</formula>
    </cfRule>
    <cfRule type="expression" dxfId="2174" priority="22">
      <formula>K27&lt;0</formula>
    </cfRule>
  </conditionalFormatting>
  <conditionalFormatting sqref="L27:L38">
    <cfRule type="expression" dxfId="2173" priority="19">
      <formula>L27&gt;0</formula>
    </cfRule>
    <cfRule type="expression" dxfId="2172" priority="20">
      <formula>L27&lt;0</formula>
    </cfRule>
  </conditionalFormatting>
  <conditionalFormatting sqref="F89:F110">
    <cfRule type="expression" dxfId="2171" priority="17">
      <formula>F89&gt;0</formula>
    </cfRule>
    <cfRule type="expression" dxfId="2170" priority="18">
      <formula>F89&lt;0</formula>
    </cfRule>
  </conditionalFormatting>
  <conditionalFormatting sqref="H89:H110">
    <cfRule type="expression" dxfId="2169" priority="15">
      <formula>H89&gt;0</formula>
    </cfRule>
    <cfRule type="expression" dxfId="2168" priority="16">
      <formula>H89&lt;0</formula>
    </cfRule>
  </conditionalFormatting>
  <conditionalFormatting sqref="J89:J102">
    <cfRule type="expression" dxfId="2167" priority="13">
      <formula>J89&gt;0</formula>
    </cfRule>
    <cfRule type="expression" dxfId="2166" priority="14">
      <formula>J89&lt;0</formula>
    </cfRule>
  </conditionalFormatting>
  <conditionalFormatting sqref="K89:K102">
    <cfRule type="expression" dxfId="2165" priority="11">
      <formula>K89&gt;0</formula>
    </cfRule>
    <cfRule type="expression" dxfId="2164" priority="12">
      <formula>K89&lt;0</formula>
    </cfRule>
  </conditionalFormatting>
  <conditionalFormatting sqref="L89:L102">
    <cfRule type="expression" dxfId="2163" priority="9">
      <formula>L89&gt;0</formula>
    </cfRule>
    <cfRule type="expression" dxfId="2162" priority="10">
      <formula>L89&lt;0</formula>
    </cfRule>
  </conditionalFormatting>
  <conditionalFormatting sqref="F27:F29">
    <cfRule type="expression" dxfId="2161" priority="7">
      <formula>F27&gt;0</formula>
    </cfRule>
    <cfRule type="expression" dxfId="2160" priority="8">
      <formula>F27&lt;0</formula>
    </cfRule>
  </conditionalFormatting>
  <conditionalFormatting sqref="H27:H29">
    <cfRule type="expression" dxfId="2159" priority="5">
      <formula>H27&gt;0</formula>
    </cfRule>
    <cfRule type="expression" dxfId="2158" priority="6">
      <formula>H27&lt;0</formula>
    </cfRule>
  </conditionalFormatting>
  <conditionalFormatting sqref="F25:F26 H25:H26">
    <cfRule type="expression" dxfId="2157" priority="1">
      <formula>F25&gt;0</formula>
    </cfRule>
    <cfRule type="expression" dxfId="215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69.81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69.81</v>
      </c>
      <c r="R4" s="475">
        <v>-2.2499999999999999E-2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76.791000000000011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76.092900000000014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75.394800000000004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74.696700000000007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73.99860000000001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73.3005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72.602400000000003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71.904300000000006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71.20620000000001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70.508099999999999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69.81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69.111900000000006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68.413799999999995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67.715699999999998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67.017600000000002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66.319500000000005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65.621399999999994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64.923300000000012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64.225200000000001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63.527100000000004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62.829000000000001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55" priority="15">
      <formula>F57&gt;0</formula>
    </cfRule>
    <cfRule type="expression" dxfId="2154" priority="16">
      <formula>F57&lt;0</formula>
    </cfRule>
  </conditionalFormatting>
  <conditionalFormatting sqref="Q7">
    <cfRule type="expression" dxfId="2153" priority="13">
      <formula>Q7&gt;0</formula>
    </cfRule>
    <cfRule type="expression" dxfId="2152" priority="14">
      <formula>Q7&lt;0</formula>
    </cfRule>
  </conditionalFormatting>
  <conditionalFormatting sqref="Q8">
    <cfRule type="expression" dxfId="2151" priority="11">
      <formula>Q8&gt;0</formula>
    </cfRule>
    <cfRule type="expression" dxfId="2150" priority="12">
      <formula>Q8&lt;0</formula>
    </cfRule>
  </conditionalFormatting>
  <conditionalFormatting sqref="F25:F56">
    <cfRule type="expression" dxfId="2149" priority="9">
      <formula>F25&gt;0</formula>
    </cfRule>
    <cfRule type="expression" dxfId="2148" priority="10">
      <formula>F25&lt;0</formula>
    </cfRule>
  </conditionalFormatting>
  <conditionalFormatting sqref="H25:H56">
    <cfRule type="expression" dxfId="2147" priority="7">
      <formula>H25&gt;0</formula>
    </cfRule>
    <cfRule type="expression" dxfId="2146" priority="8">
      <formula>H25&lt;0</formula>
    </cfRule>
  </conditionalFormatting>
  <conditionalFormatting sqref="M58">
    <cfRule type="expression" dxfId="2145" priority="5">
      <formula>M58&gt;0</formula>
    </cfRule>
    <cfRule type="expression" dxfId="2144" priority="6">
      <formula>M58&lt;0</formula>
    </cfRule>
  </conditionalFormatting>
  <conditionalFormatting sqref="F84:F115">
    <cfRule type="expression" dxfId="2143" priority="3">
      <formula>F84&gt;0</formula>
    </cfRule>
    <cfRule type="expression" dxfId="2142" priority="4">
      <formula>F84&lt;0</formula>
    </cfRule>
  </conditionalFormatting>
  <conditionalFormatting sqref="H84:H115">
    <cfRule type="expression" dxfId="2141" priority="1">
      <formula>H84&gt;0</formula>
    </cfRule>
    <cfRule type="expression" dxfId="214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242.25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242.25</v>
      </c>
      <c r="R4" s="495">
        <v>1.0699999999999999E-2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266.47500000000002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264.05250000000001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261.63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259.20750000000004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256.78500000000003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254.36250000000001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251.94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249.51750000000001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247.095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244.67250000000001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242.25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239.82749999999999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237.405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234.98249999999999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232.56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230.13749999999999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227.71499999999997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225.29250000000002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222.87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220.44750000000002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218.02500000000001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9" priority="21">
      <formula>F47&gt;0</formula>
    </cfRule>
    <cfRule type="expression" dxfId="2138" priority="22">
      <formula>F47&lt;0</formula>
    </cfRule>
  </conditionalFormatting>
  <conditionalFormatting sqref="Q7">
    <cfRule type="expression" dxfId="2137" priority="19">
      <formula>Q7&gt;0</formula>
    </cfRule>
    <cfRule type="expression" dxfId="2136" priority="20">
      <formula>Q7&lt;0</formula>
    </cfRule>
  </conditionalFormatting>
  <conditionalFormatting sqref="Q8">
    <cfRule type="expression" dxfId="2135" priority="17">
      <formula>Q8&gt;0</formula>
    </cfRule>
    <cfRule type="expression" dxfId="2134" priority="18">
      <formula>Q8&lt;0</formula>
    </cfRule>
  </conditionalFormatting>
  <conditionalFormatting sqref="F25:F46">
    <cfRule type="expression" dxfId="2133" priority="15">
      <formula>F25&gt;0</formula>
    </cfRule>
    <cfRule type="expression" dxfId="2132" priority="16">
      <formula>F25&lt;0</formula>
    </cfRule>
  </conditionalFormatting>
  <conditionalFormatting sqref="H25:H46">
    <cfRule type="expression" dxfId="2131" priority="13">
      <formula>H25&gt;0</formula>
    </cfRule>
    <cfRule type="expression" dxfId="2130" priority="14">
      <formula>H25&lt;0</formula>
    </cfRule>
  </conditionalFormatting>
  <conditionalFormatting sqref="F89:F110">
    <cfRule type="expression" dxfId="2129" priority="11">
      <formula>F89&gt;0</formula>
    </cfRule>
    <cfRule type="expression" dxfId="2128" priority="12">
      <formula>F89&lt;0</formula>
    </cfRule>
  </conditionalFormatting>
  <conditionalFormatting sqref="H89:H110">
    <cfRule type="expression" dxfId="2127" priority="9">
      <formula>H89&gt;0</formula>
    </cfRule>
    <cfRule type="expression" dxfId="2126" priority="10">
      <formula>H89&lt;0</formula>
    </cfRule>
  </conditionalFormatting>
  <conditionalFormatting sqref="Q10">
    <cfRule type="expression" dxfId="2125" priority="7">
      <formula>Q10&gt;0</formula>
    </cfRule>
    <cfRule type="expression" dxfId="2124" priority="8">
      <formula>Q10&lt;0</formula>
    </cfRule>
  </conditionalFormatting>
  <conditionalFormatting sqref="J25:J38">
    <cfRule type="expression" dxfId="2123" priority="5">
      <formula>J25&gt;0</formula>
    </cfRule>
    <cfRule type="expression" dxfId="2122" priority="6">
      <formula>J25&lt;0</formula>
    </cfRule>
  </conditionalFormatting>
  <conditionalFormatting sqref="K25:K38">
    <cfRule type="expression" dxfId="2121" priority="3">
      <formula>K25&gt;0</formula>
    </cfRule>
    <cfRule type="expression" dxfId="2120" priority="4">
      <formula>K25&lt;0</formula>
    </cfRule>
  </conditionalFormatting>
  <conditionalFormatting sqref="L25:L38">
    <cfRule type="expression" dxfId="2119" priority="1">
      <formula>L25&gt;0</formula>
    </cfRule>
    <cfRule type="expression" dxfId="211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2200</v>
      </c>
      <c r="U2" s="121">
        <v>42804</v>
      </c>
      <c r="V2" s="838" t="s">
        <v>677</v>
      </c>
      <c r="W2" s="838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5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9.2149318181817819</v>
      </c>
      <c r="U3" s="121">
        <v>42866</v>
      </c>
      <c r="V3" s="838" t="s">
        <v>678</v>
      </c>
      <c r="W3" s="838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20.86</v>
      </c>
      <c r="R4" s="475">
        <v>-2.4500000000000001E-2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45892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20272.849999999919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40234.721000001708</v>
      </c>
      <c r="R7">
        <v>1000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25619.150000000081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1.2637172375862389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M502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9.5877277085330784E-3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33.111111111111107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25.449199999999998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25.240599999999997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25.032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24.823399999999999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24.614799999999999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24.406199999999998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24.197599999999998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23.988999999999997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23.780399999999997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23.571799999999996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23.363200000000003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23.154600000000002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22.946000000000002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22.737400000000001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22.5288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22.3202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22.111599999999999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21.902999999999999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21.694400000000002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21.485800000000001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21.277200000000001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21.0686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20.86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20.651399999999999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20.442799999999998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20.234199999999998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20.025599999999997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19.817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19.6084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19.399799999999999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19.191200000000002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18.982600000000001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18.774000000000001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18.5654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18.3568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18.148199999999999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17.939599999999999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17.730999999999998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4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477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477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49" t="s">
        <v>1139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49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49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4">
        <v>200</v>
      </c>
      <c r="D84" s="78">
        <v>20.48</v>
      </c>
      <c r="E84" s="2">
        <v>0</v>
      </c>
      <c r="F84" s="2">
        <f t="shared" si="5"/>
        <v>4096</v>
      </c>
      <c r="G84" s="29"/>
      <c r="AA84" s="2"/>
      <c r="AD84" s="2"/>
      <c r="AG84" s="2"/>
      <c r="AI84" s="2"/>
    </row>
    <row r="85" spans="1:35" x14ac:dyDescent="0.25">
      <c r="C85" s="4"/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25500</v>
      </c>
      <c r="D90" s="18"/>
      <c r="E90" s="18"/>
      <c r="F90" s="18">
        <f>SUM(F2:F89)</f>
        <v>405671.05</v>
      </c>
      <c r="G90" s="14"/>
      <c r="H90" s="71">
        <f>SUM(H2:H89)</f>
        <v>23300</v>
      </c>
      <c r="I90" s="79"/>
      <c r="J90" s="18"/>
      <c r="K90" s="18">
        <f>SUM(K2:K89)</f>
        <v>383684.95000000007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23300</v>
      </c>
      <c r="D91" s="343"/>
      <c r="E91" s="343"/>
      <c r="F91" s="344">
        <f>SumByColor($A$91, F2:F89)</f>
        <v>360831</v>
      </c>
      <c r="G91" s="343"/>
      <c r="H91" s="343">
        <f>SumByColor($A$91, H2:H89)</f>
        <v>23300</v>
      </c>
      <c r="I91" s="343"/>
      <c r="J91" s="344"/>
      <c r="K91" s="344">
        <f>SumByColor($A$91, K2:K89)</f>
        <v>383692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1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5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5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5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6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6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6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89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89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8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8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0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0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0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89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0">
        <v>5000</v>
      </c>
      <c r="D196" s="811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0">
        <v>5000</v>
      </c>
      <c r="D202" s="811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0">
        <v>5000</v>
      </c>
      <c r="D206" s="811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8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1" si="138">C229*(E229-D229)</f>
        <v>25741.079999999998</v>
      </c>
      <c r="G229" s="39">
        <f t="shared" ref="G229:G231" si="139">D229*C229</f>
        <v>12166.92</v>
      </c>
      <c r="H229" s="222">
        <f t="shared" ref="H229:H231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>
        <v>69.28</v>
      </c>
      <c r="Q230" s="70"/>
    </row>
    <row r="231" spans="1:17" x14ac:dyDescent="0.25">
      <c r="A231">
        <v>1000</v>
      </c>
      <c r="B231" s="150">
        <v>43276</v>
      </c>
      <c r="C231" s="10">
        <v>2200</v>
      </c>
      <c r="D231" s="233">
        <v>9.2149999999999999</v>
      </c>
      <c r="E231" s="39">
        <v>20.3</v>
      </c>
      <c r="F231" s="39">
        <f t="shared" si="138"/>
        <v>24387.000000000004</v>
      </c>
      <c r="G231" s="39">
        <f t="shared" si="139"/>
        <v>20273</v>
      </c>
      <c r="H231" s="222">
        <f t="shared" si="140"/>
        <v>1.202930005425936</v>
      </c>
      <c r="I231" s="39"/>
      <c r="J231" s="39"/>
      <c r="K231" s="39">
        <v>39003</v>
      </c>
      <c r="L231" s="39">
        <v>70.53</v>
      </c>
      <c r="P231" s="1"/>
    </row>
    <row r="232" spans="1:17" x14ac:dyDescent="0.25">
      <c r="A232">
        <v>1000</v>
      </c>
      <c r="B232" s="150">
        <v>43278</v>
      </c>
      <c r="C232" s="10">
        <v>2200</v>
      </c>
      <c r="D232" s="233">
        <v>9.2149999999999999</v>
      </c>
      <c r="E232" s="39">
        <v>21.22</v>
      </c>
      <c r="F232" s="39">
        <f t="shared" ref="F232" si="141">C232*(E232-D232)</f>
        <v>26410.999999999996</v>
      </c>
      <c r="G232" s="39">
        <f t="shared" ref="G232" si="142">D232*C232</f>
        <v>20273</v>
      </c>
      <c r="H232" s="222">
        <f t="shared" ref="H232" si="143">(E232-D232)/D232</f>
        <v>1.3027672273467172</v>
      </c>
      <c r="I232" s="39"/>
      <c r="J232" s="39"/>
      <c r="K232" s="39">
        <v>41027</v>
      </c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7" spans="1:17" x14ac:dyDescent="0.25">
      <c r="B237" s="150"/>
      <c r="C237" s="10"/>
      <c r="D237" s="233"/>
      <c r="E237" s="39"/>
      <c r="F237" s="39"/>
      <c r="G237" s="39"/>
      <c r="H237" s="222"/>
      <c r="I237" s="39"/>
      <c r="J237" s="39"/>
      <c r="K237" s="39"/>
      <c r="L237" s="39"/>
    </row>
    <row r="238" spans="1:17" x14ac:dyDescent="0.25">
      <c r="B238" s="150"/>
      <c r="C238" s="10"/>
      <c r="D238" s="233"/>
      <c r="E238" s="39"/>
      <c r="F238" s="39"/>
      <c r="G238" s="39"/>
      <c r="H238" s="222"/>
      <c r="I238" s="39"/>
      <c r="J238" s="39"/>
      <c r="K238" s="39"/>
      <c r="L238" s="39"/>
    </row>
    <row r="239" spans="1:17" x14ac:dyDescent="0.25">
      <c r="B239" s="150"/>
      <c r="C239" s="10"/>
      <c r="D239" s="233"/>
      <c r="E239" s="39"/>
      <c r="F239" s="39"/>
      <c r="G239" s="39"/>
      <c r="H239" s="222"/>
      <c r="I239" s="39"/>
      <c r="J239" s="39"/>
      <c r="K239" s="39"/>
      <c r="L239" s="39"/>
    </row>
    <row r="240" spans="1:17" x14ac:dyDescent="0.25">
      <c r="B240" s="150"/>
      <c r="C240" s="10"/>
      <c r="D240" s="233"/>
      <c r="E240" s="39"/>
      <c r="F240" s="39"/>
      <c r="G240" s="39"/>
      <c r="H240" s="222"/>
      <c r="I240" s="39"/>
      <c r="J240" s="39"/>
      <c r="K240" s="39"/>
      <c r="L240" s="39"/>
    </row>
    <row r="242" spans="2:9" ht="15" customHeight="1" x14ac:dyDescent="0.25">
      <c r="B242" s="618" t="s">
        <v>113</v>
      </c>
      <c r="C242" s="484" t="s">
        <v>146</v>
      </c>
      <c r="D242" s="619" t="s">
        <v>145</v>
      </c>
      <c r="E242" s="486" t="s">
        <v>147</v>
      </c>
      <c r="F242" s="487" t="s">
        <v>65</v>
      </c>
      <c r="G242" s="488" t="s">
        <v>151</v>
      </c>
      <c r="H242" s="487" t="s">
        <v>88</v>
      </c>
      <c r="I242" s="488" t="s">
        <v>154</v>
      </c>
    </row>
    <row r="243" spans="2:9" ht="18.75" customHeight="1" x14ac:dyDescent="0.25">
      <c r="B243" s="620">
        <v>42305</v>
      </c>
      <c r="C243" s="362">
        <v>2000</v>
      </c>
      <c r="D243" s="621">
        <v>34.06</v>
      </c>
      <c r="E243" s="363">
        <v>17.68</v>
      </c>
      <c r="F243" s="363">
        <v>-32767.45</v>
      </c>
      <c r="G243" s="363">
        <f t="shared" ref="G243:G249" si="144">IF(C243=0, 0,D243*C243)</f>
        <v>68120</v>
      </c>
      <c r="H243" s="365">
        <f t="shared" ref="H243:H249" si="145">IF(C243=0, D243, (E243-D243)/D243)</f>
        <v>-0.48091603053435117</v>
      </c>
      <c r="I243" s="363"/>
    </row>
    <row r="244" spans="2:9" x14ac:dyDescent="0.25">
      <c r="B244" s="620">
        <v>42307</v>
      </c>
      <c r="C244" s="362">
        <v>0</v>
      </c>
      <c r="D244" s="621" t="s">
        <v>128</v>
      </c>
      <c r="E244" s="363">
        <v>17.55</v>
      </c>
      <c r="F244" s="363">
        <v>-30722.2</v>
      </c>
      <c r="G244" s="363">
        <f t="shared" si="144"/>
        <v>0</v>
      </c>
      <c r="H244" s="365" t="str">
        <f t="shared" si="145"/>
        <v>N/A</v>
      </c>
      <c r="I244" s="363"/>
    </row>
    <row r="245" spans="2:9" x14ac:dyDescent="0.25">
      <c r="B245" s="620">
        <v>42310</v>
      </c>
      <c r="C245" s="362">
        <v>0</v>
      </c>
      <c r="D245" s="621" t="s">
        <v>128</v>
      </c>
      <c r="E245" s="363">
        <v>19.010000000000002</v>
      </c>
      <c r="F245" s="363">
        <v>-30693.25</v>
      </c>
      <c r="G245" s="363">
        <f t="shared" si="144"/>
        <v>0</v>
      </c>
      <c r="H245" s="365" t="str">
        <f t="shared" si="145"/>
        <v>N/A</v>
      </c>
      <c r="I245" s="363"/>
    </row>
    <row r="246" spans="2:9" x14ac:dyDescent="0.25">
      <c r="B246" s="620">
        <v>42314</v>
      </c>
      <c r="C246" s="362">
        <v>2500</v>
      </c>
      <c r="D246" s="621">
        <v>30.24</v>
      </c>
      <c r="E246" s="363">
        <v>18.29</v>
      </c>
      <c r="F246" s="363">
        <v>-29878.25</v>
      </c>
      <c r="G246" s="363">
        <f t="shared" si="144"/>
        <v>75600</v>
      </c>
      <c r="H246" s="365">
        <f t="shared" si="145"/>
        <v>-0.39517195767195767</v>
      </c>
      <c r="I246" s="363"/>
    </row>
    <row r="247" spans="2:9" x14ac:dyDescent="0.25">
      <c r="B247" s="620">
        <v>42318</v>
      </c>
      <c r="C247" s="362">
        <v>0</v>
      </c>
      <c r="D247" s="621" t="s">
        <v>128</v>
      </c>
      <c r="E247" s="363">
        <v>18.78</v>
      </c>
      <c r="F247" s="363">
        <v>-28604.09</v>
      </c>
      <c r="G247" s="363">
        <f t="shared" si="144"/>
        <v>0</v>
      </c>
      <c r="H247" s="365" t="str">
        <f t="shared" si="145"/>
        <v>N/A</v>
      </c>
      <c r="I247" s="363"/>
    </row>
    <row r="248" spans="2:9" x14ac:dyDescent="0.25">
      <c r="B248" s="620">
        <v>42328</v>
      </c>
      <c r="C248" s="362">
        <v>3078</v>
      </c>
      <c r="D248" s="621">
        <v>26.76</v>
      </c>
      <c r="E248" s="363">
        <v>17.440000000000001</v>
      </c>
      <c r="F248" s="363">
        <v>-28696.448999999906</v>
      </c>
      <c r="G248" s="363">
        <f t="shared" si="144"/>
        <v>82367.28</v>
      </c>
      <c r="H248" s="365">
        <f t="shared" si="145"/>
        <v>-0.34828101644245141</v>
      </c>
      <c r="I248" s="363"/>
    </row>
    <row r="249" spans="2:9" x14ac:dyDescent="0.25">
      <c r="B249" s="620">
        <v>42331</v>
      </c>
      <c r="C249" s="362">
        <v>0</v>
      </c>
      <c r="D249" s="621" t="s">
        <v>128</v>
      </c>
      <c r="E249" s="363">
        <v>17.53</v>
      </c>
      <c r="F249" s="363">
        <v>-28051.068999999901</v>
      </c>
      <c r="G249" s="363">
        <f t="shared" si="144"/>
        <v>0</v>
      </c>
      <c r="H249" s="365" t="str">
        <f t="shared" si="145"/>
        <v>N/A</v>
      </c>
      <c r="I249" s="363"/>
    </row>
    <row r="250" spans="2:9" x14ac:dyDescent="0.25">
      <c r="B250" s="620">
        <v>42335</v>
      </c>
      <c r="C250" s="362">
        <v>3078</v>
      </c>
      <c r="D250" s="621">
        <v>26.85</v>
      </c>
      <c r="E250" s="363">
        <v>17.73</v>
      </c>
      <c r="F250" s="363">
        <f>C250*(E250-D250)</f>
        <v>-28071.360000000004</v>
      </c>
      <c r="G250" s="363">
        <f>D250*C250</f>
        <v>82644.3</v>
      </c>
      <c r="H250" s="364">
        <f>(E250-D250)/D250</f>
        <v>-0.33966480446927377</v>
      </c>
      <c r="I250" s="363"/>
    </row>
    <row r="251" spans="2:9" x14ac:dyDescent="0.25">
      <c r="B251" s="620">
        <v>42335</v>
      </c>
      <c r="C251" s="362">
        <v>3578</v>
      </c>
      <c r="D251" s="621">
        <v>25.55</v>
      </c>
      <c r="E251" s="363">
        <v>17.440000000000001</v>
      </c>
      <c r="F251" s="363">
        <f t="shared" ref="F251:F282" si="146">C251*(E251-D251)</f>
        <v>-29017.579999999998</v>
      </c>
      <c r="G251" s="363">
        <f t="shared" ref="G251:G280" si="147">D251*C251</f>
        <v>91417.900000000009</v>
      </c>
      <c r="H251" s="364">
        <f t="shared" ref="H251:H280" si="148">(E251-D251)/D251</f>
        <v>-0.31741682974559682</v>
      </c>
      <c r="I251" s="363"/>
    </row>
    <row r="252" spans="2:9" x14ac:dyDescent="0.25">
      <c r="B252" s="620">
        <v>42340</v>
      </c>
      <c r="C252" s="362">
        <v>4178</v>
      </c>
      <c r="D252" s="621">
        <v>24.29</v>
      </c>
      <c r="E252" s="363">
        <v>16.670000000000002</v>
      </c>
      <c r="F252" s="363">
        <f t="shared" si="146"/>
        <v>-31836.35999999999</v>
      </c>
      <c r="G252" s="363">
        <f t="shared" si="147"/>
        <v>101483.62</v>
      </c>
      <c r="H252" s="364">
        <f t="shared" si="148"/>
        <v>-0.31370934540963352</v>
      </c>
      <c r="I252" s="363"/>
    </row>
    <row r="253" spans="2:9" x14ac:dyDescent="0.25">
      <c r="B253" s="620">
        <v>42342</v>
      </c>
      <c r="C253" s="362">
        <v>4678</v>
      </c>
      <c r="D253" s="621">
        <v>23.39</v>
      </c>
      <c r="E253" s="363">
        <v>16.12</v>
      </c>
      <c r="F253" s="363">
        <f t="shared" si="146"/>
        <v>-34009.06</v>
      </c>
      <c r="G253" s="363">
        <f t="shared" si="147"/>
        <v>109418.42</v>
      </c>
      <c r="H253" s="364">
        <f t="shared" si="148"/>
        <v>-0.31081658828559211</v>
      </c>
      <c r="I253" s="363"/>
    </row>
    <row r="254" spans="2:9" x14ac:dyDescent="0.25">
      <c r="B254" s="620">
        <v>42342</v>
      </c>
      <c r="C254" s="362">
        <v>4178</v>
      </c>
      <c r="D254" s="621">
        <v>24.26</v>
      </c>
      <c r="E254" s="363">
        <v>16.12</v>
      </c>
      <c r="F254" s="363">
        <f t="shared" si="146"/>
        <v>-34008.920000000006</v>
      </c>
      <c r="G254" s="363">
        <f t="shared" si="147"/>
        <v>101358.28000000001</v>
      </c>
      <c r="H254" s="364">
        <f t="shared" si="148"/>
        <v>-0.33553173948887055</v>
      </c>
      <c r="I254" s="363"/>
    </row>
    <row r="255" spans="2:9" x14ac:dyDescent="0.25">
      <c r="B255" s="620">
        <v>42345</v>
      </c>
      <c r="C255" s="362">
        <v>4678</v>
      </c>
      <c r="D255" s="621">
        <v>23.24</v>
      </c>
      <c r="E255" s="363">
        <v>14.78</v>
      </c>
      <c r="F255" s="363">
        <f t="shared" si="146"/>
        <v>-39575.879999999997</v>
      </c>
      <c r="G255" s="363">
        <f t="shared" si="147"/>
        <v>108716.71999999999</v>
      </c>
      <c r="H255" s="364">
        <f t="shared" si="148"/>
        <v>-0.36402753872633387</v>
      </c>
      <c r="I255" s="363"/>
    </row>
    <row r="256" spans="2:9" x14ac:dyDescent="0.25">
      <c r="B256" s="620">
        <v>42347</v>
      </c>
      <c r="C256" s="362">
        <v>4778</v>
      </c>
      <c r="D256" s="621">
        <v>23.06</v>
      </c>
      <c r="E256" s="363">
        <v>14.92</v>
      </c>
      <c r="F256" s="363">
        <f t="shared" si="146"/>
        <v>-38892.919999999991</v>
      </c>
      <c r="G256" s="363">
        <f t="shared" si="147"/>
        <v>110180.68</v>
      </c>
      <c r="H256" s="364">
        <f t="shared" si="148"/>
        <v>-0.3529921942758022</v>
      </c>
      <c r="I256" s="363"/>
    </row>
    <row r="257" spans="2:9" x14ac:dyDescent="0.25">
      <c r="B257" s="620">
        <v>42348</v>
      </c>
      <c r="C257" s="362">
        <v>4178</v>
      </c>
      <c r="D257" s="621">
        <v>24.23</v>
      </c>
      <c r="E257" s="363">
        <v>14.74</v>
      </c>
      <c r="F257" s="363">
        <f t="shared" si="146"/>
        <v>-39649.22</v>
      </c>
      <c r="G257" s="363">
        <f t="shared" si="147"/>
        <v>101232.94</v>
      </c>
      <c r="H257" s="364">
        <f t="shared" si="148"/>
        <v>-0.39166322740404458</v>
      </c>
      <c r="I257" s="363"/>
    </row>
    <row r="258" spans="2:9" x14ac:dyDescent="0.25">
      <c r="B258" s="620">
        <v>42349</v>
      </c>
      <c r="C258" s="362">
        <v>3678</v>
      </c>
      <c r="D258" s="621">
        <v>25.57</v>
      </c>
      <c r="E258" s="363">
        <v>14.34</v>
      </c>
      <c r="F258" s="363">
        <f t="shared" si="146"/>
        <v>-41303.94</v>
      </c>
      <c r="G258" s="363">
        <f t="shared" si="147"/>
        <v>94046.46</v>
      </c>
      <c r="H258" s="364">
        <f t="shared" si="148"/>
        <v>-0.43918654673445445</v>
      </c>
      <c r="I258" s="363"/>
    </row>
    <row r="259" spans="2:9" x14ac:dyDescent="0.25">
      <c r="B259" s="620">
        <v>42352</v>
      </c>
      <c r="C259" s="362">
        <v>4178</v>
      </c>
      <c r="D259" s="621">
        <v>24.18</v>
      </c>
      <c r="E259" s="363">
        <v>13.96</v>
      </c>
      <c r="F259" s="363">
        <f t="shared" si="146"/>
        <v>-42699.159999999996</v>
      </c>
      <c r="G259" s="363">
        <f t="shared" si="147"/>
        <v>101024.04</v>
      </c>
      <c r="H259" s="364">
        <f t="shared" si="148"/>
        <v>-0.42266335814722905</v>
      </c>
      <c r="I259" s="363"/>
    </row>
    <row r="260" spans="2:9" x14ac:dyDescent="0.25">
      <c r="B260" s="620">
        <v>42355</v>
      </c>
      <c r="C260" s="362">
        <v>4678</v>
      </c>
      <c r="D260" s="621">
        <v>22.98</v>
      </c>
      <c r="E260" s="363">
        <v>12.78</v>
      </c>
      <c r="F260" s="363">
        <f t="shared" si="146"/>
        <v>-47715.600000000006</v>
      </c>
      <c r="G260" s="363">
        <f t="shared" si="147"/>
        <v>107500.44</v>
      </c>
      <c r="H260" s="364">
        <f t="shared" si="148"/>
        <v>-0.44386422976501311</v>
      </c>
      <c r="I260" s="363"/>
    </row>
    <row r="261" spans="2:9" x14ac:dyDescent="0.25">
      <c r="B261" s="620">
        <v>42356</v>
      </c>
      <c r="C261" s="362">
        <v>5178</v>
      </c>
      <c r="D261" s="621">
        <v>21.99</v>
      </c>
      <c r="E261" s="363">
        <v>12.95</v>
      </c>
      <c r="F261" s="363">
        <f t="shared" si="146"/>
        <v>-46809.119999999995</v>
      </c>
      <c r="G261" s="363">
        <f t="shared" si="147"/>
        <v>113864.21999999999</v>
      </c>
      <c r="H261" s="364">
        <f t="shared" si="148"/>
        <v>-0.41109595270577537</v>
      </c>
      <c r="I261" s="363"/>
    </row>
    <row r="262" spans="2:9" x14ac:dyDescent="0.25">
      <c r="B262" s="620">
        <v>42356</v>
      </c>
      <c r="C262" s="362">
        <v>6178</v>
      </c>
      <c r="D262" s="621">
        <v>20.48</v>
      </c>
      <c r="E262" s="363">
        <v>12.76</v>
      </c>
      <c r="F262" s="363">
        <f t="shared" si="146"/>
        <v>-47694.16</v>
      </c>
      <c r="G262" s="363">
        <f t="shared" si="147"/>
        <v>126525.44</v>
      </c>
      <c r="H262" s="364">
        <f t="shared" si="148"/>
        <v>-0.376953125</v>
      </c>
      <c r="I262" s="363"/>
    </row>
    <row r="263" spans="2:9" x14ac:dyDescent="0.25">
      <c r="B263" s="620">
        <v>42356</v>
      </c>
      <c r="C263" s="362">
        <v>6400</v>
      </c>
      <c r="D263" s="621">
        <v>20.2</v>
      </c>
      <c r="E263" s="363">
        <v>12.68</v>
      </c>
      <c r="F263" s="363">
        <f t="shared" si="146"/>
        <v>-48128</v>
      </c>
      <c r="G263" s="363">
        <f t="shared" si="147"/>
        <v>129280</v>
      </c>
      <c r="H263" s="364">
        <f t="shared" si="148"/>
        <v>-0.37227722772277227</v>
      </c>
      <c r="I263" s="363"/>
    </row>
    <row r="264" spans="2:9" x14ac:dyDescent="0.25">
      <c r="B264" s="620">
        <v>42359</v>
      </c>
      <c r="C264" s="362">
        <v>5178</v>
      </c>
      <c r="D264" s="621">
        <v>21.96</v>
      </c>
      <c r="E264" s="363">
        <v>12.66</v>
      </c>
      <c r="F264" s="363">
        <f t="shared" si="146"/>
        <v>-48155.4</v>
      </c>
      <c r="G264" s="363">
        <f t="shared" si="147"/>
        <v>113708.88</v>
      </c>
      <c r="H264" s="364">
        <f t="shared" si="148"/>
        <v>-0.42349726775956287</v>
      </c>
      <c r="I264" s="363"/>
    </row>
    <row r="265" spans="2:9" x14ac:dyDescent="0.25">
      <c r="B265" s="620">
        <v>42361</v>
      </c>
      <c r="C265" s="362">
        <v>4178</v>
      </c>
      <c r="D265" s="621">
        <v>24.07</v>
      </c>
      <c r="E265" s="363">
        <v>13.96</v>
      </c>
      <c r="F265" s="363">
        <f t="shared" si="146"/>
        <v>-42239.579999999994</v>
      </c>
      <c r="G265" s="363">
        <f t="shared" si="147"/>
        <v>100564.46</v>
      </c>
      <c r="H265" s="364">
        <f t="shared" si="148"/>
        <v>-0.42002492729538843</v>
      </c>
      <c r="I265" s="363"/>
    </row>
    <row r="266" spans="2:9" x14ac:dyDescent="0.25">
      <c r="B266" s="620">
        <v>42361</v>
      </c>
      <c r="C266" s="362">
        <v>4178</v>
      </c>
      <c r="D266" s="621">
        <v>24.03</v>
      </c>
      <c r="E266" s="363">
        <v>13.96</v>
      </c>
      <c r="F266" s="363">
        <f t="shared" si="146"/>
        <v>-42072.46</v>
      </c>
      <c r="G266" s="363">
        <f t="shared" si="147"/>
        <v>100397.34000000001</v>
      </c>
      <c r="H266" s="364">
        <f t="shared" si="148"/>
        <v>-0.41905950894714938</v>
      </c>
      <c r="I266" s="363"/>
    </row>
    <row r="267" spans="2:9" x14ac:dyDescent="0.25">
      <c r="B267" s="620">
        <v>42366</v>
      </c>
      <c r="C267" s="383">
        <v>6678</v>
      </c>
      <c r="D267" s="622">
        <v>19.91</v>
      </c>
      <c r="E267" s="363">
        <v>13.09</v>
      </c>
      <c r="F267" s="363">
        <f t="shared" si="146"/>
        <v>-45543.96</v>
      </c>
      <c r="G267" s="363">
        <f t="shared" si="147"/>
        <v>132958.98000000001</v>
      </c>
      <c r="H267" s="364">
        <f t="shared" si="148"/>
        <v>-0.34254143646408841</v>
      </c>
      <c r="I267" s="363"/>
    </row>
    <row r="268" spans="2:9" x14ac:dyDescent="0.25">
      <c r="B268" s="620">
        <v>42367</v>
      </c>
      <c r="C268" s="383">
        <v>8678</v>
      </c>
      <c r="D268" s="622">
        <v>18.32</v>
      </c>
      <c r="E268" s="363">
        <v>13.03</v>
      </c>
      <c r="F268" s="363">
        <f t="shared" si="146"/>
        <v>-45906.62000000001</v>
      </c>
      <c r="G268" s="363">
        <f t="shared" si="147"/>
        <v>158980.96</v>
      </c>
      <c r="H268" s="364">
        <f t="shared" si="148"/>
        <v>-0.28875545851528389</v>
      </c>
      <c r="I268" s="363"/>
    </row>
    <row r="269" spans="2:9" x14ac:dyDescent="0.25">
      <c r="B269" s="620">
        <v>42368</v>
      </c>
      <c r="C269" s="362">
        <v>9678</v>
      </c>
      <c r="D269" s="621">
        <v>17.73</v>
      </c>
      <c r="E269" s="363">
        <v>12.38</v>
      </c>
      <c r="F269" s="363">
        <f t="shared" si="146"/>
        <v>-51777.299999999996</v>
      </c>
      <c r="G269" s="363">
        <f t="shared" si="147"/>
        <v>171590.94</v>
      </c>
      <c r="H269" s="365">
        <f t="shared" si="148"/>
        <v>-0.30174844895657077</v>
      </c>
      <c r="I269" s="363"/>
    </row>
    <row r="270" spans="2:9" x14ac:dyDescent="0.25">
      <c r="B270" s="620">
        <v>42369</v>
      </c>
      <c r="C270" s="362">
        <v>8678</v>
      </c>
      <c r="D270" s="621">
        <v>18.312999999999999</v>
      </c>
      <c r="E270" s="363">
        <v>12.59</v>
      </c>
      <c r="F270" s="363">
        <f t="shared" si="146"/>
        <v>-49664.193999999989</v>
      </c>
      <c r="G270" s="363">
        <f t="shared" si="147"/>
        <v>158920.21399999998</v>
      </c>
      <c r="H270" s="365">
        <f t="shared" si="148"/>
        <v>-0.3125102386282968</v>
      </c>
      <c r="I270" s="363"/>
    </row>
    <row r="271" spans="2:9" x14ac:dyDescent="0.25">
      <c r="B271" s="620">
        <v>42374</v>
      </c>
      <c r="C271" s="362">
        <v>7678</v>
      </c>
      <c r="D271" s="621">
        <v>19.010000000000002</v>
      </c>
      <c r="E271" s="363">
        <v>12.76</v>
      </c>
      <c r="F271" s="363">
        <f t="shared" si="146"/>
        <v>-47987.500000000015</v>
      </c>
      <c r="G271" s="363">
        <f t="shared" si="147"/>
        <v>145958.78</v>
      </c>
      <c r="H271" s="365">
        <f t="shared" si="148"/>
        <v>-0.32877432930036832</v>
      </c>
      <c r="I271" s="363"/>
    </row>
    <row r="272" spans="2:9" x14ac:dyDescent="0.25">
      <c r="B272" s="620">
        <v>42375</v>
      </c>
      <c r="C272" s="362">
        <v>8678</v>
      </c>
      <c r="D272" s="621">
        <v>18.257000000000001</v>
      </c>
      <c r="E272" s="363">
        <v>12.76</v>
      </c>
      <c r="F272" s="363">
        <f t="shared" si="146"/>
        <v>-47702.966000000015</v>
      </c>
      <c r="G272" s="363">
        <f t="shared" si="147"/>
        <v>158434.24600000001</v>
      </c>
      <c r="H272" s="365">
        <f t="shared" si="148"/>
        <v>-0.30108999287944355</v>
      </c>
      <c r="I272" s="363"/>
    </row>
    <row r="273" spans="2:14" x14ac:dyDescent="0.25">
      <c r="B273" s="620">
        <v>42375</v>
      </c>
      <c r="C273" s="362">
        <v>9678</v>
      </c>
      <c r="D273" s="621">
        <v>17.579999999999998</v>
      </c>
      <c r="E273" s="363">
        <v>11.28</v>
      </c>
      <c r="F273" s="363">
        <f t="shared" si="146"/>
        <v>-60971.399999999987</v>
      </c>
      <c r="G273" s="363">
        <f t="shared" si="147"/>
        <v>170139.24</v>
      </c>
      <c r="H273" s="365">
        <f t="shared" si="148"/>
        <v>-0.35836177474402725</v>
      </c>
      <c r="I273" s="363"/>
    </row>
    <row r="274" spans="2:14" x14ac:dyDescent="0.25">
      <c r="B274" s="620">
        <v>42398</v>
      </c>
      <c r="C274" s="362">
        <v>9278</v>
      </c>
      <c r="D274" s="621">
        <v>17.93</v>
      </c>
      <c r="E274" s="363">
        <v>9.56</v>
      </c>
      <c r="F274" s="363">
        <f t="shared" si="146"/>
        <v>-77656.859999999986</v>
      </c>
      <c r="G274" s="363">
        <f t="shared" si="147"/>
        <v>166354.54</v>
      </c>
      <c r="H274" s="365">
        <f t="shared" si="148"/>
        <v>-0.46681539319576126</v>
      </c>
      <c r="I274" s="363"/>
    </row>
    <row r="275" spans="2:14" x14ac:dyDescent="0.25">
      <c r="B275" s="620">
        <v>42402</v>
      </c>
      <c r="C275" s="362">
        <v>9678</v>
      </c>
      <c r="D275" s="621">
        <v>17.559999999999999</v>
      </c>
      <c r="E275" s="363">
        <v>8.74</v>
      </c>
      <c r="F275" s="363">
        <f t="shared" si="146"/>
        <v>-85359.959999999992</v>
      </c>
      <c r="G275" s="363">
        <f t="shared" si="147"/>
        <v>169945.68</v>
      </c>
      <c r="H275" s="365">
        <f t="shared" si="148"/>
        <v>-0.50227790432801822</v>
      </c>
      <c r="I275" s="363"/>
    </row>
    <row r="276" spans="2:14" x14ac:dyDescent="0.25">
      <c r="B276" s="620">
        <v>42411</v>
      </c>
      <c r="C276" s="362">
        <v>9678</v>
      </c>
      <c r="D276" s="621">
        <v>17.553999999999998</v>
      </c>
      <c r="E276" s="363">
        <v>7.13</v>
      </c>
      <c r="F276" s="363">
        <f t="shared" si="146"/>
        <v>-100883.47199999999</v>
      </c>
      <c r="G276" s="363">
        <f t="shared" si="147"/>
        <v>169887.61199999999</v>
      </c>
      <c r="H276" s="364">
        <f t="shared" si="148"/>
        <v>-0.59382476928335426</v>
      </c>
      <c r="I276" s="363"/>
    </row>
    <row r="277" spans="2:14" x14ac:dyDescent="0.25">
      <c r="B277" s="620">
        <v>42412</v>
      </c>
      <c r="C277" s="362">
        <v>9678</v>
      </c>
      <c r="D277" s="621">
        <v>17.55</v>
      </c>
      <c r="E277" s="363">
        <v>7.46</v>
      </c>
      <c r="F277" s="363">
        <f t="shared" si="146"/>
        <v>-97651.02</v>
      </c>
      <c r="G277" s="363">
        <f t="shared" si="147"/>
        <v>169848.9</v>
      </c>
      <c r="H277" s="364">
        <f t="shared" si="148"/>
        <v>-0.57492877492877492</v>
      </c>
      <c r="I277" s="363"/>
    </row>
    <row r="278" spans="2:14" x14ac:dyDescent="0.25">
      <c r="B278" s="620">
        <v>42416</v>
      </c>
      <c r="C278" s="362">
        <v>9178</v>
      </c>
      <c r="D278" s="621">
        <v>18.084</v>
      </c>
      <c r="E278" s="363">
        <v>7.49</v>
      </c>
      <c r="F278" s="363">
        <f t="shared" si="146"/>
        <v>-97231.731999999989</v>
      </c>
      <c r="G278" s="363">
        <f t="shared" si="147"/>
        <v>165974.95199999999</v>
      </c>
      <c r="H278" s="364">
        <f t="shared" si="148"/>
        <v>-0.58582172085821715</v>
      </c>
      <c r="I278" s="363"/>
    </row>
    <row r="279" spans="2:14" x14ac:dyDescent="0.25">
      <c r="B279" s="620">
        <v>42416</v>
      </c>
      <c r="C279" s="362">
        <v>9678</v>
      </c>
      <c r="D279" s="621">
        <v>17.536999999999999</v>
      </c>
      <c r="E279" s="363">
        <v>7.49</v>
      </c>
      <c r="F279" s="363">
        <f t="shared" si="146"/>
        <v>-97234.865999999995</v>
      </c>
      <c r="G279" s="363">
        <f t="shared" si="147"/>
        <v>169723.08599999998</v>
      </c>
      <c r="H279" s="364">
        <f t="shared" si="148"/>
        <v>-0.57290300507498426</v>
      </c>
      <c r="I279" s="363"/>
    </row>
    <row r="280" spans="2:14" x14ac:dyDescent="0.25">
      <c r="B280" s="620">
        <v>42418</v>
      </c>
      <c r="C280" s="362">
        <v>13478</v>
      </c>
      <c r="D280" s="621">
        <v>14.673999999999999</v>
      </c>
      <c r="E280" s="363">
        <v>6.93</v>
      </c>
      <c r="F280" s="363">
        <f t="shared" si="146"/>
        <v>-104373.632</v>
      </c>
      <c r="G280" s="363">
        <f t="shared" si="147"/>
        <v>197776.17199999999</v>
      </c>
      <c r="H280" s="364">
        <f t="shared" si="148"/>
        <v>-0.52773613193403301</v>
      </c>
      <c r="I280" s="363"/>
    </row>
    <row r="281" spans="2:14" x14ac:dyDescent="0.25">
      <c r="B281" s="620">
        <v>42422</v>
      </c>
      <c r="C281" s="362">
        <v>10978</v>
      </c>
      <c r="D281" s="621">
        <v>16.314</v>
      </c>
      <c r="E281" s="363">
        <v>7.49</v>
      </c>
      <c r="F281" s="363">
        <f t="shared" si="146"/>
        <v>-96869.872000000003</v>
      </c>
      <c r="G281" s="363">
        <f>IF(C281=0, 0,D281*C281)</f>
        <v>179095.092</v>
      </c>
      <c r="H281" s="364">
        <f>IF(C281=0, D281, (E281-D281)/D281)</f>
        <v>-0.54088512933676591</v>
      </c>
      <c r="I281" s="363"/>
    </row>
    <row r="282" spans="2:14" x14ac:dyDescent="0.25">
      <c r="B282" s="620">
        <v>42422</v>
      </c>
      <c r="C282" s="362">
        <v>9978</v>
      </c>
      <c r="D282" s="621">
        <v>17.199000000000002</v>
      </c>
      <c r="E282" s="363">
        <v>7.49</v>
      </c>
      <c r="F282" s="363">
        <f t="shared" si="146"/>
        <v>-96876.402000000016</v>
      </c>
      <c r="G282" s="363">
        <f>IF(C282=0, 0,D282*C282)</f>
        <v>171611.622</v>
      </c>
      <c r="H282" s="364">
        <f>IF(C282=0, D282, (E282-D282)/D282)</f>
        <v>-0.56450956450956458</v>
      </c>
      <c r="I282" s="363"/>
    </row>
    <row r="283" spans="2:14" x14ac:dyDescent="0.25">
      <c r="B283" s="620">
        <v>42426</v>
      </c>
      <c r="C283" s="362">
        <v>9678</v>
      </c>
      <c r="D283" s="621">
        <v>17.489000000000001</v>
      </c>
      <c r="E283" s="363">
        <v>7.49</v>
      </c>
      <c r="F283" s="363">
        <f t="shared" ref="F283:F291" si="149">C283*(E283-D283)</f>
        <v>-96770.322</v>
      </c>
      <c r="G283" s="363">
        <f>IF(C283=0, 0,D283*C283)</f>
        <v>169258.54200000002</v>
      </c>
      <c r="H283" s="364">
        <f>IF(C283=0, D283, (E283-D283)/D283)</f>
        <v>-0.57173080221853734</v>
      </c>
      <c r="I283" s="363"/>
    </row>
    <row r="284" spans="2:14" x14ac:dyDescent="0.25">
      <c r="B284" s="620">
        <v>42426</v>
      </c>
      <c r="C284" s="362">
        <v>9178</v>
      </c>
      <c r="D284" s="621">
        <v>18.02</v>
      </c>
      <c r="E284" s="363">
        <v>7.76</v>
      </c>
      <c r="F284" s="363">
        <f t="shared" si="149"/>
        <v>-94166.28</v>
      </c>
      <c r="G284" s="363">
        <f t="shared" ref="G284:G291" si="150">IF(C284=0, 0,D284*C284)</f>
        <v>165387.56</v>
      </c>
      <c r="H284" s="364">
        <f t="shared" ref="H284:H291" si="151">IF(C284=0, D284, (E284-D284)/D284)</f>
        <v>-0.5693673695893452</v>
      </c>
      <c r="I284" s="363"/>
      <c r="N284" s="70"/>
    </row>
    <row r="285" spans="2:14" x14ac:dyDescent="0.25">
      <c r="B285" s="620">
        <v>42426</v>
      </c>
      <c r="C285" s="362">
        <v>8178</v>
      </c>
      <c r="D285" s="621">
        <v>19.245999999999999</v>
      </c>
      <c r="E285" s="363">
        <v>8</v>
      </c>
      <c r="F285" s="363">
        <f t="shared" si="149"/>
        <v>-91969.787999999986</v>
      </c>
      <c r="G285" s="363">
        <f t="shared" si="150"/>
        <v>157393.788</v>
      </c>
      <c r="H285" s="364">
        <f t="shared" si="151"/>
        <v>-0.58432921126467829</v>
      </c>
      <c r="I285" s="363"/>
    </row>
    <row r="286" spans="2:14" x14ac:dyDescent="0.25">
      <c r="B286" s="620">
        <v>42426</v>
      </c>
      <c r="C286" s="362">
        <v>6678</v>
      </c>
      <c r="D286" s="621">
        <v>21.75</v>
      </c>
      <c r="E286" s="363">
        <v>8.1</v>
      </c>
      <c r="F286" s="363">
        <f t="shared" si="149"/>
        <v>-91154.7</v>
      </c>
      <c r="G286" s="363">
        <f t="shared" si="150"/>
        <v>145246.5</v>
      </c>
      <c r="H286" s="364">
        <f t="shared" si="151"/>
        <v>-0.62758620689655176</v>
      </c>
      <c r="I286" s="363"/>
    </row>
    <row r="287" spans="2:14" x14ac:dyDescent="0.25">
      <c r="B287" s="620">
        <v>42426</v>
      </c>
      <c r="C287" s="362">
        <v>8678</v>
      </c>
      <c r="D287" s="621">
        <v>18.568999999999999</v>
      </c>
      <c r="E287" s="363">
        <v>7.94</v>
      </c>
      <c r="F287" s="363">
        <f t="shared" si="149"/>
        <v>-92238.461999999985</v>
      </c>
      <c r="G287" s="363">
        <f t="shared" si="150"/>
        <v>161141.78199999998</v>
      </c>
      <c r="H287" s="364">
        <f t="shared" si="151"/>
        <v>-0.57240562227368186</v>
      </c>
      <c r="I287" s="363"/>
    </row>
    <row r="288" spans="2:14" x14ac:dyDescent="0.25">
      <c r="B288" s="620">
        <v>42429</v>
      </c>
      <c r="C288" s="362">
        <v>7678</v>
      </c>
      <c r="D288" s="621">
        <v>19.876000000000001</v>
      </c>
      <c r="E288" s="363">
        <v>8.2100000000000009</v>
      </c>
      <c r="F288" s="363">
        <f t="shared" si="149"/>
        <v>-89571.54800000001</v>
      </c>
      <c r="G288" s="363">
        <f t="shared" si="150"/>
        <v>152607.92800000001</v>
      </c>
      <c r="H288" s="364">
        <f t="shared" si="151"/>
        <v>-0.58693902193600322</v>
      </c>
      <c r="I288" s="363"/>
    </row>
    <row r="289" spans="2:9" x14ac:dyDescent="0.25">
      <c r="B289" s="620">
        <v>42429</v>
      </c>
      <c r="C289" s="362">
        <v>9678</v>
      </c>
      <c r="D289" s="621">
        <v>17.463000000000001</v>
      </c>
      <c r="E289" s="363">
        <v>8.2100000000000009</v>
      </c>
      <c r="F289" s="363">
        <f t="shared" si="149"/>
        <v>-89550.534</v>
      </c>
      <c r="G289" s="363">
        <f t="shared" si="150"/>
        <v>169006.91400000002</v>
      </c>
      <c r="H289" s="364">
        <f t="shared" si="151"/>
        <v>-0.5298631392086125</v>
      </c>
      <c r="I289" s="363"/>
    </row>
    <row r="290" spans="2:9" x14ac:dyDescent="0.25">
      <c r="B290" s="620">
        <v>42429</v>
      </c>
      <c r="C290" s="362">
        <v>9178</v>
      </c>
      <c r="D290" s="621">
        <v>17.981000000000002</v>
      </c>
      <c r="E290" s="363">
        <v>8.2100000000000009</v>
      </c>
      <c r="F290" s="363">
        <f t="shared" si="149"/>
        <v>-89678.238000000012</v>
      </c>
      <c r="G290" s="363">
        <f t="shared" si="150"/>
        <v>165029.61800000002</v>
      </c>
      <c r="H290" s="364">
        <f t="shared" si="151"/>
        <v>-0.5434069295367332</v>
      </c>
      <c r="I290" s="363"/>
    </row>
    <row r="291" spans="2:9" x14ac:dyDescent="0.25">
      <c r="B291" s="620">
        <v>42429</v>
      </c>
      <c r="C291" s="362">
        <v>9678</v>
      </c>
      <c r="D291" s="621">
        <v>17.459</v>
      </c>
      <c r="E291" s="363">
        <v>8.2100000000000009</v>
      </c>
      <c r="F291" s="363">
        <f t="shared" si="149"/>
        <v>-89511.821999999986</v>
      </c>
      <c r="G291" s="363">
        <f t="shared" si="150"/>
        <v>168968.20199999999</v>
      </c>
      <c r="H291" s="364">
        <f t="shared" si="151"/>
        <v>-0.5297554270004009</v>
      </c>
      <c r="I291" s="363"/>
    </row>
    <row r="292" spans="2:9" x14ac:dyDescent="0.25">
      <c r="B292" s="620">
        <v>42429</v>
      </c>
      <c r="C292" s="362">
        <v>9178</v>
      </c>
      <c r="D292" s="621">
        <v>17.975999999999999</v>
      </c>
      <c r="E292" s="363">
        <v>8.2100000000000009</v>
      </c>
      <c r="F292" s="363">
        <f t="shared" ref="F292:F303" si="152">C292*(E292-D292)</f>
        <v>-89632.347999999984</v>
      </c>
      <c r="G292" s="363">
        <f t="shared" ref="G292:G303" si="153">IF(C292=0, 0,D292*C292)</f>
        <v>164983.728</v>
      </c>
      <c r="H292" s="364">
        <f t="shared" ref="H292:H343" si="154">IF(C292=0, D292, (E292-D292)/D292)</f>
        <v>-0.54327992879394738</v>
      </c>
      <c r="I292" s="363" t="s">
        <v>186</v>
      </c>
    </row>
    <row r="293" spans="2:9" x14ac:dyDescent="0.25">
      <c r="B293" s="620">
        <v>42430</v>
      </c>
      <c r="C293" s="383">
        <v>10178</v>
      </c>
      <c r="D293" s="622">
        <v>16.974</v>
      </c>
      <c r="E293" s="363">
        <v>7.8</v>
      </c>
      <c r="F293" s="363">
        <f t="shared" si="152"/>
        <v>-93372.971999999994</v>
      </c>
      <c r="G293" s="363">
        <f t="shared" si="153"/>
        <v>172761.372</v>
      </c>
      <c r="H293" s="364">
        <f t="shared" si="154"/>
        <v>-0.54047366560622123</v>
      </c>
      <c r="I293" s="363"/>
    </row>
    <row r="294" spans="2:9" x14ac:dyDescent="0.25">
      <c r="B294" s="620">
        <v>42430</v>
      </c>
      <c r="C294" s="383">
        <v>9678</v>
      </c>
      <c r="D294" s="622">
        <v>17.440000000000001</v>
      </c>
      <c r="E294" s="363">
        <v>7.96</v>
      </c>
      <c r="F294" s="363">
        <f t="shared" si="152"/>
        <v>-91747.44</v>
      </c>
      <c r="G294" s="363">
        <f t="shared" si="153"/>
        <v>168784.32</v>
      </c>
      <c r="H294" s="364">
        <f t="shared" si="154"/>
        <v>-0.54357798165137616</v>
      </c>
      <c r="I294" s="363"/>
    </row>
    <row r="295" spans="2:9" x14ac:dyDescent="0.25">
      <c r="B295" s="620">
        <v>42431</v>
      </c>
      <c r="C295" s="362">
        <v>8678</v>
      </c>
      <c r="D295" s="621">
        <v>18.405999999999999</v>
      </c>
      <c r="E295" s="363">
        <v>9.1</v>
      </c>
      <c r="F295" s="363">
        <f t="shared" si="152"/>
        <v>-80757.467999999993</v>
      </c>
      <c r="G295" s="363">
        <f t="shared" si="153"/>
        <v>159727.26799999998</v>
      </c>
      <c r="H295" s="365">
        <f t="shared" si="154"/>
        <v>-0.50559600130392257</v>
      </c>
      <c r="I295" s="363"/>
    </row>
    <row r="296" spans="2:9" x14ac:dyDescent="0.25">
      <c r="B296" s="620">
        <v>42432</v>
      </c>
      <c r="C296" s="362">
        <v>9278</v>
      </c>
      <c r="D296" s="621">
        <v>17.771999999999998</v>
      </c>
      <c r="E296" s="363">
        <v>9.9700000000000006</v>
      </c>
      <c r="F296" s="363">
        <f t="shared" si="152"/>
        <v>-72386.955999999976</v>
      </c>
      <c r="G296" s="363">
        <f t="shared" si="153"/>
        <v>164888.61599999998</v>
      </c>
      <c r="H296" s="365">
        <f t="shared" si="154"/>
        <v>-0.43900517668242173</v>
      </c>
      <c r="I296" s="363"/>
    </row>
    <row r="297" spans="2:9" x14ac:dyDescent="0.25">
      <c r="B297" s="620">
        <v>42433</v>
      </c>
      <c r="C297" s="362">
        <v>9278</v>
      </c>
      <c r="D297" s="621">
        <v>17.771999999999998</v>
      </c>
      <c r="E297" s="363">
        <v>11</v>
      </c>
      <c r="F297" s="363">
        <f t="shared" si="152"/>
        <v>-62830.615999999987</v>
      </c>
      <c r="G297" s="363">
        <f t="shared" si="153"/>
        <v>164888.61599999998</v>
      </c>
      <c r="H297" s="365">
        <f t="shared" si="154"/>
        <v>-0.38104884087328378</v>
      </c>
      <c r="I297" s="363"/>
    </row>
    <row r="298" spans="2:9" x14ac:dyDescent="0.25">
      <c r="B298" s="620">
        <v>42439</v>
      </c>
      <c r="C298" s="362">
        <v>9278</v>
      </c>
      <c r="D298" s="621">
        <v>17.718</v>
      </c>
      <c r="E298" s="363">
        <v>10.59</v>
      </c>
      <c r="F298" s="363">
        <f t="shared" si="152"/>
        <v>-66133.584000000003</v>
      </c>
      <c r="G298" s="363">
        <f t="shared" si="153"/>
        <v>164387.60399999999</v>
      </c>
      <c r="H298" s="365">
        <f t="shared" si="154"/>
        <v>-0.40230274297324753</v>
      </c>
      <c r="I298" s="363" t="s">
        <v>185</v>
      </c>
    </row>
    <row r="299" spans="2:9" x14ac:dyDescent="0.25">
      <c r="B299" s="620">
        <v>42440</v>
      </c>
      <c r="C299" s="362">
        <v>9278</v>
      </c>
      <c r="D299" s="621">
        <v>17.712</v>
      </c>
      <c r="E299" s="363">
        <v>11.12</v>
      </c>
      <c r="F299" s="363">
        <f t="shared" si="152"/>
        <v>-61160.576000000008</v>
      </c>
      <c r="G299" s="363">
        <f t="shared" si="153"/>
        <v>164331.93599999999</v>
      </c>
      <c r="H299" s="365">
        <f t="shared" si="154"/>
        <v>-0.37217705510388438</v>
      </c>
      <c r="I299" s="363"/>
    </row>
    <row r="300" spans="2:9" x14ac:dyDescent="0.25">
      <c r="B300" s="620">
        <v>42446</v>
      </c>
      <c r="C300" s="362">
        <v>9278</v>
      </c>
      <c r="D300" s="621">
        <v>17.704999999999998</v>
      </c>
      <c r="E300" s="363">
        <v>11.45</v>
      </c>
      <c r="F300" s="363">
        <f t="shared" si="152"/>
        <v>-58033.889999999992</v>
      </c>
      <c r="G300" s="363">
        <f t="shared" si="153"/>
        <v>164266.99</v>
      </c>
      <c r="H300" s="365">
        <f t="shared" si="154"/>
        <v>-0.353290031064671</v>
      </c>
      <c r="I300" s="363"/>
    </row>
    <row r="301" spans="2:9" x14ac:dyDescent="0.25">
      <c r="B301" s="620">
        <v>42447</v>
      </c>
      <c r="C301" s="362">
        <v>7928</v>
      </c>
      <c r="D301" s="621">
        <v>18.734999999999999</v>
      </c>
      <c r="E301" s="363">
        <v>11.63</v>
      </c>
      <c r="F301" s="363">
        <f t="shared" si="152"/>
        <v>-56328.439999999988</v>
      </c>
      <c r="G301" s="363">
        <f t="shared" si="153"/>
        <v>148531.07999999999</v>
      </c>
      <c r="H301" s="365">
        <f t="shared" si="154"/>
        <v>-0.37923672271150249</v>
      </c>
      <c r="I301" s="363"/>
    </row>
    <row r="302" spans="2:9" x14ac:dyDescent="0.25">
      <c r="B302" s="620">
        <v>42450</v>
      </c>
      <c r="C302" s="362">
        <v>9278</v>
      </c>
      <c r="D302" s="621">
        <v>17.670000000000002</v>
      </c>
      <c r="E302" s="363">
        <v>11.43</v>
      </c>
      <c r="F302" s="363">
        <f t="shared" si="152"/>
        <v>-57894.720000000016</v>
      </c>
      <c r="G302" s="363">
        <f t="shared" si="153"/>
        <v>163942.26</v>
      </c>
      <c r="H302" s="364">
        <f t="shared" si="154"/>
        <v>-0.35314091680814946</v>
      </c>
      <c r="I302" s="363"/>
    </row>
    <row r="303" spans="2:9" x14ac:dyDescent="0.25">
      <c r="B303" s="620">
        <v>42451</v>
      </c>
      <c r="C303" s="362">
        <v>9628</v>
      </c>
      <c r="D303" s="621">
        <v>17.428000000000001</v>
      </c>
      <c r="E303" s="363">
        <v>11.31</v>
      </c>
      <c r="F303" s="363">
        <f t="shared" si="152"/>
        <v>-58904.104000000007</v>
      </c>
      <c r="G303" s="363">
        <f t="shared" si="153"/>
        <v>167796.78400000001</v>
      </c>
      <c r="H303" s="364">
        <f t="shared" si="154"/>
        <v>-0.35104429653431263</v>
      </c>
      <c r="I303" s="363"/>
    </row>
    <row r="304" spans="2:9" x14ac:dyDescent="0.25">
      <c r="B304" s="620">
        <v>42453</v>
      </c>
      <c r="C304" s="362">
        <v>13278</v>
      </c>
      <c r="D304" s="621">
        <v>15.5565</v>
      </c>
      <c r="E304" s="363">
        <v>10.29</v>
      </c>
      <c r="F304" s="363">
        <f t="shared" ref="F304:F343" si="155">C304*(E304-D304)</f>
        <v>-69928.587000000014</v>
      </c>
      <c r="G304" s="363">
        <f t="shared" ref="G304:G343" si="156">IF(C304=0, 0,D304*C304)</f>
        <v>206559.20699999999</v>
      </c>
      <c r="H304" s="364">
        <f t="shared" si="154"/>
        <v>-0.33854016006171056</v>
      </c>
      <c r="I304" s="363"/>
    </row>
    <row r="305" spans="2:14" x14ac:dyDescent="0.25">
      <c r="B305" s="620">
        <v>42459</v>
      </c>
      <c r="C305" s="362">
        <v>11278</v>
      </c>
      <c r="D305" s="621">
        <v>16.408899999999999</v>
      </c>
      <c r="E305" s="363">
        <v>10.53</v>
      </c>
      <c r="F305" s="363">
        <f t="shared" si="155"/>
        <v>-66302.234199999992</v>
      </c>
      <c r="G305" s="363">
        <f t="shared" si="156"/>
        <v>185059.5742</v>
      </c>
      <c r="H305" s="364">
        <f t="shared" si="154"/>
        <v>-0.35827508242478168</v>
      </c>
      <c r="I305" s="363"/>
    </row>
    <row r="306" spans="2:14" x14ac:dyDescent="0.25">
      <c r="B306" s="620">
        <v>42460</v>
      </c>
      <c r="C306" s="362">
        <v>9678</v>
      </c>
      <c r="D306" s="621">
        <v>17.311699999999998</v>
      </c>
      <c r="E306" s="363">
        <v>11.14</v>
      </c>
      <c r="F306" s="363">
        <f t="shared" si="155"/>
        <v>-59729.712599999977</v>
      </c>
      <c r="G306" s="363">
        <f t="shared" si="156"/>
        <v>167542.63259999998</v>
      </c>
      <c r="H306" s="364">
        <f t="shared" si="154"/>
        <v>-0.35650456049954643</v>
      </c>
      <c r="I306" s="363"/>
    </row>
    <row r="307" spans="2:14" x14ac:dyDescent="0.25">
      <c r="B307" s="620">
        <v>42461</v>
      </c>
      <c r="C307" s="362">
        <v>11678</v>
      </c>
      <c r="D307" s="621">
        <v>16.116</v>
      </c>
      <c r="E307" s="363">
        <v>10.53</v>
      </c>
      <c r="F307" s="363">
        <f t="shared" si="155"/>
        <v>-65233.308000000005</v>
      </c>
      <c r="G307" s="363">
        <f t="shared" si="156"/>
        <v>188202.64799999999</v>
      </c>
      <c r="H307" s="364">
        <f t="shared" si="154"/>
        <v>-0.34661206254653765</v>
      </c>
      <c r="I307" s="363"/>
    </row>
    <row r="308" spans="2:14" x14ac:dyDescent="0.25">
      <c r="B308" s="620">
        <v>42461</v>
      </c>
      <c r="C308" s="362">
        <v>9678</v>
      </c>
      <c r="D308" s="621">
        <v>17.266200000000001</v>
      </c>
      <c r="E308" s="363">
        <v>10.56</v>
      </c>
      <c r="F308" s="363">
        <f t="shared" si="155"/>
        <v>-64902.603600000009</v>
      </c>
      <c r="G308" s="363">
        <f t="shared" si="156"/>
        <v>167102.28360000002</v>
      </c>
      <c r="H308" s="364">
        <f t="shared" si="154"/>
        <v>-0.388400458699656</v>
      </c>
      <c r="I308" s="363"/>
    </row>
    <row r="309" spans="2:14" x14ac:dyDescent="0.25">
      <c r="B309" s="620">
        <v>42464</v>
      </c>
      <c r="C309" s="362">
        <v>9778</v>
      </c>
      <c r="D309" s="621">
        <v>17.196100000000001</v>
      </c>
      <c r="E309" s="363">
        <v>10.4</v>
      </c>
      <c r="F309" s="363">
        <f t="shared" si="155"/>
        <v>-66452.265800000008</v>
      </c>
      <c r="G309" s="363">
        <f t="shared" si="156"/>
        <v>168143.46580000001</v>
      </c>
      <c r="H309" s="364">
        <f t="shared" si="154"/>
        <v>-0.3952117049796175</v>
      </c>
      <c r="I309" s="363"/>
    </row>
    <row r="310" spans="2:14" x14ac:dyDescent="0.25">
      <c r="B310" s="620">
        <v>42465</v>
      </c>
      <c r="C310" s="362">
        <v>9678</v>
      </c>
      <c r="D310" s="621">
        <v>17.262699999999999</v>
      </c>
      <c r="E310" s="363">
        <v>10.63</v>
      </c>
      <c r="F310" s="363">
        <f t="shared" si="155"/>
        <v>-64191.270599999982</v>
      </c>
      <c r="G310" s="363">
        <f t="shared" si="156"/>
        <v>167068.4106</v>
      </c>
      <c r="H310" s="364">
        <f t="shared" si="154"/>
        <v>-0.38422147172806098</v>
      </c>
      <c r="I310" s="363"/>
    </row>
    <row r="311" spans="2:14" x14ac:dyDescent="0.25">
      <c r="B311" s="620">
        <v>42469</v>
      </c>
      <c r="C311" s="362">
        <v>8678</v>
      </c>
      <c r="D311" s="621">
        <v>17.895700000000001</v>
      </c>
      <c r="E311" s="363">
        <v>11.78</v>
      </c>
      <c r="F311" s="363">
        <f t="shared" si="155"/>
        <v>-53072.044600000016</v>
      </c>
      <c r="G311" s="363">
        <f t="shared" si="156"/>
        <v>155298.88460000002</v>
      </c>
      <c r="H311" s="364">
        <f t="shared" si="154"/>
        <v>-0.34174131215878684</v>
      </c>
      <c r="I311" s="363"/>
      <c r="N311" s="70"/>
    </row>
    <row r="312" spans="2:14" x14ac:dyDescent="0.25">
      <c r="B312" s="620">
        <v>42471</v>
      </c>
      <c r="C312" s="362">
        <v>9678</v>
      </c>
      <c r="D312" s="621">
        <v>17.2514</v>
      </c>
      <c r="E312" s="363">
        <v>11.67</v>
      </c>
      <c r="F312" s="363">
        <f t="shared" si="155"/>
        <v>-54016.789200000007</v>
      </c>
      <c r="G312" s="363">
        <f t="shared" si="156"/>
        <v>166959.04920000001</v>
      </c>
      <c r="H312" s="364">
        <f t="shared" si="154"/>
        <v>-0.32353316252593994</v>
      </c>
      <c r="I312" s="363"/>
    </row>
    <row r="313" spans="2:14" x14ac:dyDescent="0.25">
      <c r="B313" s="620">
        <v>42472</v>
      </c>
      <c r="C313" s="362">
        <v>8288</v>
      </c>
      <c r="D313" s="621">
        <v>17.96</v>
      </c>
      <c r="E313" s="363">
        <v>13.05</v>
      </c>
      <c r="F313" s="363">
        <f t="shared" si="155"/>
        <v>-40694.080000000002</v>
      </c>
      <c r="G313" s="363">
        <f t="shared" si="156"/>
        <v>148852.48000000001</v>
      </c>
      <c r="H313" s="364">
        <f t="shared" si="154"/>
        <v>-0.27338530066815142</v>
      </c>
      <c r="I313" s="363"/>
    </row>
    <row r="314" spans="2:14" x14ac:dyDescent="0.25">
      <c r="B314" s="620">
        <v>42473</v>
      </c>
      <c r="C314" s="362">
        <v>9258</v>
      </c>
      <c r="D314" s="621">
        <v>17.415800000000001</v>
      </c>
      <c r="E314" s="363">
        <v>12.92</v>
      </c>
      <c r="F314" s="363">
        <f t="shared" si="155"/>
        <v>-41622.116400000006</v>
      </c>
      <c r="G314" s="363">
        <f t="shared" si="156"/>
        <v>161235.47640000001</v>
      </c>
      <c r="H314" s="364">
        <f t="shared" si="154"/>
        <v>-0.2581449029042594</v>
      </c>
      <c r="I314" s="363"/>
    </row>
    <row r="315" spans="2:14" x14ac:dyDescent="0.25">
      <c r="B315" s="620">
        <v>42474</v>
      </c>
      <c r="C315" s="362">
        <v>9678</v>
      </c>
      <c r="D315" s="621">
        <v>17.2135</v>
      </c>
      <c r="E315" s="363">
        <v>13.11</v>
      </c>
      <c r="F315" s="363">
        <f t="shared" si="155"/>
        <v>-39713.673000000003</v>
      </c>
      <c r="G315" s="363">
        <f t="shared" si="156"/>
        <v>166592.253</v>
      </c>
      <c r="H315" s="364">
        <f t="shared" si="154"/>
        <v>-0.23838847416272113</v>
      </c>
      <c r="I315" s="363"/>
    </row>
    <row r="316" spans="2:14" x14ac:dyDescent="0.25">
      <c r="B316" s="620">
        <v>42474</v>
      </c>
      <c r="C316" s="362">
        <v>9178</v>
      </c>
      <c r="D316" s="621">
        <v>17.433299999999999</v>
      </c>
      <c r="E316" s="363">
        <v>13.11</v>
      </c>
      <c r="F316" s="363">
        <f t="shared" si="155"/>
        <v>-39679.2474</v>
      </c>
      <c r="G316" s="363">
        <f t="shared" si="156"/>
        <v>160002.82739999998</v>
      </c>
      <c r="H316" s="364">
        <f t="shared" si="154"/>
        <v>-0.24799091394056202</v>
      </c>
      <c r="I316" s="363"/>
    </row>
    <row r="317" spans="2:14" x14ac:dyDescent="0.25">
      <c r="B317" s="620">
        <v>42475</v>
      </c>
      <c r="C317" s="362">
        <v>9678</v>
      </c>
      <c r="D317" s="621">
        <v>17.205100000000002</v>
      </c>
      <c r="E317" s="363">
        <v>13.01</v>
      </c>
      <c r="F317" s="363">
        <f t="shared" si="155"/>
        <v>-40600.177800000019</v>
      </c>
      <c r="G317" s="363">
        <f t="shared" si="156"/>
        <v>166510.9578</v>
      </c>
      <c r="H317" s="364">
        <f t="shared" si="154"/>
        <v>-0.24382886469709572</v>
      </c>
      <c r="I317" s="363"/>
    </row>
    <row r="318" spans="2:14" x14ac:dyDescent="0.25">
      <c r="B318" s="620">
        <v>42478</v>
      </c>
      <c r="C318" s="362">
        <v>9178</v>
      </c>
      <c r="D318" s="621">
        <v>17.412400000000002</v>
      </c>
      <c r="E318" s="363">
        <v>13.36</v>
      </c>
      <c r="F318" s="363">
        <f t="shared" si="155"/>
        <v>-37192.92720000002</v>
      </c>
      <c r="G318" s="363">
        <f t="shared" si="156"/>
        <v>159811.00720000002</v>
      </c>
      <c r="H318" s="364">
        <f t="shared" si="154"/>
        <v>-0.232730697663734</v>
      </c>
      <c r="I318" s="363"/>
    </row>
    <row r="319" spans="2:14" x14ac:dyDescent="0.25">
      <c r="B319" s="620">
        <v>42484</v>
      </c>
      <c r="C319" s="383">
        <v>9178</v>
      </c>
      <c r="D319" s="622">
        <v>17.412400000000002</v>
      </c>
      <c r="E319" s="363">
        <v>14.34</v>
      </c>
      <c r="F319" s="363">
        <f t="shared" si="155"/>
        <v>-28198.487200000018</v>
      </c>
      <c r="G319" s="363">
        <f t="shared" si="156"/>
        <v>159811.00720000002</v>
      </c>
      <c r="H319" s="364">
        <f t="shared" si="154"/>
        <v>-0.17644896740254082</v>
      </c>
      <c r="I319" s="363"/>
    </row>
    <row r="320" spans="2:14" x14ac:dyDescent="0.25">
      <c r="B320" s="620">
        <v>42485</v>
      </c>
      <c r="C320" s="383">
        <v>9678</v>
      </c>
      <c r="D320" s="622">
        <v>17.233499999999999</v>
      </c>
      <c r="E320" s="363">
        <v>13.83</v>
      </c>
      <c r="F320" s="363">
        <f t="shared" si="155"/>
        <v>-32939.072999999997</v>
      </c>
      <c r="G320" s="363">
        <f t="shared" si="156"/>
        <v>166785.81299999999</v>
      </c>
      <c r="H320" s="364">
        <f t="shared" si="154"/>
        <v>-0.19749325441726867</v>
      </c>
      <c r="I320" s="363"/>
    </row>
    <row r="321" spans="2:14" ht="15" customHeight="1" x14ac:dyDescent="0.25">
      <c r="B321" s="620">
        <v>42486</v>
      </c>
      <c r="C321" s="362">
        <v>9178</v>
      </c>
      <c r="D321" s="621">
        <v>17.390599999999999</v>
      </c>
      <c r="E321" s="363">
        <v>14.44</v>
      </c>
      <c r="F321" s="363">
        <f t="shared" si="155"/>
        <v>-27080.606799999998</v>
      </c>
      <c r="G321" s="363">
        <f t="shared" si="156"/>
        <v>159610.92679999999</v>
      </c>
      <c r="H321" s="365">
        <f t="shared" si="154"/>
        <v>-0.16966637148804525</v>
      </c>
      <c r="I321" s="363"/>
    </row>
    <row r="322" spans="2:14" x14ac:dyDescent="0.25">
      <c r="B322" s="620">
        <v>42487</v>
      </c>
      <c r="C322" s="362">
        <v>9178</v>
      </c>
      <c r="D322" s="621">
        <v>17.376300000000001</v>
      </c>
      <c r="E322" s="363">
        <v>14.84</v>
      </c>
      <c r="F322" s="363">
        <f t="shared" si="155"/>
        <v>-23278.161400000005</v>
      </c>
      <c r="G322" s="363">
        <f t="shared" si="156"/>
        <v>159479.6814</v>
      </c>
      <c r="H322" s="365">
        <f t="shared" si="154"/>
        <v>-0.14596317973331496</v>
      </c>
      <c r="I322" s="363"/>
    </row>
    <row r="323" spans="2:14" x14ac:dyDescent="0.25">
      <c r="B323" s="620">
        <v>42488</v>
      </c>
      <c r="C323" s="362">
        <v>9678</v>
      </c>
      <c r="D323" s="621">
        <v>17.2287</v>
      </c>
      <c r="E323" s="363">
        <v>14.35</v>
      </c>
      <c r="F323" s="363">
        <f t="shared" si="155"/>
        <v>-27860.058600000004</v>
      </c>
      <c r="G323" s="363">
        <f t="shared" si="156"/>
        <v>166739.35860000001</v>
      </c>
      <c r="H323" s="365">
        <f t="shared" si="154"/>
        <v>-0.16708747612994598</v>
      </c>
      <c r="I323" s="363"/>
    </row>
    <row r="324" spans="2:14" x14ac:dyDescent="0.25">
      <c r="B324" s="620">
        <v>42489</v>
      </c>
      <c r="C324" s="362">
        <v>9678</v>
      </c>
      <c r="D324" s="621">
        <v>17.179200000000002</v>
      </c>
      <c r="E324" s="363">
        <v>14.09</v>
      </c>
      <c r="F324" s="363">
        <f t="shared" si="155"/>
        <v>-29897.277600000016</v>
      </c>
      <c r="G324" s="363">
        <f t="shared" si="156"/>
        <v>166260.29760000002</v>
      </c>
      <c r="H324" s="365">
        <f t="shared" si="154"/>
        <v>-0.17982211045916</v>
      </c>
      <c r="I324" s="363"/>
    </row>
    <row r="325" spans="2:14" x14ac:dyDescent="0.25">
      <c r="B325" s="620">
        <v>42492</v>
      </c>
      <c r="C325" s="362">
        <v>9678</v>
      </c>
      <c r="D325" s="621">
        <v>17.136399999999998</v>
      </c>
      <c r="E325" s="363">
        <v>13.55</v>
      </c>
      <c r="F325" s="363">
        <f t="shared" si="155"/>
        <v>-34709.179199999977</v>
      </c>
      <c r="G325" s="363">
        <f t="shared" si="156"/>
        <v>165846.07919999998</v>
      </c>
      <c r="H325" s="365">
        <f t="shared" si="154"/>
        <v>-0.20928549753740563</v>
      </c>
      <c r="I325" s="363"/>
    </row>
    <row r="326" spans="2:14" x14ac:dyDescent="0.25">
      <c r="B326" s="620">
        <v>42493</v>
      </c>
      <c r="C326" s="362">
        <v>9678</v>
      </c>
      <c r="D326" s="621">
        <v>17.1221</v>
      </c>
      <c r="E326" s="363">
        <v>12.79</v>
      </c>
      <c r="F326" s="363">
        <f t="shared" si="155"/>
        <v>-41926.063800000004</v>
      </c>
      <c r="G326" s="363">
        <f t="shared" si="156"/>
        <v>165707.6838</v>
      </c>
      <c r="H326" s="365">
        <f t="shared" si="154"/>
        <v>-0.25301218892542388</v>
      </c>
      <c r="I326" s="363"/>
    </row>
    <row r="327" spans="2:14" x14ac:dyDescent="0.25">
      <c r="B327" s="620">
        <v>42494</v>
      </c>
      <c r="C327" s="362">
        <v>11678</v>
      </c>
      <c r="D327" s="621">
        <v>16.316800000000001</v>
      </c>
      <c r="E327" s="363">
        <v>12.17</v>
      </c>
      <c r="F327" s="363">
        <f t="shared" si="155"/>
        <v>-48426.330400000006</v>
      </c>
      <c r="G327" s="363">
        <f t="shared" si="156"/>
        <v>190547.59040000002</v>
      </c>
      <c r="H327" s="365">
        <f t="shared" si="154"/>
        <v>-0.25414296920964896</v>
      </c>
      <c r="I327" s="363"/>
    </row>
    <row r="328" spans="2:14" x14ac:dyDescent="0.25">
      <c r="B328" s="620">
        <v>42495</v>
      </c>
      <c r="C328" s="362">
        <v>9678</v>
      </c>
      <c r="D328" s="621">
        <v>17.0684</v>
      </c>
      <c r="E328" s="363">
        <v>12.07</v>
      </c>
      <c r="F328" s="363">
        <f t="shared" si="155"/>
        <v>-48374.515200000002</v>
      </c>
      <c r="G328" s="363">
        <f t="shared" si="156"/>
        <v>165187.97520000002</v>
      </c>
      <c r="H328" s="364">
        <f t="shared" si="154"/>
        <v>-0.29284525790349419</v>
      </c>
      <c r="I328" s="363"/>
    </row>
    <row r="329" spans="2:14" x14ac:dyDescent="0.25">
      <c r="B329" s="620">
        <v>42499</v>
      </c>
      <c r="C329" s="362">
        <v>10678</v>
      </c>
      <c r="D329" s="621">
        <v>16.537600000000001</v>
      </c>
      <c r="E329" s="363">
        <v>11.44</v>
      </c>
      <c r="F329" s="363">
        <f t="shared" si="155"/>
        <v>-54432.172800000015</v>
      </c>
      <c r="G329" s="363">
        <f t="shared" si="156"/>
        <v>176588.49280000001</v>
      </c>
      <c r="H329" s="364">
        <f t="shared" si="154"/>
        <v>-0.30824303405572762</v>
      </c>
      <c r="I329" s="363"/>
      <c r="N329" s="70"/>
    </row>
    <row r="330" spans="2:14" x14ac:dyDescent="0.25">
      <c r="B330" s="620">
        <v>42500</v>
      </c>
      <c r="C330" s="362">
        <v>9678</v>
      </c>
      <c r="D330" s="621">
        <v>17.042100000000001</v>
      </c>
      <c r="E330" s="363">
        <v>11.94</v>
      </c>
      <c r="F330" s="363">
        <f t="shared" si="155"/>
        <v>-49378.123800000016</v>
      </c>
      <c r="G330" s="363">
        <f t="shared" si="156"/>
        <v>164933.44380000001</v>
      </c>
      <c r="H330" s="364">
        <f t="shared" si="154"/>
        <v>-0.2993821184009014</v>
      </c>
      <c r="I330" s="363"/>
    </row>
    <row r="331" spans="2:14" x14ac:dyDescent="0.25">
      <c r="B331" s="620">
        <v>42502</v>
      </c>
      <c r="C331" s="362">
        <v>10678</v>
      </c>
      <c r="D331" s="621">
        <v>16.601800000000001</v>
      </c>
      <c r="E331" s="363">
        <v>12.33</v>
      </c>
      <c r="F331" s="363">
        <f t="shared" si="155"/>
        <v>-45614.280400000011</v>
      </c>
      <c r="G331" s="363">
        <f t="shared" si="156"/>
        <v>177274.02040000001</v>
      </c>
      <c r="H331" s="364">
        <f t="shared" si="154"/>
        <v>-0.25730944837306802</v>
      </c>
      <c r="I331" s="363"/>
    </row>
    <row r="332" spans="2:14" x14ac:dyDescent="0.25">
      <c r="B332" s="620">
        <v>42502</v>
      </c>
      <c r="C332" s="362">
        <v>9678</v>
      </c>
      <c r="D332" s="621">
        <v>17.0334</v>
      </c>
      <c r="E332" s="363">
        <v>12.33</v>
      </c>
      <c r="F332" s="363">
        <f t="shared" si="155"/>
        <v>-45519.5052</v>
      </c>
      <c r="G332" s="363">
        <f t="shared" si="156"/>
        <v>164849.2452</v>
      </c>
      <c r="H332" s="364">
        <f t="shared" si="154"/>
        <v>-0.27612807777660364</v>
      </c>
      <c r="I332" s="363"/>
    </row>
    <row r="333" spans="2:14" x14ac:dyDescent="0.25">
      <c r="B333" s="620">
        <v>42503</v>
      </c>
      <c r="C333" s="362">
        <v>9678</v>
      </c>
      <c r="D333" s="621">
        <v>17.029299999999999</v>
      </c>
      <c r="E333" s="363">
        <v>12.3</v>
      </c>
      <c r="F333" s="363">
        <f t="shared" si="155"/>
        <v>-45770.165399999983</v>
      </c>
      <c r="G333" s="363">
        <f t="shared" si="156"/>
        <v>164809.56539999999</v>
      </c>
      <c r="H333" s="364">
        <f t="shared" si="154"/>
        <v>-0.27771546687180321</v>
      </c>
      <c r="I333" s="363"/>
    </row>
    <row r="334" spans="2:14" x14ac:dyDescent="0.25">
      <c r="B334" s="620">
        <v>42506</v>
      </c>
      <c r="C334" s="362">
        <v>9678</v>
      </c>
      <c r="D334" s="621">
        <v>17.027699999999999</v>
      </c>
      <c r="E334" s="363">
        <v>12.78</v>
      </c>
      <c r="F334" s="363">
        <f t="shared" si="155"/>
        <v>-41109.240599999997</v>
      </c>
      <c r="G334" s="363">
        <f t="shared" si="156"/>
        <v>164794.08059999999</v>
      </c>
      <c r="H334" s="364">
        <f t="shared" si="154"/>
        <v>-0.24945823569830336</v>
      </c>
      <c r="I334" s="363"/>
    </row>
    <row r="335" spans="2:14" x14ac:dyDescent="0.25">
      <c r="B335" s="620">
        <v>42513</v>
      </c>
      <c r="C335" s="362">
        <v>9178</v>
      </c>
      <c r="D335" s="621">
        <v>17.244399999999999</v>
      </c>
      <c r="E335" s="363">
        <v>13.19</v>
      </c>
      <c r="F335" s="363">
        <f t="shared" si="155"/>
        <v>-37211.283199999991</v>
      </c>
      <c r="G335" s="363">
        <f t="shared" si="156"/>
        <v>158269.10319999998</v>
      </c>
      <c r="H335" s="364">
        <f t="shared" si="154"/>
        <v>-0.23511400802579385</v>
      </c>
      <c r="I335" s="363"/>
    </row>
    <row r="336" spans="2:14" x14ac:dyDescent="0.25">
      <c r="B336" s="620">
        <v>42514</v>
      </c>
      <c r="C336" s="362">
        <v>9678</v>
      </c>
      <c r="D336" s="621">
        <v>17.026</v>
      </c>
      <c r="E336" s="363">
        <v>13.02</v>
      </c>
      <c r="F336" s="363">
        <f t="shared" si="155"/>
        <v>-38770.067999999999</v>
      </c>
      <c r="G336" s="363">
        <f t="shared" si="156"/>
        <v>164777.628</v>
      </c>
      <c r="H336" s="364">
        <f t="shared" si="154"/>
        <v>-0.23528720779983556</v>
      </c>
      <c r="I336" s="363"/>
    </row>
    <row r="337" spans="2:9" x14ac:dyDescent="0.25">
      <c r="B337" s="620">
        <v>42515</v>
      </c>
      <c r="C337" s="362">
        <v>9178</v>
      </c>
      <c r="D337" s="621">
        <v>17.206800000000001</v>
      </c>
      <c r="E337" s="363">
        <v>13.54</v>
      </c>
      <c r="F337" s="363">
        <f t="shared" si="155"/>
        <v>-33653.890400000018</v>
      </c>
      <c r="G337" s="363">
        <f t="shared" si="156"/>
        <v>157924.0104</v>
      </c>
      <c r="H337" s="364">
        <f t="shared" si="154"/>
        <v>-0.21310179696399109</v>
      </c>
      <c r="I337" s="363"/>
    </row>
    <row r="338" spans="2:9" x14ac:dyDescent="0.25">
      <c r="B338" s="620">
        <v>42516</v>
      </c>
      <c r="C338" s="362">
        <v>9678</v>
      </c>
      <c r="D338" s="621">
        <v>17.003799999999998</v>
      </c>
      <c r="E338" s="363">
        <v>13.17</v>
      </c>
      <c r="F338" s="363">
        <f t="shared" si="155"/>
        <v>-37103.516399999986</v>
      </c>
      <c r="G338" s="363">
        <f t="shared" si="156"/>
        <v>164562.77639999997</v>
      </c>
      <c r="H338" s="364">
        <f t="shared" si="154"/>
        <v>-0.22546724849739463</v>
      </c>
      <c r="I338" s="363"/>
    </row>
    <row r="339" spans="2:9" x14ac:dyDescent="0.25">
      <c r="B339" s="620">
        <v>42517</v>
      </c>
      <c r="C339" s="362">
        <v>9678</v>
      </c>
      <c r="D339" s="621">
        <v>16.999700000000001</v>
      </c>
      <c r="E339" s="363">
        <v>12.9</v>
      </c>
      <c r="F339" s="363">
        <f t="shared" si="155"/>
        <v>-39676.8966</v>
      </c>
      <c r="G339" s="363">
        <f t="shared" si="156"/>
        <v>164523.09660000002</v>
      </c>
      <c r="H339" s="364">
        <f t="shared" si="154"/>
        <v>-0.2411630793484591</v>
      </c>
      <c r="I339" s="363"/>
    </row>
    <row r="340" spans="2:9" x14ac:dyDescent="0.25">
      <c r="B340" s="620">
        <v>42525</v>
      </c>
      <c r="C340" s="362">
        <v>9678</v>
      </c>
      <c r="D340" s="621">
        <v>16.9956</v>
      </c>
      <c r="E340" s="363">
        <v>13.32</v>
      </c>
      <c r="F340" s="363">
        <f t="shared" si="155"/>
        <v>-35572.456799999993</v>
      </c>
      <c r="G340" s="363">
        <f t="shared" si="156"/>
        <v>164483.41680000001</v>
      </c>
      <c r="H340" s="364">
        <f t="shared" si="154"/>
        <v>-0.21626773988561743</v>
      </c>
      <c r="I340" s="363"/>
    </row>
    <row r="341" spans="2:9" x14ac:dyDescent="0.25">
      <c r="B341" s="620">
        <v>42527</v>
      </c>
      <c r="C341" s="362">
        <v>8178</v>
      </c>
      <c r="D341" s="621">
        <v>17.568999999999999</v>
      </c>
      <c r="E341" s="363">
        <v>13.96</v>
      </c>
      <c r="F341" s="363">
        <f t="shared" si="155"/>
        <v>-29514.401999999984</v>
      </c>
      <c r="G341" s="363">
        <f t="shared" si="156"/>
        <v>143679.28200000001</v>
      </c>
      <c r="H341" s="364">
        <f t="shared" si="154"/>
        <v>-0.20541863509590746</v>
      </c>
      <c r="I341" s="363"/>
    </row>
    <row r="342" spans="2:9" x14ac:dyDescent="0.25">
      <c r="B342" s="620">
        <v>42528</v>
      </c>
      <c r="C342" s="362">
        <v>7678</v>
      </c>
      <c r="D342" s="621">
        <v>17.759599999999999</v>
      </c>
      <c r="E342" s="363">
        <v>14.62</v>
      </c>
      <c r="F342" s="363">
        <f t="shared" si="155"/>
        <v>-24105.848799999996</v>
      </c>
      <c r="G342" s="363">
        <f t="shared" si="156"/>
        <v>136358.20879999999</v>
      </c>
      <c r="H342" s="364">
        <f t="shared" si="154"/>
        <v>-0.17678326088425414</v>
      </c>
      <c r="I342" s="363"/>
    </row>
    <row r="343" spans="2:9" x14ac:dyDescent="0.25">
      <c r="B343" s="620">
        <v>42529</v>
      </c>
      <c r="C343" s="362">
        <v>8178</v>
      </c>
      <c r="D343" s="621">
        <v>17.5654</v>
      </c>
      <c r="E343" s="363">
        <v>14.53</v>
      </c>
      <c r="F343" s="363">
        <f t="shared" si="155"/>
        <v>-24823.50120000001</v>
      </c>
      <c r="G343" s="363">
        <f t="shared" si="156"/>
        <v>143649.8412</v>
      </c>
      <c r="H343" s="364">
        <f t="shared" si="154"/>
        <v>-0.17280562924840887</v>
      </c>
      <c r="I343" s="363"/>
    </row>
    <row r="344" spans="2:9" x14ac:dyDescent="0.25">
      <c r="B344" s="620">
        <v>42531</v>
      </c>
      <c r="C344" s="362">
        <v>8978</v>
      </c>
      <c r="D344" s="621">
        <v>17.1751</v>
      </c>
      <c r="E344" s="363">
        <v>13.42</v>
      </c>
      <c r="F344" s="363">
        <f t="shared" ref="F344:F352" si="157">C344*(E344-D344)</f>
        <v>-33713.287800000006</v>
      </c>
      <c r="G344" s="363">
        <f t="shared" ref="G344:G352" si="158">IF(C344=0, 0,D344*C344)</f>
        <v>154198.0478</v>
      </c>
      <c r="H344" s="364">
        <f t="shared" ref="H344:H352" si="159">IF(C344=0, D344, (E344-D344)/D344)</f>
        <v>-0.21863628159370255</v>
      </c>
      <c r="I344" s="363"/>
    </row>
    <row r="345" spans="2:9" x14ac:dyDescent="0.25">
      <c r="B345" s="620">
        <v>42531</v>
      </c>
      <c r="C345" s="383">
        <v>9278</v>
      </c>
      <c r="D345" s="622">
        <v>17.1052</v>
      </c>
      <c r="E345" s="363">
        <v>13.42</v>
      </c>
      <c r="F345" s="363">
        <f t="shared" si="157"/>
        <v>-34191.285600000003</v>
      </c>
      <c r="G345" s="363">
        <f t="shared" si="158"/>
        <v>158702.04560000001</v>
      </c>
      <c r="H345" s="364">
        <f t="shared" si="159"/>
        <v>-0.21544325702125669</v>
      </c>
      <c r="I345" s="363"/>
    </row>
    <row r="346" spans="2:9" x14ac:dyDescent="0.25">
      <c r="B346" s="620">
        <v>42532</v>
      </c>
      <c r="C346" s="362">
        <v>9278</v>
      </c>
      <c r="D346" s="621">
        <v>17.053000000000001</v>
      </c>
      <c r="E346" s="363">
        <v>13.42</v>
      </c>
      <c r="F346" s="363">
        <f t="shared" si="157"/>
        <v>-33706.974000000009</v>
      </c>
      <c r="G346" s="363">
        <f t="shared" si="158"/>
        <v>158217.734</v>
      </c>
      <c r="H346" s="364">
        <f t="shared" si="159"/>
        <v>-0.21304169354365804</v>
      </c>
      <c r="I346" s="363" t="s">
        <v>182</v>
      </c>
    </row>
    <row r="347" spans="2:9" x14ac:dyDescent="0.25">
      <c r="B347" s="620">
        <v>42535</v>
      </c>
      <c r="C347" s="362">
        <v>9678</v>
      </c>
      <c r="D347" s="621">
        <v>16.879300000000001</v>
      </c>
      <c r="E347" s="363">
        <v>13.23</v>
      </c>
      <c r="F347" s="363">
        <f t="shared" si="157"/>
        <v>-35317.9254</v>
      </c>
      <c r="G347" s="363">
        <f t="shared" si="158"/>
        <v>163357.86540000001</v>
      </c>
      <c r="H347" s="364">
        <f t="shared" si="159"/>
        <v>-0.21619972392220058</v>
      </c>
      <c r="I347" s="363" t="s">
        <v>218</v>
      </c>
    </row>
    <row r="348" spans="2:9" x14ac:dyDescent="0.25">
      <c r="B348" s="620">
        <v>42536</v>
      </c>
      <c r="C348" s="362">
        <v>9278</v>
      </c>
      <c r="D348" s="621">
        <v>17.027999999999999</v>
      </c>
      <c r="E348" s="363">
        <v>13.06</v>
      </c>
      <c r="F348" s="363">
        <f t="shared" si="157"/>
        <v>-36815.103999999985</v>
      </c>
      <c r="G348" s="363">
        <f t="shared" si="158"/>
        <v>157985.78399999999</v>
      </c>
      <c r="H348" s="364">
        <f t="shared" si="159"/>
        <v>-0.23302795395818643</v>
      </c>
      <c r="I348" s="363"/>
    </row>
    <row r="349" spans="2:9" x14ac:dyDescent="0.25">
      <c r="B349" s="620">
        <v>42537</v>
      </c>
      <c r="C349" s="383">
        <v>9278</v>
      </c>
      <c r="D349" s="622">
        <v>17.0168</v>
      </c>
      <c r="E349" s="363">
        <v>12.67</v>
      </c>
      <c r="F349" s="363">
        <f t="shared" si="157"/>
        <v>-40329.610399999998</v>
      </c>
      <c r="G349" s="363">
        <f t="shared" si="158"/>
        <v>157881.87039999999</v>
      </c>
      <c r="H349" s="364">
        <f t="shared" si="159"/>
        <v>-0.25544168116214566</v>
      </c>
      <c r="I349" s="363"/>
    </row>
    <row r="350" spans="2:9" x14ac:dyDescent="0.25">
      <c r="B350" s="620">
        <v>42538</v>
      </c>
      <c r="C350" s="383">
        <v>9278</v>
      </c>
      <c r="D350" s="622">
        <v>17.0061</v>
      </c>
      <c r="E350" s="363">
        <v>13.16</v>
      </c>
      <c r="F350" s="363">
        <f t="shared" si="157"/>
        <v>-35684.1158</v>
      </c>
      <c r="G350" s="363">
        <f t="shared" si="158"/>
        <v>157782.59580000001</v>
      </c>
      <c r="H350" s="364">
        <f t="shared" si="159"/>
        <v>-0.2261600249322302</v>
      </c>
      <c r="I350" s="363"/>
    </row>
    <row r="351" spans="2:9" x14ac:dyDescent="0.25">
      <c r="B351" s="620">
        <v>42541</v>
      </c>
      <c r="C351" s="362">
        <v>7678</v>
      </c>
      <c r="D351" s="621">
        <v>17.568000000000001</v>
      </c>
      <c r="E351" s="363">
        <v>14.48</v>
      </c>
      <c r="F351" s="363">
        <f t="shared" si="157"/>
        <v>-23709.664000000008</v>
      </c>
      <c r="G351" s="363">
        <f t="shared" si="158"/>
        <v>134887.10400000002</v>
      </c>
      <c r="H351" s="365">
        <f t="shared" si="159"/>
        <v>-0.17577413479052828</v>
      </c>
      <c r="I351" s="363"/>
    </row>
    <row r="352" spans="2:9" x14ac:dyDescent="0.25">
      <c r="B352" s="620">
        <v>42542</v>
      </c>
      <c r="C352" s="362">
        <v>6800</v>
      </c>
      <c r="D352" s="621">
        <v>17.892099999999999</v>
      </c>
      <c r="E352" s="363">
        <v>15.09</v>
      </c>
      <c r="F352" s="363">
        <f t="shared" si="157"/>
        <v>-19054.279999999995</v>
      </c>
      <c r="G352" s="363">
        <f t="shared" si="158"/>
        <v>121666.28</v>
      </c>
      <c r="H352" s="365">
        <f t="shared" si="159"/>
        <v>-0.15661101827063337</v>
      </c>
      <c r="I352" s="363"/>
    </row>
    <row r="353" spans="2:14" ht="15" customHeight="1" x14ac:dyDescent="0.25">
      <c r="B353" s="620">
        <v>42543</v>
      </c>
      <c r="C353" s="362">
        <v>7300</v>
      </c>
      <c r="D353" s="621">
        <v>17.6769</v>
      </c>
      <c r="E353" s="363">
        <v>14.75</v>
      </c>
      <c r="F353" s="363">
        <f t="shared" ref="F353:F361" si="160">C353*(E353-D353)</f>
        <v>-21366.37</v>
      </c>
      <c r="G353" s="363">
        <f t="shared" ref="G353:G361" si="161">IF(C353=0, 0,D353*C353)</f>
        <v>129041.37</v>
      </c>
      <c r="H353" s="365">
        <f t="shared" ref="H353:H361" si="162">IF(C353=0, D353, (E353-D353)/D353)</f>
        <v>-0.16557767481854849</v>
      </c>
      <c r="I353" s="363"/>
    </row>
    <row r="354" spans="2:14" x14ac:dyDescent="0.25">
      <c r="B354" s="620">
        <v>42544</v>
      </c>
      <c r="C354" s="362">
        <v>6800</v>
      </c>
      <c r="D354" s="621">
        <v>17.856100000000001</v>
      </c>
      <c r="E354" s="363">
        <v>15.27</v>
      </c>
      <c r="F354" s="363">
        <f t="shared" si="160"/>
        <v>-17585.480000000014</v>
      </c>
      <c r="G354" s="363">
        <f t="shared" si="161"/>
        <v>121421.48000000001</v>
      </c>
      <c r="H354" s="365">
        <f t="shared" si="162"/>
        <v>-0.1448300580753917</v>
      </c>
      <c r="I354" s="363"/>
    </row>
    <row r="355" spans="2:14" x14ac:dyDescent="0.25">
      <c r="B355" s="620">
        <v>42545</v>
      </c>
      <c r="C355" s="362">
        <v>7678</v>
      </c>
      <c r="D355" s="621">
        <v>17.462</v>
      </c>
      <c r="E355" s="363">
        <v>14.41</v>
      </c>
      <c r="F355" s="363">
        <f t="shared" si="160"/>
        <v>-23433.255999999998</v>
      </c>
      <c r="G355" s="363">
        <f t="shared" si="161"/>
        <v>134073.236</v>
      </c>
      <c r="H355" s="365">
        <f t="shared" si="162"/>
        <v>-0.17477952124613444</v>
      </c>
      <c r="I355" s="363"/>
    </row>
    <row r="356" spans="2:14" x14ac:dyDescent="0.25">
      <c r="B356" s="620">
        <v>42545</v>
      </c>
      <c r="C356" s="362">
        <v>8013</v>
      </c>
      <c r="D356" s="621">
        <v>17.32</v>
      </c>
      <c r="E356" s="363">
        <v>14.68</v>
      </c>
      <c r="F356" s="363">
        <f t="shared" si="160"/>
        <v>-21154.320000000003</v>
      </c>
      <c r="G356" s="363">
        <f t="shared" si="161"/>
        <v>138785.16</v>
      </c>
      <c r="H356" s="365">
        <f t="shared" si="162"/>
        <v>-0.15242494226327949</v>
      </c>
      <c r="I356" s="363"/>
    </row>
    <row r="357" spans="2:14" x14ac:dyDescent="0.25">
      <c r="B357" s="620">
        <v>42548</v>
      </c>
      <c r="C357" s="362">
        <v>8978</v>
      </c>
      <c r="D357" s="621">
        <v>16.943300000000001</v>
      </c>
      <c r="E357" s="363">
        <v>13.66</v>
      </c>
      <c r="F357" s="363">
        <f t="shared" si="160"/>
        <v>-29477.467400000005</v>
      </c>
      <c r="G357" s="363">
        <f t="shared" si="161"/>
        <v>152116.9474</v>
      </c>
      <c r="H357" s="365">
        <f t="shared" si="162"/>
        <v>-0.19378161279089673</v>
      </c>
      <c r="I357" s="363"/>
    </row>
    <row r="358" spans="2:14" x14ac:dyDescent="0.25">
      <c r="B358" s="620">
        <v>42548</v>
      </c>
      <c r="C358" s="362">
        <v>9278</v>
      </c>
      <c r="D358" s="621">
        <v>16.834599999999998</v>
      </c>
      <c r="E358" s="363">
        <v>13.66</v>
      </c>
      <c r="F358" s="363">
        <f t="shared" si="160"/>
        <v>-29453.938799999982</v>
      </c>
      <c r="G358" s="363">
        <f t="shared" si="161"/>
        <v>156191.41879999998</v>
      </c>
      <c r="H358" s="364">
        <f t="shared" si="162"/>
        <v>-0.18857590913951019</v>
      </c>
      <c r="I358" s="363"/>
    </row>
    <row r="359" spans="2:14" x14ac:dyDescent="0.25">
      <c r="B359" s="620">
        <v>42549</v>
      </c>
      <c r="C359" s="362">
        <v>8178</v>
      </c>
      <c r="D359" s="621">
        <v>17.124400000000001</v>
      </c>
      <c r="E359" s="363">
        <v>14.78</v>
      </c>
      <c r="F359" s="363">
        <f t="shared" si="160"/>
        <v>-19172.503200000017</v>
      </c>
      <c r="G359" s="363">
        <f t="shared" si="161"/>
        <v>140043.3432</v>
      </c>
      <c r="H359" s="364">
        <f t="shared" si="162"/>
        <v>-0.13690406671182651</v>
      </c>
      <c r="I359" s="363">
        <v>17</v>
      </c>
    </row>
    <row r="360" spans="2:14" x14ac:dyDescent="0.25">
      <c r="B360" s="620">
        <v>42552</v>
      </c>
      <c r="C360" s="362">
        <v>7678</v>
      </c>
      <c r="D360" s="621">
        <v>17.2315</v>
      </c>
      <c r="E360" s="363">
        <v>15.48</v>
      </c>
      <c r="F360" s="363">
        <f t="shared" si="160"/>
        <v>-13448.017</v>
      </c>
      <c r="G360" s="363">
        <f t="shared" si="161"/>
        <v>132303.45699999999</v>
      </c>
      <c r="H360" s="364">
        <f t="shared" si="162"/>
        <v>-0.1016452427240809</v>
      </c>
      <c r="I360" s="363">
        <v>17</v>
      </c>
      <c r="N360" s="29"/>
    </row>
    <row r="361" spans="2:14" x14ac:dyDescent="0.25">
      <c r="B361" s="620">
        <v>42552</v>
      </c>
      <c r="C361" s="362">
        <v>7300</v>
      </c>
      <c r="D361" s="621">
        <v>17.313400000000001</v>
      </c>
      <c r="E361" s="363">
        <v>15.65</v>
      </c>
      <c r="F361" s="363">
        <f t="shared" si="160"/>
        <v>-12142.820000000009</v>
      </c>
      <c r="G361" s="363">
        <f t="shared" si="161"/>
        <v>126387.82</v>
      </c>
      <c r="H361" s="364">
        <f t="shared" si="162"/>
        <v>-9.6075871868032903E-2</v>
      </c>
      <c r="I361" s="363"/>
    </row>
    <row r="362" spans="2:14" x14ac:dyDescent="0.25">
      <c r="B362" s="620">
        <v>42552</v>
      </c>
      <c r="C362" s="362">
        <v>6800</v>
      </c>
      <c r="D362" s="621">
        <v>17.446100000000001</v>
      </c>
      <c r="E362" s="363">
        <v>15.7</v>
      </c>
      <c r="F362" s="363">
        <f t="shared" ref="F362:F383" si="163">C362*(E362-D362)</f>
        <v>-11873.480000000014</v>
      </c>
      <c r="G362" s="363">
        <f t="shared" ref="G362:G383" si="164">IF(C362=0, 0,D362*C362)</f>
        <v>118633.48000000001</v>
      </c>
      <c r="H362" s="364">
        <f t="shared" ref="H362:H383" si="165">IF(C362=0, D362, (E362-D362)/D362)</f>
        <v>-0.10008540590733757</v>
      </c>
      <c r="I362" s="363"/>
    </row>
    <row r="363" spans="2:14" x14ac:dyDescent="0.25">
      <c r="B363" s="620">
        <v>42552</v>
      </c>
      <c r="C363" s="362">
        <v>6000</v>
      </c>
      <c r="D363" s="621">
        <v>17.668199999999999</v>
      </c>
      <c r="E363" s="363">
        <v>15.68</v>
      </c>
      <c r="F363" s="363">
        <f t="shared" si="163"/>
        <v>-11929.199999999995</v>
      </c>
      <c r="G363" s="363">
        <f t="shared" si="164"/>
        <v>106009.2</v>
      </c>
      <c r="H363" s="364">
        <f t="shared" si="165"/>
        <v>-0.11252985589929926</v>
      </c>
      <c r="I363" s="363"/>
    </row>
    <row r="364" spans="2:14" ht="15" customHeight="1" x14ac:dyDescent="0.25">
      <c r="B364" s="620">
        <v>42556</v>
      </c>
      <c r="C364" s="362">
        <v>8178</v>
      </c>
      <c r="D364" s="621">
        <v>16.978899999999999</v>
      </c>
      <c r="E364" s="363">
        <v>14.72</v>
      </c>
      <c r="F364" s="363">
        <f t="shared" si="163"/>
        <v>-18473.284199999991</v>
      </c>
      <c r="G364" s="363">
        <f t="shared" si="164"/>
        <v>138853.4442</v>
      </c>
      <c r="H364" s="364">
        <f t="shared" si="165"/>
        <v>-0.13304159869013887</v>
      </c>
      <c r="I364" s="363">
        <v>16.75</v>
      </c>
    </row>
    <row r="365" spans="2:14" x14ac:dyDescent="0.25">
      <c r="B365" s="620">
        <v>42556</v>
      </c>
      <c r="C365" s="362">
        <v>8678</v>
      </c>
      <c r="D365" s="621">
        <v>16.843</v>
      </c>
      <c r="E365" s="363">
        <v>14.72</v>
      </c>
      <c r="F365" s="363">
        <f t="shared" si="163"/>
        <v>-18423.393999999993</v>
      </c>
      <c r="G365" s="363">
        <f t="shared" si="164"/>
        <v>146163.554</v>
      </c>
      <c r="H365" s="364">
        <f t="shared" si="165"/>
        <v>-0.12604642878347083</v>
      </c>
      <c r="I365" s="363"/>
    </row>
    <row r="366" spans="2:14" x14ac:dyDescent="0.25">
      <c r="B366" s="620">
        <v>42557</v>
      </c>
      <c r="C366" s="362">
        <v>8178</v>
      </c>
      <c r="D366" s="621">
        <v>16.960599999999999</v>
      </c>
      <c r="E366" s="363">
        <v>14.84</v>
      </c>
      <c r="F366" s="363">
        <f t="shared" si="163"/>
        <v>-17342.266799999998</v>
      </c>
      <c r="G366" s="363">
        <f t="shared" si="164"/>
        <v>138703.7868</v>
      </c>
      <c r="H366" s="364">
        <f t="shared" si="165"/>
        <v>-0.12503095409360515</v>
      </c>
      <c r="I366" s="363">
        <v>16.75</v>
      </c>
    </row>
    <row r="367" spans="2:14" x14ac:dyDescent="0.25">
      <c r="B367" s="620">
        <v>42557</v>
      </c>
      <c r="C367" s="362">
        <v>8678</v>
      </c>
      <c r="D367" s="621">
        <v>16.835000000000001</v>
      </c>
      <c r="E367" s="363">
        <v>14.84</v>
      </c>
      <c r="F367" s="363">
        <f t="shared" si="163"/>
        <v>-17312.610000000008</v>
      </c>
      <c r="G367" s="363">
        <f t="shared" si="164"/>
        <v>146094.13</v>
      </c>
      <c r="H367" s="364">
        <f t="shared" si="165"/>
        <v>-0.11850311850311855</v>
      </c>
      <c r="I367" s="363"/>
    </row>
    <row r="368" spans="2:14" x14ac:dyDescent="0.25">
      <c r="B368" s="620">
        <v>42559</v>
      </c>
      <c r="C368" s="362">
        <v>8678</v>
      </c>
      <c r="D368" s="621">
        <v>16.835000000000001</v>
      </c>
      <c r="E368" s="363">
        <v>14.92</v>
      </c>
      <c r="F368" s="363">
        <f t="shared" si="163"/>
        <v>-16618.370000000006</v>
      </c>
      <c r="G368" s="363">
        <f t="shared" si="164"/>
        <v>146094.13</v>
      </c>
      <c r="H368" s="364">
        <f t="shared" si="165"/>
        <v>-0.1137511137511138</v>
      </c>
      <c r="I368" s="363"/>
    </row>
    <row r="369" spans="2:9" x14ac:dyDescent="0.25">
      <c r="B369" s="620">
        <v>42562</v>
      </c>
      <c r="C369" s="362">
        <v>8678</v>
      </c>
      <c r="D369" s="621">
        <v>16.835000000000001</v>
      </c>
      <c r="E369" s="363">
        <v>14.69</v>
      </c>
      <c r="F369" s="363">
        <f t="shared" si="163"/>
        <v>-18614.310000000012</v>
      </c>
      <c r="G369" s="363">
        <f t="shared" si="164"/>
        <v>146094.13</v>
      </c>
      <c r="H369" s="364">
        <f t="shared" si="165"/>
        <v>-0.12741312741312749</v>
      </c>
      <c r="I369" s="363"/>
    </row>
    <row r="370" spans="2:9" x14ac:dyDescent="0.25">
      <c r="B370" s="620">
        <v>42563</v>
      </c>
      <c r="C370" s="362">
        <v>8678</v>
      </c>
      <c r="D370" s="621">
        <v>16.835000000000001</v>
      </c>
      <c r="E370" s="363">
        <v>15.6</v>
      </c>
      <c r="F370" s="363">
        <f t="shared" si="163"/>
        <v>-10717.330000000011</v>
      </c>
      <c r="G370" s="363">
        <f t="shared" si="164"/>
        <v>146094.13</v>
      </c>
      <c r="H370" s="364">
        <f t="shared" si="165"/>
        <v>-7.3359073359073421E-2</v>
      </c>
      <c r="I370" s="363"/>
    </row>
    <row r="371" spans="2:9" x14ac:dyDescent="0.25">
      <c r="B371" s="620">
        <v>42564</v>
      </c>
      <c r="C371" s="362">
        <v>8738</v>
      </c>
      <c r="D371" s="621">
        <v>16.816099999999999</v>
      </c>
      <c r="E371" s="363">
        <v>15.29</v>
      </c>
      <c r="F371" s="363">
        <f t="shared" si="163"/>
        <v>-13335.061799999996</v>
      </c>
      <c r="G371" s="363">
        <f t="shared" si="164"/>
        <v>146939.08179999999</v>
      </c>
      <c r="H371" s="364">
        <f t="shared" si="165"/>
        <v>-9.0752314745987453E-2</v>
      </c>
      <c r="I371" s="363"/>
    </row>
    <row r="372" spans="2:9" x14ac:dyDescent="0.25">
      <c r="B372" s="620">
        <v>42566</v>
      </c>
      <c r="C372" s="362">
        <v>8738</v>
      </c>
      <c r="D372" s="621">
        <v>16.816099999999999</v>
      </c>
      <c r="E372" s="363">
        <v>15.21</v>
      </c>
      <c r="F372" s="363">
        <f t="shared" si="163"/>
        <v>-14034.101799999982</v>
      </c>
      <c r="G372" s="363">
        <f t="shared" si="164"/>
        <v>146939.08179999999</v>
      </c>
      <c r="H372" s="364">
        <f t="shared" si="165"/>
        <v>-9.5509660384988079E-2</v>
      </c>
      <c r="I372" s="363"/>
    </row>
    <row r="373" spans="2:9" x14ac:dyDescent="0.25">
      <c r="B373" s="620">
        <v>42570</v>
      </c>
      <c r="C373" s="362">
        <v>9138</v>
      </c>
      <c r="D373" s="621">
        <v>16.733499999999999</v>
      </c>
      <c r="E373" s="363">
        <v>14.75</v>
      </c>
      <c r="F373" s="363">
        <f t="shared" si="163"/>
        <v>-18125.222999999994</v>
      </c>
      <c r="G373" s="363">
        <f t="shared" si="164"/>
        <v>152910.723</v>
      </c>
      <c r="H373" s="364">
        <f t="shared" si="165"/>
        <v>-0.1185346759494427</v>
      </c>
      <c r="I373" s="363"/>
    </row>
    <row r="374" spans="2:9" x14ac:dyDescent="0.25">
      <c r="B374" s="620">
        <v>42571</v>
      </c>
      <c r="C374" s="383">
        <v>9138</v>
      </c>
      <c r="D374" s="622">
        <v>16.7227</v>
      </c>
      <c r="E374" s="363">
        <v>14.84</v>
      </c>
      <c r="F374" s="363">
        <f t="shared" si="163"/>
        <v>-17204.112599999997</v>
      </c>
      <c r="G374" s="363">
        <f t="shared" si="164"/>
        <v>152812.03260000001</v>
      </c>
      <c r="H374" s="364">
        <f t="shared" si="165"/>
        <v>-0.11258349429218965</v>
      </c>
      <c r="I374" s="363"/>
    </row>
    <row r="375" spans="2:9" x14ac:dyDescent="0.25">
      <c r="B375" s="620">
        <v>42572</v>
      </c>
      <c r="C375" s="362">
        <v>9138</v>
      </c>
      <c r="D375" s="621">
        <v>16.718900000000001</v>
      </c>
      <c r="E375" s="363">
        <v>14.42</v>
      </c>
      <c r="F375" s="363">
        <f t="shared" si="163"/>
        <v>-21007.348200000015</v>
      </c>
      <c r="G375" s="363">
        <f t="shared" si="164"/>
        <v>152777.3082</v>
      </c>
      <c r="H375" s="364">
        <f t="shared" si="165"/>
        <v>-0.13750306539305823</v>
      </c>
      <c r="I375" s="363"/>
    </row>
    <row r="376" spans="2:9" x14ac:dyDescent="0.25">
      <c r="B376" s="620">
        <v>42573</v>
      </c>
      <c r="C376" s="362">
        <v>9278</v>
      </c>
      <c r="D376" s="621">
        <v>16.679099999999998</v>
      </c>
      <c r="E376" s="363">
        <v>14.11</v>
      </c>
      <c r="F376" s="363">
        <f t="shared" si="163"/>
        <v>-23836.109799999987</v>
      </c>
      <c r="G376" s="363">
        <f t="shared" si="164"/>
        <v>154748.68979999999</v>
      </c>
      <c r="H376" s="364">
        <f t="shared" si="165"/>
        <v>-0.15403109280476759</v>
      </c>
      <c r="I376" s="363"/>
    </row>
    <row r="377" spans="2:9" x14ac:dyDescent="0.25">
      <c r="B377" s="620">
        <v>42576</v>
      </c>
      <c r="C377" s="362">
        <v>9478</v>
      </c>
      <c r="D377" s="621">
        <v>16.613099999999999</v>
      </c>
      <c r="E377" s="363">
        <v>13.58</v>
      </c>
      <c r="F377" s="363">
        <f t="shared" si="163"/>
        <v>-28747.721799999992</v>
      </c>
      <c r="G377" s="363">
        <f t="shared" si="164"/>
        <v>157458.96179999999</v>
      </c>
      <c r="H377" s="364">
        <f t="shared" si="165"/>
        <v>-0.18257278894366491</v>
      </c>
      <c r="I377" s="363"/>
    </row>
    <row r="378" spans="2:9" x14ac:dyDescent="0.25">
      <c r="B378" s="620">
        <v>42577</v>
      </c>
      <c r="C378" s="383">
        <v>9278</v>
      </c>
      <c r="D378" s="622">
        <v>16.674199999999999</v>
      </c>
      <c r="E378" s="363">
        <v>13.78</v>
      </c>
      <c r="F378" s="363">
        <f t="shared" si="163"/>
        <v>-26852.387599999998</v>
      </c>
      <c r="G378" s="363">
        <f t="shared" si="164"/>
        <v>154703.22759999998</v>
      </c>
      <c r="H378" s="364">
        <f t="shared" si="165"/>
        <v>-0.17357354475776948</v>
      </c>
      <c r="I378" s="363">
        <v>16.53</v>
      </c>
    </row>
    <row r="379" spans="2:9" x14ac:dyDescent="0.25">
      <c r="B379" s="620">
        <v>42578</v>
      </c>
      <c r="C379" s="383">
        <v>9478</v>
      </c>
      <c r="D379" s="622">
        <v>16.6004</v>
      </c>
      <c r="E379" s="363">
        <v>13.13</v>
      </c>
      <c r="F379" s="363">
        <f t="shared" si="163"/>
        <v>-32892.451199999996</v>
      </c>
      <c r="G379" s="363">
        <f t="shared" si="164"/>
        <v>157338.5912</v>
      </c>
      <c r="H379" s="364">
        <f t="shared" si="165"/>
        <v>-0.20905520348907253</v>
      </c>
      <c r="I379" s="363"/>
    </row>
    <row r="380" spans="2:9" x14ac:dyDescent="0.25">
      <c r="B380" s="620">
        <v>42580</v>
      </c>
      <c r="C380" s="362">
        <v>9478</v>
      </c>
      <c r="D380" s="621">
        <v>16.599</v>
      </c>
      <c r="E380" s="363">
        <v>13.64</v>
      </c>
      <c r="F380" s="363">
        <f t="shared" si="163"/>
        <v>-28045.401999999998</v>
      </c>
      <c r="G380" s="363">
        <f t="shared" si="164"/>
        <v>157325.32200000001</v>
      </c>
      <c r="H380" s="365">
        <f t="shared" si="165"/>
        <v>-0.17826375082836313</v>
      </c>
      <c r="I380" s="363"/>
    </row>
    <row r="381" spans="2:9" x14ac:dyDescent="0.25">
      <c r="B381" s="620">
        <v>42580</v>
      </c>
      <c r="C381" s="362">
        <v>9278</v>
      </c>
      <c r="D381" s="621">
        <v>16.664000000000001</v>
      </c>
      <c r="E381" s="363">
        <v>13.64</v>
      </c>
      <c r="F381" s="363">
        <f t="shared" si="163"/>
        <v>-28056.67200000001</v>
      </c>
      <c r="G381" s="363">
        <f t="shared" si="164"/>
        <v>154608.592</v>
      </c>
      <c r="H381" s="365">
        <f t="shared" si="165"/>
        <v>-0.18146903504560732</v>
      </c>
      <c r="I381" s="363">
        <v>16.53</v>
      </c>
    </row>
    <row r="382" spans="2:9" x14ac:dyDescent="0.25">
      <c r="B382" s="620">
        <v>42583</v>
      </c>
      <c r="C382" s="362">
        <v>9478</v>
      </c>
      <c r="D382" s="621">
        <v>16.5871</v>
      </c>
      <c r="E382" s="363">
        <v>12.92</v>
      </c>
      <c r="F382" s="363">
        <f t="shared" si="163"/>
        <v>-34756.773799999995</v>
      </c>
      <c r="G382" s="363">
        <f t="shared" si="164"/>
        <v>157212.5338</v>
      </c>
      <c r="H382" s="365">
        <f t="shared" si="165"/>
        <v>-0.22108144280796521</v>
      </c>
      <c r="I382" s="363"/>
    </row>
    <row r="383" spans="2:9" x14ac:dyDescent="0.25">
      <c r="B383" s="620">
        <v>42584</v>
      </c>
      <c r="C383" s="362">
        <v>9678</v>
      </c>
      <c r="D383" s="621">
        <v>16.5063</v>
      </c>
      <c r="E383" s="363">
        <v>12.9</v>
      </c>
      <c r="F383" s="363">
        <f t="shared" si="163"/>
        <v>-34901.771399999991</v>
      </c>
      <c r="G383" s="363">
        <f t="shared" si="164"/>
        <v>159747.97140000001</v>
      </c>
      <c r="H383" s="365">
        <f t="shared" si="165"/>
        <v>-0.21848021664455386</v>
      </c>
      <c r="I383" s="363"/>
    </row>
    <row r="384" spans="2:9" x14ac:dyDescent="0.25">
      <c r="B384" s="620">
        <v>42585</v>
      </c>
      <c r="C384" s="362">
        <v>10078</v>
      </c>
      <c r="D384" s="621">
        <v>16.5063</v>
      </c>
      <c r="E384" s="363">
        <v>12.9</v>
      </c>
      <c r="F384" s="363">
        <f t="shared" ref="F384:F399" si="166">C384*(E384-D384)</f>
        <v>-36344.291399999995</v>
      </c>
      <c r="G384" s="363">
        <f t="shared" ref="G384:G399" si="167">IF(C384=0, 0,D384*C384)</f>
        <v>166350.4914</v>
      </c>
      <c r="H384" s="365">
        <f t="shared" ref="H384:H399" si="168">IF(C384=0, D384, (E384-D384)/D384)</f>
        <v>-0.21848021664455386</v>
      </c>
      <c r="I384" s="363"/>
    </row>
    <row r="385" spans="2:9" ht="15" customHeight="1" x14ac:dyDescent="0.25">
      <c r="B385" s="620">
        <v>42586</v>
      </c>
      <c r="C385" s="362">
        <v>9678</v>
      </c>
      <c r="D385" s="621">
        <v>16.489799999999999</v>
      </c>
      <c r="E385" s="363">
        <v>13.41</v>
      </c>
      <c r="F385" s="363">
        <f t="shared" si="166"/>
        <v>-29806.304399999986</v>
      </c>
      <c r="G385" s="363">
        <f t="shared" si="167"/>
        <v>159588.28439999997</v>
      </c>
      <c r="H385" s="365">
        <f t="shared" si="168"/>
        <v>-0.1867700032747516</v>
      </c>
      <c r="I385" s="363"/>
    </row>
    <row r="386" spans="2:9" x14ac:dyDescent="0.25">
      <c r="B386" s="620">
        <v>42586</v>
      </c>
      <c r="C386" s="362">
        <v>9278</v>
      </c>
      <c r="D386" s="621">
        <v>16.609200000000001</v>
      </c>
      <c r="E386" s="363">
        <v>13.66</v>
      </c>
      <c r="F386" s="363">
        <f t="shared" si="166"/>
        <v>-27362.67760000001</v>
      </c>
      <c r="G386" s="363">
        <f t="shared" si="167"/>
        <v>154100.15760000001</v>
      </c>
      <c r="H386" s="365">
        <f t="shared" si="168"/>
        <v>-0.17756424150470829</v>
      </c>
      <c r="I386" s="363">
        <v>16.53</v>
      </c>
    </row>
    <row r="387" spans="2:9" x14ac:dyDescent="0.25">
      <c r="B387" s="620">
        <v>42586</v>
      </c>
      <c r="C387" s="362">
        <v>9138</v>
      </c>
      <c r="D387" s="621">
        <v>16.6511</v>
      </c>
      <c r="E387" s="363">
        <v>13.87</v>
      </c>
      <c r="F387" s="363">
        <f t="shared" si="166"/>
        <v>-25413.691800000004</v>
      </c>
      <c r="G387" s="363">
        <f t="shared" si="167"/>
        <v>152157.7518</v>
      </c>
      <c r="H387" s="364">
        <f t="shared" si="168"/>
        <v>-0.1670219985466426</v>
      </c>
      <c r="I387" s="363"/>
    </row>
    <row r="388" spans="2:9" x14ac:dyDescent="0.25">
      <c r="B388" s="620">
        <v>42593</v>
      </c>
      <c r="C388" s="362">
        <v>8678</v>
      </c>
      <c r="D388" s="621">
        <v>16.760300000000001</v>
      </c>
      <c r="E388" s="363">
        <v>14.61</v>
      </c>
      <c r="F388" s="363">
        <f t="shared" si="166"/>
        <v>-18660.303400000012</v>
      </c>
      <c r="G388" s="363">
        <f t="shared" si="167"/>
        <v>145445.88340000002</v>
      </c>
      <c r="H388" s="364">
        <f t="shared" si="168"/>
        <v>-0.12829722618330228</v>
      </c>
      <c r="I388" s="363"/>
    </row>
    <row r="389" spans="2:9" x14ac:dyDescent="0.25">
      <c r="B389" s="620">
        <v>42597</v>
      </c>
      <c r="C389" s="362">
        <v>8678</v>
      </c>
      <c r="D389" s="621">
        <v>16.7471</v>
      </c>
      <c r="E389" s="363">
        <v>14.9</v>
      </c>
      <c r="F389" s="363">
        <f t="shared" si="166"/>
        <v>-16029.133799999994</v>
      </c>
      <c r="G389" s="363">
        <f t="shared" si="167"/>
        <v>145331.33379999999</v>
      </c>
      <c r="H389" s="364">
        <f t="shared" si="168"/>
        <v>-0.11029372249523794</v>
      </c>
      <c r="I389" s="363"/>
    </row>
    <row r="390" spans="2:9" x14ac:dyDescent="0.25">
      <c r="B390" s="620">
        <v>42598</v>
      </c>
      <c r="C390" s="362">
        <v>8178</v>
      </c>
      <c r="D390" s="621">
        <v>16.8429</v>
      </c>
      <c r="E390" s="363">
        <v>15.17</v>
      </c>
      <c r="F390" s="363">
        <f t="shared" si="166"/>
        <v>-13680.976200000003</v>
      </c>
      <c r="G390" s="363">
        <f t="shared" si="167"/>
        <v>137741.23620000001</v>
      </c>
      <c r="H390" s="364">
        <f t="shared" si="168"/>
        <v>-9.9323750660515728E-2</v>
      </c>
      <c r="I390" s="363">
        <v>16.75</v>
      </c>
    </row>
    <row r="391" spans="2:9" x14ac:dyDescent="0.25">
      <c r="B391" s="620">
        <v>42599</v>
      </c>
      <c r="C391" s="362">
        <v>7178</v>
      </c>
      <c r="D391" s="621">
        <v>17.009899999999998</v>
      </c>
      <c r="E391" s="363">
        <v>15.7</v>
      </c>
      <c r="F391" s="363">
        <f t="shared" si="166"/>
        <v>-9402.4621999999927</v>
      </c>
      <c r="G391" s="363">
        <f t="shared" si="167"/>
        <v>122097.06219999999</v>
      </c>
      <c r="H391" s="364">
        <f t="shared" si="168"/>
        <v>-7.7008095285686515E-2</v>
      </c>
      <c r="I391" s="363"/>
    </row>
    <row r="392" spans="2:9" x14ac:dyDescent="0.25">
      <c r="B392" s="620">
        <v>42600</v>
      </c>
      <c r="C392" s="362">
        <v>5500</v>
      </c>
      <c r="D392" s="621">
        <v>17.185600000000001</v>
      </c>
      <c r="E392" s="363">
        <v>16.68</v>
      </c>
      <c r="F392" s="363">
        <f t="shared" si="166"/>
        <v>-2780.8000000000065</v>
      </c>
      <c r="G392" s="363">
        <f t="shared" si="167"/>
        <v>94520.8</v>
      </c>
      <c r="H392" s="364">
        <f t="shared" si="168"/>
        <v>-2.9419979517735846E-2</v>
      </c>
      <c r="I392" s="363"/>
    </row>
    <row r="393" spans="2:9" x14ac:dyDescent="0.25">
      <c r="B393" s="620">
        <v>42601</v>
      </c>
      <c r="C393" s="362">
        <v>5000</v>
      </c>
      <c r="D393" s="621">
        <v>17.222200000000001</v>
      </c>
      <c r="E393" s="363">
        <v>16.8</v>
      </c>
      <c r="F393" s="363">
        <f t="shared" si="166"/>
        <v>-2111.0000000000005</v>
      </c>
      <c r="G393" s="363">
        <f t="shared" si="167"/>
        <v>86111</v>
      </c>
      <c r="H393" s="364">
        <f t="shared" si="168"/>
        <v>-2.4514870341768188E-2</v>
      </c>
      <c r="I393" s="363"/>
    </row>
    <row r="394" spans="2:9" x14ac:dyDescent="0.25">
      <c r="B394" s="620">
        <v>42604</v>
      </c>
      <c r="C394" s="362">
        <v>6000</v>
      </c>
      <c r="D394" s="621">
        <v>16.9651</v>
      </c>
      <c r="E394" s="363">
        <v>15.64</v>
      </c>
      <c r="F394" s="363">
        <f t="shared" si="166"/>
        <v>-7950.599999999994</v>
      </c>
      <c r="G394" s="363">
        <f t="shared" si="167"/>
        <v>101790.59999999999</v>
      </c>
      <c r="H394" s="364">
        <f t="shared" si="168"/>
        <v>-7.8107408739117312E-2</v>
      </c>
      <c r="I394" s="363"/>
    </row>
    <row r="395" spans="2:9" x14ac:dyDescent="0.25">
      <c r="B395" s="620">
        <v>42604</v>
      </c>
      <c r="C395" s="362">
        <v>6500</v>
      </c>
      <c r="D395" s="621">
        <v>16.850899999999999</v>
      </c>
      <c r="E395" s="363">
        <v>15.64</v>
      </c>
      <c r="F395" s="363">
        <f t="shared" si="166"/>
        <v>-7870.8499999999922</v>
      </c>
      <c r="G395" s="363">
        <f t="shared" si="167"/>
        <v>109530.84999999999</v>
      </c>
      <c r="H395" s="364">
        <f t="shared" si="168"/>
        <v>-7.1859663282079822E-2</v>
      </c>
      <c r="I395" s="363"/>
    </row>
    <row r="396" spans="2:9" x14ac:dyDescent="0.25">
      <c r="B396" s="620">
        <v>42605</v>
      </c>
      <c r="C396" s="362">
        <v>6000</v>
      </c>
      <c r="D396" s="621">
        <v>16.923500000000001</v>
      </c>
      <c r="E396" s="363">
        <v>16.43</v>
      </c>
      <c r="F396" s="363">
        <f t="shared" si="166"/>
        <v>-2961.0000000000055</v>
      </c>
      <c r="G396" s="363">
        <f t="shared" si="167"/>
        <v>101541</v>
      </c>
      <c r="H396" s="364">
        <f t="shared" si="168"/>
        <v>-2.9160634620498178E-2</v>
      </c>
      <c r="I396" s="363"/>
    </row>
    <row r="397" spans="2:9" x14ac:dyDescent="0.25">
      <c r="B397" s="620">
        <v>42605</v>
      </c>
      <c r="C397" s="362">
        <v>5500</v>
      </c>
      <c r="D397" s="621">
        <v>16.9848</v>
      </c>
      <c r="E397" s="363">
        <v>16.43</v>
      </c>
      <c r="F397" s="363">
        <f t="shared" si="166"/>
        <v>-3051.400000000001</v>
      </c>
      <c r="G397" s="363">
        <f t="shared" si="167"/>
        <v>93416.4</v>
      </c>
      <c r="H397" s="364">
        <f t="shared" si="168"/>
        <v>-3.266450002355048E-2</v>
      </c>
      <c r="I397" s="363"/>
    </row>
    <row r="398" spans="2:9" x14ac:dyDescent="0.25">
      <c r="B398" s="620">
        <v>42605</v>
      </c>
      <c r="C398" s="362">
        <v>5000</v>
      </c>
      <c r="D398" s="621">
        <v>17.035299999999999</v>
      </c>
      <c r="E398" s="363">
        <v>16.43</v>
      </c>
      <c r="F398" s="363">
        <f t="shared" si="166"/>
        <v>-3026.4999999999986</v>
      </c>
      <c r="G398" s="363">
        <f t="shared" si="167"/>
        <v>85176.5</v>
      </c>
      <c r="H398" s="364">
        <f t="shared" si="168"/>
        <v>-3.5532100990296606E-2</v>
      </c>
      <c r="I398" s="363"/>
    </row>
    <row r="399" spans="2:9" x14ac:dyDescent="0.25">
      <c r="B399" s="620">
        <v>42606</v>
      </c>
      <c r="C399" s="362">
        <v>5178</v>
      </c>
      <c r="D399" s="621">
        <v>17.0017</v>
      </c>
      <c r="E399" s="363">
        <v>16.059999999999999</v>
      </c>
      <c r="F399" s="363">
        <f t="shared" si="166"/>
        <v>-4876.1226000000042</v>
      </c>
      <c r="G399" s="363">
        <f t="shared" si="167"/>
        <v>88034.802599999995</v>
      </c>
      <c r="H399" s="364">
        <f t="shared" si="168"/>
        <v>-5.5388578789179958E-2</v>
      </c>
      <c r="I399" s="363"/>
    </row>
    <row r="400" spans="2:9" x14ac:dyDescent="0.25">
      <c r="B400" s="620">
        <v>42607</v>
      </c>
      <c r="C400" s="362">
        <v>5178</v>
      </c>
      <c r="D400" s="621">
        <v>17.0017</v>
      </c>
      <c r="E400" s="363">
        <v>16.010000000000002</v>
      </c>
      <c r="F400" s="363">
        <f>C400*(E400-D400)</f>
        <v>-5135.0225999999902</v>
      </c>
      <c r="G400" s="363">
        <f>IF(C400=0, 0,D400*C400)</f>
        <v>88034.802599999995</v>
      </c>
      <c r="H400" s="364">
        <f>IF(C400=0, D400, (E400-D400)/D400)</f>
        <v>-5.8329461171529789E-2</v>
      </c>
      <c r="I400" s="363"/>
    </row>
    <row r="401" spans="2:9" x14ac:dyDescent="0.25">
      <c r="B401" s="620">
        <v>42608</v>
      </c>
      <c r="C401" s="362">
        <v>6178</v>
      </c>
      <c r="D401" s="621">
        <v>16.825800000000001</v>
      </c>
      <c r="E401" s="363">
        <v>15.95</v>
      </c>
      <c r="F401" s="363">
        <f>C401*(E401-D401)</f>
        <v>-5410.6924000000108</v>
      </c>
      <c r="G401" s="363">
        <f>IF(C401=0, 0,D401*C401)</f>
        <v>103949.79240000001</v>
      </c>
      <c r="H401" s="364">
        <f>IF(C401=0, D401, (E401-D401)/D401)</f>
        <v>-5.2051016890727435E-2</v>
      </c>
      <c r="I401" s="363"/>
    </row>
    <row r="402" spans="2:9" x14ac:dyDescent="0.25">
      <c r="B402" s="620">
        <v>42611</v>
      </c>
      <c r="C402" s="362">
        <v>6178</v>
      </c>
      <c r="D402" s="621">
        <v>16.825800000000001</v>
      </c>
      <c r="E402" s="363">
        <v>15.99</v>
      </c>
      <c r="F402" s="363">
        <f t="shared" ref="F402:F407" si="169">C402*(E402-D402)</f>
        <v>-5163.5724000000046</v>
      </c>
      <c r="G402" s="363">
        <f t="shared" ref="G402:G407" si="170">IF(C402=0, 0,D402*C402)</f>
        <v>103949.79240000001</v>
      </c>
      <c r="H402" s="364">
        <f t="shared" ref="H402:H407" si="171">IF(C402=0, D402, (E402-D402)/D402)</f>
        <v>-4.9673715365688452E-2</v>
      </c>
      <c r="I402" s="363"/>
    </row>
    <row r="403" spans="2:9" x14ac:dyDescent="0.25">
      <c r="B403" s="620">
        <v>42612</v>
      </c>
      <c r="C403" s="362">
        <v>6678</v>
      </c>
      <c r="D403" s="621">
        <v>16.739999999999998</v>
      </c>
      <c r="E403" s="363">
        <v>15.55</v>
      </c>
      <c r="F403" s="443">
        <f t="shared" si="169"/>
        <v>-7946.8199999999852</v>
      </c>
      <c r="G403" s="363">
        <f t="shared" si="170"/>
        <v>111789.71999999999</v>
      </c>
      <c r="H403" s="365">
        <f t="shared" si="171"/>
        <v>-7.1087216248506446E-2</v>
      </c>
      <c r="I403" s="382"/>
    </row>
    <row r="404" spans="2:9" x14ac:dyDescent="0.25">
      <c r="B404" s="620">
        <v>42612</v>
      </c>
      <c r="C404" s="362">
        <v>7178</v>
      </c>
      <c r="D404" s="621">
        <v>16.6571</v>
      </c>
      <c r="E404" s="363">
        <v>15.55</v>
      </c>
      <c r="F404" s="363">
        <f t="shared" si="169"/>
        <v>-7946.7637999999934</v>
      </c>
      <c r="G404" s="363">
        <f t="shared" si="170"/>
        <v>119564.66379999999</v>
      </c>
      <c r="H404" s="364">
        <f t="shared" si="171"/>
        <v>-6.6464150422342369E-2</v>
      </c>
      <c r="I404" s="363"/>
    </row>
    <row r="405" spans="2:9" x14ac:dyDescent="0.25">
      <c r="B405" s="620">
        <v>42613</v>
      </c>
      <c r="C405" s="362">
        <v>7678</v>
      </c>
      <c r="D405" s="621">
        <v>16.565200000000001</v>
      </c>
      <c r="E405" s="363">
        <v>15.02</v>
      </c>
      <c r="F405" s="363">
        <f t="shared" si="169"/>
        <v>-11864.04560000001</v>
      </c>
      <c r="G405" s="363">
        <f t="shared" si="170"/>
        <v>127187.60560000001</v>
      </c>
      <c r="H405" s="364">
        <f t="shared" si="171"/>
        <v>-9.3279887957887692E-2</v>
      </c>
      <c r="I405" s="363" t="s">
        <v>258</v>
      </c>
    </row>
    <row r="406" spans="2:9" x14ac:dyDescent="0.25">
      <c r="B406" s="620">
        <v>42613</v>
      </c>
      <c r="C406" s="362">
        <v>8178</v>
      </c>
      <c r="D406" s="621">
        <v>16.474399999999999</v>
      </c>
      <c r="E406" s="363">
        <v>15.02</v>
      </c>
      <c r="F406" s="363">
        <f t="shared" si="169"/>
        <v>-11894.083199999997</v>
      </c>
      <c r="G406" s="363">
        <f t="shared" si="170"/>
        <v>134727.64319999999</v>
      </c>
      <c r="H406" s="364">
        <f t="shared" si="171"/>
        <v>-8.8282426067110162E-2</v>
      </c>
      <c r="I406" s="363" t="s">
        <v>259</v>
      </c>
    </row>
    <row r="407" spans="2:9" ht="15" customHeight="1" x14ac:dyDescent="0.25">
      <c r="B407" s="620">
        <v>42615</v>
      </c>
      <c r="C407" s="362">
        <v>7678</v>
      </c>
      <c r="D407" s="621">
        <v>16.528099999999998</v>
      </c>
      <c r="E407" s="363">
        <v>15.49</v>
      </c>
      <c r="F407" s="363">
        <f t="shared" si="169"/>
        <v>-7970.5317999999861</v>
      </c>
      <c r="G407" s="363">
        <f t="shared" si="170"/>
        <v>126902.75179999998</v>
      </c>
      <c r="H407" s="364">
        <f t="shared" si="171"/>
        <v>-6.2808187268953986E-2</v>
      </c>
      <c r="I407" s="363">
        <v>16.350000000000001</v>
      </c>
    </row>
    <row r="408" spans="2:9" x14ac:dyDescent="0.25">
      <c r="B408" s="620">
        <v>42616</v>
      </c>
      <c r="C408" s="362">
        <v>7678</v>
      </c>
      <c r="D408" s="621">
        <v>16.528099999999998</v>
      </c>
      <c r="E408" s="363">
        <v>15.64</v>
      </c>
      <c r="F408" s="363">
        <f>C408*(E408-D408)</f>
        <v>-6818.8317999999836</v>
      </c>
      <c r="G408" s="363">
        <f>IF(C408=0, 0,D408*C408)</f>
        <v>126902.75179999998</v>
      </c>
      <c r="H408" s="364">
        <f>IF(C408=0, D408, (E408-D408)/D408)</f>
        <v>-5.3732733950060681E-2</v>
      </c>
      <c r="I408" s="363"/>
    </row>
    <row r="409" spans="2:9" x14ac:dyDescent="0.25">
      <c r="B409" s="620">
        <v>42621</v>
      </c>
      <c r="C409" s="362">
        <v>7178</v>
      </c>
      <c r="D409" s="621">
        <v>16.545400000000001</v>
      </c>
      <c r="E409" s="363">
        <v>16.739999999999998</v>
      </c>
      <c r="F409" s="363">
        <f>C409*(E409-D409)</f>
        <v>1396.8387999999832</v>
      </c>
      <c r="G409" s="363">
        <f>IF(C409=0, 0,D409*C409)</f>
        <v>118762.8812</v>
      </c>
      <c r="H409" s="364">
        <f>IF(C409=0, D409, (E409-D409)/D409)</f>
        <v>1.1761577235968768E-2</v>
      </c>
      <c r="I409" s="363"/>
    </row>
    <row r="410" spans="2:9" x14ac:dyDescent="0.25">
      <c r="B410" s="620">
        <v>42621</v>
      </c>
      <c r="C410" s="383">
        <v>6678</v>
      </c>
      <c r="D410" s="622">
        <v>16.532299999999999</v>
      </c>
      <c r="E410" s="363">
        <v>16.739999999999998</v>
      </c>
      <c r="F410" s="363">
        <f>C410*(E410-D410)</f>
        <v>1387.0205999999941</v>
      </c>
      <c r="G410" s="363">
        <f>IF(C410=0, 0,D410*C410)</f>
        <v>110402.6994</v>
      </c>
      <c r="H410" s="364">
        <f>IF(C410=0, D410, (E410-D410)/D410)</f>
        <v>1.256328520532528E-2</v>
      </c>
      <c r="I410" s="363"/>
    </row>
    <row r="411" spans="2:9" x14ac:dyDescent="0.25">
      <c r="B411" s="620">
        <v>42621</v>
      </c>
      <c r="C411" s="362">
        <v>6458</v>
      </c>
      <c r="D411" s="621">
        <v>16.524263999999999</v>
      </c>
      <c r="E411" s="363">
        <v>16.739999999999998</v>
      </c>
      <c r="F411" s="363">
        <f>C411*(E411-D411)</f>
        <v>1393.2230879999981</v>
      </c>
      <c r="G411" s="363">
        <f>IF(C411=0, 0,D411*C411)</f>
        <v>106713.69691199998</v>
      </c>
      <c r="H411" s="364">
        <f>IF(C411=0, D411, (E411-D411)/D411)</f>
        <v>1.3055710075801242E-2</v>
      </c>
      <c r="I411" s="363"/>
    </row>
    <row r="412" spans="2:9" x14ac:dyDescent="0.25">
      <c r="B412" s="620">
        <v>42622</v>
      </c>
      <c r="C412" s="362">
        <v>7178</v>
      </c>
      <c r="D412" s="621">
        <v>16.477945999999999</v>
      </c>
      <c r="E412" s="363">
        <v>15.67</v>
      </c>
      <c r="F412" s="363">
        <f>C412*(E412-D412)</f>
        <v>-5799.4363879999955</v>
      </c>
      <c r="G412" s="363">
        <f>IF(C412=0, 0,D412*C412)</f>
        <v>118278.696388</v>
      </c>
      <c r="H412" s="364">
        <f>IF(C412=0, D412, (E412-D412)/D412)</f>
        <v>-4.9031960658203359E-2</v>
      </c>
      <c r="I412" s="363"/>
    </row>
    <row r="413" spans="2:9" x14ac:dyDescent="0.25">
      <c r="B413" s="620">
        <v>42622</v>
      </c>
      <c r="C413" s="362">
        <v>7678</v>
      </c>
      <c r="D413" s="621">
        <v>16.430541999999999</v>
      </c>
      <c r="E413" s="363">
        <v>15.67</v>
      </c>
      <c r="F413" s="363">
        <f t="shared" ref="F413:F419" si="172">C413*(E413-D413)</f>
        <v>-5839.4414759999936</v>
      </c>
      <c r="G413" s="363">
        <f t="shared" ref="G413:G419" si="173">IF(C413=0, 0,D413*C413)</f>
        <v>126153.70147599999</v>
      </c>
      <c r="H413" s="364">
        <f t="shared" ref="H413:H419" si="174">IF(C413=0, D413, (E413-D413)/D413)</f>
        <v>-4.6288308687564853E-2</v>
      </c>
      <c r="I413" s="363">
        <v>16.350000000000001</v>
      </c>
    </row>
    <row r="414" spans="2:9" ht="15" customHeight="1" x14ac:dyDescent="0.25">
      <c r="B414" s="620">
        <v>42625</v>
      </c>
      <c r="C414" s="383">
        <v>7678</v>
      </c>
      <c r="D414" s="622">
        <v>16.412330000000001</v>
      </c>
      <c r="E414" s="363">
        <v>15.47</v>
      </c>
      <c r="F414" s="363">
        <f t="shared" si="172"/>
        <v>-7235.2097400000011</v>
      </c>
      <c r="G414" s="363">
        <f t="shared" si="173"/>
        <v>126013.86974000001</v>
      </c>
      <c r="H414" s="364">
        <f t="shared" si="174"/>
        <v>-5.7415979327737135E-2</v>
      </c>
      <c r="I414" s="363"/>
    </row>
    <row r="415" spans="2:9" x14ac:dyDescent="0.25">
      <c r="B415" s="620">
        <v>42625</v>
      </c>
      <c r="C415" s="383">
        <v>7678</v>
      </c>
      <c r="D415" s="622">
        <v>16.355817999999999</v>
      </c>
      <c r="E415" s="363">
        <v>15.47</v>
      </c>
      <c r="F415" s="363">
        <f t="shared" si="172"/>
        <v>-6801.3106039999893</v>
      </c>
      <c r="G415" s="363">
        <f t="shared" si="173"/>
        <v>125579.970604</v>
      </c>
      <c r="H415" s="364">
        <f t="shared" si="174"/>
        <v>-5.4159198885680847E-2</v>
      </c>
      <c r="I415" s="363" t="s">
        <v>273</v>
      </c>
    </row>
    <row r="416" spans="2:9" x14ac:dyDescent="0.25">
      <c r="B416" s="620">
        <v>42626</v>
      </c>
      <c r="C416" s="362">
        <v>8278</v>
      </c>
      <c r="D416" s="621">
        <v>16.25066</v>
      </c>
      <c r="E416" s="363">
        <v>14.34</v>
      </c>
      <c r="F416" s="363">
        <f t="shared" si="172"/>
        <v>-15816.44348</v>
      </c>
      <c r="G416" s="363">
        <f t="shared" si="173"/>
        <v>134522.96348000001</v>
      </c>
      <c r="H416" s="365">
        <f t="shared" si="174"/>
        <v>-0.11757430159759666</v>
      </c>
      <c r="I416" s="363"/>
    </row>
    <row r="417" spans="2:9" x14ac:dyDescent="0.25">
      <c r="B417" s="620">
        <v>42626</v>
      </c>
      <c r="C417" s="362">
        <v>8678</v>
      </c>
      <c r="D417" s="621">
        <v>16.18149</v>
      </c>
      <c r="E417" s="363">
        <v>14.34</v>
      </c>
      <c r="F417" s="363">
        <f t="shared" si="172"/>
        <v>-15980.450220000002</v>
      </c>
      <c r="G417" s="363">
        <f t="shared" si="173"/>
        <v>140422.97021999999</v>
      </c>
      <c r="H417" s="365">
        <f t="shared" si="174"/>
        <v>-0.11380225183218605</v>
      </c>
      <c r="I417" s="363"/>
    </row>
    <row r="418" spans="2:9" x14ac:dyDescent="0.25">
      <c r="B418" s="620">
        <v>42626</v>
      </c>
      <c r="C418" s="362">
        <v>8978</v>
      </c>
      <c r="D418" s="621">
        <v>16.124635000000001</v>
      </c>
      <c r="E418" s="363">
        <v>14.34</v>
      </c>
      <c r="F418" s="363">
        <f t="shared" si="172"/>
        <v>-16022.453030000013</v>
      </c>
      <c r="G418" s="363">
        <f t="shared" si="173"/>
        <v>144766.97303000002</v>
      </c>
      <c r="H418" s="365">
        <f t="shared" si="174"/>
        <v>-0.11067754401882594</v>
      </c>
      <c r="I418" s="363"/>
    </row>
    <row r="419" spans="2:9" x14ac:dyDescent="0.25">
      <c r="B419" s="620">
        <v>42626</v>
      </c>
      <c r="C419" s="362">
        <v>9278</v>
      </c>
      <c r="D419" s="621">
        <v>16.064019999999999</v>
      </c>
      <c r="E419" s="363">
        <v>14.34</v>
      </c>
      <c r="F419" s="363">
        <f t="shared" si="172"/>
        <v>-15995.457559999995</v>
      </c>
      <c r="G419" s="363">
        <f t="shared" si="173"/>
        <v>149041.97756</v>
      </c>
      <c r="H419" s="365">
        <f t="shared" si="174"/>
        <v>-0.10732182853357998</v>
      </c>
      <c r="I419" s="363" t="s">
        <v>274</v>
      </c>
    </row>
    <row r="420" spans="2:9" x14ac:dyDescent="0.25">
      <c r="B420" s="620">
        <v>42627</v>
      </c>
      <c r="C420" s="362">
        <v>9478</v>
      </c>
      <c r="D420" s="621">
        <v>16.020790999999999</v>
      </c>
      <c r="E420" s="363">
        <v>14.01</v>
      </c>
      <c r="F420" s="363">
        <f t="shared" ref="F420:F427" si="175">C420*(E420-D420)</f>
        <v>-19058.277097999995</v>
      </c>
      <c r="G420" s="363">
        <f t="shared" ref="G420:G427" si="176">IF(C420=0, 0,D420*C420)</f>
        <v>151845.05709799999</v>
      </c>
      <c r="H420" s="365">
        <f t="shared" ref="H420:H427" si="177">IF(C420=0, D420, (E420-D420)/D420)</f>
        <v>-0.1255113433537707</v>
      </c>
      <c r="I420" s="363"/>
    </row>
    <row r="421" spans="2:9" x14ac:dyDescent="0.25">
      <c r="B421" s="620">
        <v>42628</v>
      </c>
      <c r="C421" s="362">
        <v>9478</v>
      </c>
      <c r="D421" s="621">
        <v>16.015726999999998</v>
      </c>
      <c r="E421" s="363">
        <v>14.26</v>
      </c>
      <c r="F421" s="363">
        <f t="shared" si="175"/>
        <v>-16640.780505999985</v>
      </c>
      <c r="G421" s="363">
        <f t="shared" si="176"/>
        <v>151797.06050599998</v>
      </c>
      <c r="H421" s="365">
        <f t="shared" si="177"/>
        <v>-0.1096251827968845</v>
      </c>
      <c r="I421" s="363"/>
    </row>
    <row r="422" spans="2:9" x14ac:dyDescent="0.25">
      <c r="B422" s="620">
        <v>42629</v>
      </c>
      <c r="C422" s="362">
        <v>9478</v>
      </c>
      <c r="D422" s="621">
        <v>16.015726999999998</v>
      </c>
      <c r="E422" s="363">
        <v>14.24</v>
      </c>
      <c r="F422" s="363">
        <f t="shared" si="175"/>
        <v>-16830.340505999982</v>
      </c>
      <c r="G422" s="363">
        <f t="shared" si="176"/>
        <v>151797.06050599998</v>
      </c>
      <c r="H422" s="365">
        <f t="shared" si="177"/>
        <v>-0.1108739553315312</v>
      </c>
      <c r="I422" s="363"/>
    </row>
    <row r="423" spans="2:9" x14ac:dyDescent="0.25">
      <c r="B423" s="620">
        <v>42632</v>
      </c>
      <c r="C423" s="362">
        <v>9678</v>
      </c>
      <c r="D423" s="621">
        <v>15.975311</v>
      </c>
      <c r="E423" s="363">
        <v>14.09</v>
      </c>
      <c r="F423" s="363">
        <f t="shared" si="175"/>
        <v>-18246.039857999996</v>
      </c>
      <c r="G423" s="363">
        <f t="shared" si="176"/>
        <v>154609.05985799999</v>
      </c>
      <c r="H423" s="364">
        <f t="shared" si="177"/>
        <v>-0.11801404054043141</v>
      </c>
      <c r="I423" s="363"/>
    </row>
    <row r="424" spans="2:9" ht="15" customHeight="1" x14ac:dyDescent="0.25">
      <c r="B424" s="620">
        <v>42633</v>
      </c>
      <c r="C424" s="362">
        <v>9878</v>
      </c>
      <c r="D424" s="621">
        <v>15.937544000000001</v>
      </c>
      <c r="E424" s="363">
        <v>13.87</v>
      </c>
      <c r="F424" s="363">
        <f t="shared" si="175"/>
        <v>-20423.199632000014</v>
      </c>
      <c r="G424" s="363">
        <f t="shared" si="176"/>
        <v>157431.05963200002</v>
      </c>
      <c r="H424" s="364">
        <f t="shared" si="177"/>
        <v>-0.12972789282966068</v>
      </c>
      <c r="I424" s="363"/>
    </row>
    <row r="425" spans="2:9" x14ac:dyDescent="0.25">
      <c r="B425" s="620">
        <v>42633</v>
      </c>
      <c r="C425" s="362">
        <v>10000</v>
      </c>
      <c r="D425" s="621">
        <v>15.915126000000001</v>
      </c>
      <c r="E425" s="363">
        <v>13.87</v>
      </c>
      <c r="F425" s="363">
        <f t="shared" si="175"/>
        <v>-20451.260000000017</v>
      </c>
      <c r="G425" s="363">
        <f t="shared" si="176"/>
        <v>159151.26</v>
      </c>
      <c r="H425" s="364">
        <f t="shared" si="177"/>
        <v>-0.12850203008132022</v>
      </c>
      <c r="I425" s="363"/>
    </row>
    <row r="426" spans="2:9" x14ac:dyDescent="0.25">
      <c r="B426" s="620">
        <v>42634</v>
      </c>
      <c r="C426" s="362">
        <v>9678</v>
      </c>
      <c r="D426" s="621">
        <v>15.969538999999999</v>
      </c>
      <c r="E426" s="363">
        <v>14.65</v>
      </c>
      <c r="F426" s="363">
        <f t="shared" si="175"/>
        <v>-12770.498441999989</v>
      </c>
      <c r="G426" s="363">
        <f t="shared" si="176"/>
        <v>154553.19844199999</v>
      </c>
      <c r="H426" s="364">
        <f t="shared" si="177"/>
        <v>-8.2628496664806608E-2</v>
      </c>
      <c r="I426" s="363"/>
    </row>
    <row r="427" spans="2:9" x14ac:dyDescent="0.25">
      <c r="B427" s="620">
        <v>42634</v>
      </c>
      <c r="C427" s="362">
        <v>9278</v>
      </c>
      <c r="D427" s="621">
        <v>16.026872999999998</v>
      </c>
      <c r="E427" s="363">
        <v>14.65</v>
      </c>
      <c r="F427" s="363">
        <f t="shared" si="175"/>
        <v>-12774.627693999981</v>
      </c>
      <c r="G427" s="363">
        <f t="shared" si="176"/>
        <v>148697.32769399998</v>
      </c>
      <c r="H427" s="364">
        <f t="shared" si="177"/>
        <v>-8.5910270830747718E-2</v>
      </c>
      <c r="I427" s="363">
        <v>16</v>
      </c>
    </row>
    <row r="428" spans="2:9" x14ac:dyDescent="0.25">
      <c r="B428" s="620">
        <v>42635</v>
      </c>
      <c r="C428" s="362">
        <v>9278</v>
      </c>
      <c r="D428" s="621">
        <v>16.026872999999998</v>
      </c>
      <c r="E428" s="363">
        <v>14.87</v>
      </c>
      <c r="F428" s="363">
        <f t="shared" ref="F428:F439" si="178">C428*(E428-D428)</f>
        <v>-10733.467693999992</v>
      </c>
      <c r="G428" s="363">
        <f t="shared" ref="G428:G439" si="179">IF(C428=0, 0,D428*C428)</f>
        <v>148697.32769399998</v>
      </c>
      <c r="H428" s="364">
        <f t="shared" ref="H428:H439" si="180">IF(C428=0, D428, (E428-D428)/D428)</f>
        <v>-7.2183326092369937E-2</v>
      </c>
      <c r="I428" s="363"/>
    </row>
    <row r="429" spans="2:9" x14ac:dyDescent="0.25">
      <c r="B429" s="620">
        <v>42636</v>
      </c>
      <c r="C429" s="362">
        <v>9478</v>
      </c>
      <c r="D429" s="621">
        <v>15.992122</v>
      </c>
      <c r="E429" s="363">
        <v>14.49</v>
      </c>
      <c r="F429" s="363">
        <f t="shared" si="178"/>
        <v>-14237.112315999999</v>
      </c>
      <c r="G429" s="363">
        <f t="shared" si="179"/>
        <v>151573.33231600001</v>
      </c>
      <c r="H429" s="364">
        <f t="shared" si="180"/>
        <v>-9.39288732289561E-2</v>
      </c>
      <c r="I429" s="363"/>
    </row>
    <row r="430" spans="2:9" x14ac:dyDescent="0.25">
      <c r="B430" s="620">
        <v>42639</v>
      </c>
      <c r="C430" s="362">
        <v>9278</v>
      </c>
      <c r="D430" s="621">
        <v>16.019549999999999</v>
      </c>
      <c r="E430" s="363">
        <v>14.41</v>
      </c>
      <c r="F430" s="363">
        <f t="shared" si="178"/>
        <v>-14933.404899999989</v>
      </c>
      <c r="G430" s="363">
        <f t="shared" si="179"/>
        <v>148629.38489999998</v>
      </c>
      <c r="H430" s="364">
        <f t="shared" si="180"/>
        <v>-0.10047410819904422</v>
      </c>
      <c r="I430" s="363">
        <v>16</v>
      </c>
    </row>
    <row r="431" spans="2:9" ht="15" customHeight="1" x14ac:dyDescent="0.25">
      <c r="B431" s="620">
        <v>42639</v>
      </c>
      <c r="C431" s="362">
        <v>9478</v>
      </c>
      <c r="D431" s="621">
        <v>15.987468</v>
      </c>
      <c r="E431" s="363">
        <v>14.41</v>
      </c>
      <c r="F431" s="363">
        <f t="shared" si="178"/>
        <v>-14951.241703999996</v>
      </c>
      <c r="G431" s="363">
        <f t="shared" si="179"/>
        <v>151529.221704</v>
      </c>
      <c r="H431" s="364">
        <f t="shared" si="180"/>
        <v>-9.8669032519721048E-2</v>
      </c>
      <c r="I431" s="363"/>
    </row>
    <row r="432" spans="2:9" x14ac:dyDescent="0.25">
      <c r="B432" s="620">
        <v>42639</v>
      </c>
      <c r="C432" s="362">
        <v>9678</v>
      </c>
      <c r="D432" s="621">
        <v>15.954266000000001</v>
      </c>
      <c r="E432" s="363">
        <v>14.41</v>
      </c>
      <c r="F432" s="363">
        <f t="shared" si="178"/>
        <v>-14945.406348000004</v>
      </c>
      <c r="G432" s="363">
        <f t="shared" si="179"/>
        <v>154405.386348</v>
      </c>
      <c r="H432" s="364">
        <f t="shared" si="180"/>
        <v>-9.6793296538994669E-2</v>
      </c>
      <c r="I432" s="363"/>
    </row>
    <row r="433" spans="2:9" x14ac:dyDescent="0.25">
      <c r="B433" s="620">
        <v>42640</v>
      </c>
      <c r="C433" s="362">
        <v>10000</v>
      </c>
      <c r="D433" s="621">
        <v>15.890373</v>
      </c>
      <c r="E433" s="363">
        <v>14.06</v>
      </c>
      <c r="F433" s="363">
        <f t="shared" si="178"/>
        <v>-18303.73</v>
      </c>
      <c r="G433" s="363">
        <f t="shared" si="179"/>
        <v>158903.73000000001</v>
      </c>
      <c r="H433" s="364">
        <f t="shared" si="180"/>
        <v>-0.11518754153851517</v>
      </c>
      <c r="I433" s="363"/>
    </row>
    <row r="434" spans="2:9" x14ac:dyDescent="0.25">
      <c r="B434" s="620">
        <v>42641</v>
      </c>
      <c r="C434" s="362">
        <v>9278</v>
      </c>
      <c r="D434" s="621">
        <v>15.968</v>
      </c>
      <c r="E434" s="363">
        <v>15.18</v>
      </c>
      <c r="F434" s="363">
        <f t="shared" si="178"/>
        <v>-7311.0640000000021</v>
      </c>
      <c r="G434" s="363">
        <f t="shared" si="179"/>
        <v>148151.10399999999</v>
      </c>
      <c r="H434" s="364">
        <f t="shared" si="180"/>
        <v>-4.9348697394789594E-2</v>
      </c>
      <c r="I434" s="363" t="s">
        <v>286</v>
      </c>
    </row>
    <row r="435" spans="2:9" x14ac:dyDescent="0.25">
      <c r="B435" s="620">
        <v>42641</v>
      </c>
      <c r="C435" s="362">
        <v>8978</v>
      </c>
      <c r="D435" s="621">
        <v>15.991466000000001</v>
      </c>
      <c r="E435" s="363">
        <v>15.18</v>
      </c>
      <c r="F435" s="363">
        <f t="shared" si="178"/>
        <v>-7285.3417480000098</v>
      </c>
      <c r="G435" s="363">
        <f t="shared" si="179"/>
        <v>143571.38174800001</v>
      </c>
      <c r="H435" s="364">
        <f t="shared" si="180"/>
        <v>-5.0743690415875634E-2</v>
      </c>
      <c r="I435" s="363"/>
    </row>
    <row r="436" spans="2:9" x14ac:dyDescent="0.25">
      <c r="B436" s="620">
        <v>42642</v>
      </c>
      <c r="C436" s="362">
        <v>8678</v>
      </c>
      <c r="D436" s="621">
        <v>16.016100000000002</v>
      </c>
      <c r="E436" s="363">
        <v>15.9</v>
      </c>
      <c r="F436" s="363">
        <f t="shared" si="178"/>
        <v>-1007.5158000000105</v>
      </c>
      <c r="G436" s="363">
        <f t="shared" si="179"/>
        <v>138987.71580000001</v>
      </c>
      <c r="H436" s="364">
        <f t="shared" si="180"/>
        <v>-7.2489557382884214E-3</v>
      </c>
      <c r="I436" s="363"/>
    </row>
    <row r="437" spans="2:9" ht="15" customHeight="1" x14ac:dyDescent="0.25">
      <c r="B437" s="620">
        <v>42642</v>
      </c>
      <c r="C437" s="362">
        <v>7978</v>
      </c>
      <c r="D437" s="621">
        <v>16.036825</v>
      </c>
      <c r="E437" s="363">
        <v>15.9</v>
      </c>
      <c r="F437" s="363">
        <f t="shared" si="178"/>
        <v>-1091.5898499999998</v>
      </c>
      <c r="G437" s="363">
        <f t="shared" si="179"/>
        <v>127941.78985</v>
      </c>
      <c r="H437" s="364">
        <f t="shared" si="180"/>
        <v>-8.5319257396648009E-3</v>
      </c>
      <c r="I437" s="363"/>
    </row>
    <row r="438" spans="2:9" x14ac:dyDescent="0.25">
      <c r="B438" s="620">
        <v>42642</v>
      </c>
      <c r="C438" s="362">
        <v>7764</v>
      </c>
      <c r="D438" s="621">
        <v>16.038399999999999</v>
      </c>
      <c r="E438" s="363">
        <v>15.9</v>
      </c>
      <c r="F438" s="363">
        <f t="shared" si="178"/>
        <v>-1074.5375999999919</v>
      </c>
      <c r="G438" s="363">
        <f t="shared" si="179"/>
        <v>124522.1376</v>
      </c>
      <c r="H438" s="364">
        <f t="shared" si="180"/>
        <v>-8.6292897047086353E-3</v>
      </c>
      <c r="I438" s="363"/>
    </row>
    <row r="439" spans="2:9" x14ac:dyDescent="0.25">
      <c r="B439" s="620">
        <v>42642</v>
      </c>
      <c r="C439" s="362">
        <v>8178</v>
      </c>
      <c r="D439" s="621">
        <v>16.019235999999999</v>
      </c>
      <c r="E439" s="363">
        <v>15.9</v>
      </c>
      <c r="F439" s="363">
        <f t="shared" si="178"/>
        <v>-975.11200799999187</v>
      </c>
      <c r="G439" s="363">
        <f t="shared" si="179"/>
        <v>131005.31200799999</v>
      </c>
      <c r="H439" s="364">
        <f t="shared" si="180"/>
        <v>-7.4433012910228059E-3</v>
      </c>
      <c r="I439" s="363" t="s">
        <v>287</v>
      </c>
    </row>
    <row r="440" spans="2:9" x14ac:dyDescent="0.25">
      <c r="B440" s="620">
        <v>42643</v>
      </c>
      <c r="C440" s="362">
        <v>8178</v>
      </c>
      <c r="D440" s="621">
        <v>16.019235999999999</v>
      </c>
      <c r="E440" s="363">
        <v>15.81</v>
      </c>
      <c r="F440" s="363">
        <f>C440*(E440-D440)</f>
        <v>-1711.1320079999907</v>
      </c>
      <c r="G440" s="363">
        <f>IF(C440=0, 0,D440*C440)</f>
        <v>131005.31200799999</v>
      </c>
      <c r="H440" s="364">
        <f>IF(C440=0, D440, (E440-D440)/D440)</f>
        <v>-1.3061546755413234E-2</v>
      </c>
      <c r="I440" s="363"/>
    </row>
    <row r="441" spans="2:9" x14ac:dyDescent="0.25">
      <c r="B441" s="620">
        <v>42646</v>
      </c>
      <c r="C441" s="362">
        <v>8178</v>
      </c>
      <c r="D441" s="621">
        <v>16.019235999999999</v>
      </c>
      <c r="E441" s="363">
        <v>15.98</v>
      </c>
      <c r="F441" s="363">
        <f t="shared" ref="F441:F450" si="181">C441*(E441-D441)</f>
        <v>-320.8720079999913</v>
      </c>
      <c r="G441" s="363">
        <f t="shared" ref="G441:G450" si="182">IF(C441=0, 0,D441*C441)</f>
        <v>131005.31200799999</v>
      </c>
      <c r="H441" s="364">
        <f t="shared" ref="H441:H450" si="183">IF(C441=0, D441, (E441-D441)/D441)</f>
        <v>-2.4493053226757469E-3</v>
      </c>
      <c r="I441" s="363"/>
    </row>
    <row r="442" spans="2:9" x14ac:dyDescent="0.25">
      <c r="B442" s="620">
        <v>42647</v>
      </c>
      <c r="C442" s="362">
        <v>8678</v>
      </c>
      <c r="D442" s="621">
        <v>16.010061</v>
      </c>
      <c r="E442" s="363">
        <v>15.63</v>
      </c>
      <c r="F442" s="363">
        <f t="shared" si="181"/>
        <v>-3298.169357999996</v>
      </c>
      <c r="G442" s="363">
        <f t="shared" si="182"/>
        <v>138935.309358</v>
      </c>
      <c r="H442" s="364">
        <f t="shared" si="183"/>
        <v>-2.3738885192255015E-2</v>
      </c>
      <c r="I442" s="363"/>
    </row>
    <row r="443" spans="2:9" x14ac:dyDescent="0.25">
      <c r="B443" s="620">
        <v>42647</v>
      </c>
      <c r="C443" s="362">
        <v>9178</v>
      </c>
      <c r="D443" s="621">
        <v>15.988811</v>
      </c>
      <c r="E443" s="363">
        <v>15.63</v>
      </c>
      <c r="F443" s="363">
        <f t="shared" si="181"/>
        <v>-3293.1673579999938</v>
      </c>
      <c r="G443" s="363">
        <f t="shared" si="182"/>
        <v>146745.30735799999</v>
      </c>
      <c r="H443" s="364">
        <f t="shared" si="183"/>
        <v>-2.2441381038277287E-2</v>
      </c>
      <c r="I443" s="363"/>
    </row>
    <row r="444" spans="2:9" x14ac:dyDescent="0.25">
      <c r="B444" s="620">
        <v>42648</v>
      </c>
      <c r="C444" s="362">
        <v>8178</v>
      </c>
      <c r="D444" s="621">
        <v>15.977725</v>
      </c>
      <c r="E444" s="363">
        <v>16.12</v>
      </c>
      <c r="F444" s="363">
        <f t="shared" si="181"/>
        <v>1163.524950000012</v>
      </c>
      <c r="G444" s="363">
        <f t="shared" si="182"/>
        <v>130665.83504999999</v>
      </c>
      <c r="H444" s="364">
        <f t="shared" si="183"/>
        <v>8.904584351026288E-3</v>
      </c>
      <c r="I444" s="363">
        <v>15.75</v>
      </c>
    </row>
    <row r="445" spans="2:9" x14ac:dyDescent="0.25">
      <c r="B445" s="620">
        <v>42648</v>
      </c>
      <c r="C445" s="383">
        <v>7678</v>
      </c>
      <c r="D445" s="622">
        <v>15.951529000000001</v>
      </c>
      <c r="E445" s="363">
        <v>16.12</v>
      </c>
      <c r="F445" s="363">
        <f t="shared" si="181"/>
        <v>1293.5203380000021</v>
      </c>
      <c r="G445" s="363">
        <f t="shared" si="182"/>
        <v>122475.839662</v>
      </c>
      <c r="H445" s="364">
        <f t="shared" si="183"/>
        <v>1.0561432700275958E-2</v>
      </c>
      <c r="I445" s="363" t="s">
        <v>291</v>
      </c>
    </row>
    <row r="446" spans="2:9" x14ac:dyDescent="0.25">
      <c r="B446" s="620">
        <v>42649</v>
      </c>
      <c r="C446" s="362">
        <v>8678</v>
      </c>
      <c r="D446" s="621">
        <v>15.941579000000001</v>
      </c>
      <c r="E446" s="363">
        <v>16.079999999999998</v>
      </c>
      <c r="F446" s="363">
        <f t="shared" si="181"/>
        <v>1201.2174379999781</v>
      </c>
      <c r="G446" s="363">
        <f t="shared" si="182"/>
        <v>138341.022562</v>
      </c>
      <c r="H446" s="364">
        <f t="shared" si="183"/>
        <v>8.683016908174369E-3</v>
      </c>
      <c r="I446" s="363"/>
    </row>
    <row r="447" spans="2:9" x14ac:dyDescent="0.25">
      <c r="B447" s="620">
        <v>42650</v>
      </c>
      <c r="C447" s="362">
        <v>8978</v>
      </c>
      <c r="D447" s="621">
        <v>15.935176999999999</v>
      </c>
      <c r="E447" s="363">
        <v>15.56</v>
      </c>
      <c r="F447" s="363">
        <f t="shared" si="181"/>
        <v>-3368.3391059999908</v>
      </c>
      <c r="G447" s="363">
        <f t="shared" si="182"/>
        <v>143066.01910599999</v>
      </c>
      <c r="H447" s="364">
        <f t="shared" si="183"/>
        <v>-2.354394933925108E-2</v>
      </c>
      <c r="I447" s="363"/>
    </row>
    <row r="448" spans="2:9" x14ac:dyDescent="0.25">
      <c r="B448" s="620">
        <v>42650</v>
      </c>
      <c r="C448" s="362">
        <v>9278</v>
      </c>
      <c r="D448" s="621">
        <v>15.923692000000001</v>
      </c>
      <c r="E448" s="363">
        <v>15.56</v>
      </c>
      <c r="F448" s="363">
        <f t="shared" si="181"/>
        <v>-3374.3343760000034</v>
      </c>
      <c r="G448" s="363">
        <f t="shared" si="182"/>
        <v>147740.01437600001</v>
      </c>
      <c r="H448" s="364">
        <f t="shared" si="183"/>
        <v>-2.2839678134945106E-2</v>
      </c>
      <c r="I448" s="363">
        <v>15.8</v>
      </c>
    </row>
    <row r="449" spans="2:9" x14ac:dyDescent="0.25">
      <c r="B449" s="620">
        <v>42653</v>
      </c>
      <c r="C449" s="383">
        <v>9678</v>
      </c>
      <c r="D449" s="622">
        <v>15.9153</v>
      </c>
      <c r="E449" s="363">
        <v>15.72</v>
      </c>
      <c r="F449" s="363">
        <f t="shared" si="181"/>
        <v>-1890.1133999999961</v>
      </c>
      <c r="G449" s="363">
        <f t="shared" si="182"/>
        <v>154028.27340000001</v>
      </c>
      <c r="H449" s="364">
        <f t="shared" si="183"/>
        <v>-1.2271210721758281E-2</v>
      </c>
      <c r="I449" s="363"/>
    </row>
    <row r="450" spans="2:9" x14ac:dyDescent="0.25">
      <c r="B450" s="620">
        <v>42661</v>
      </c>
      <c r="C450" s="383">
        <v>10000</v>
      </c>
      <c r="D450" s="622">
        <v>15.901258</v>
      </c>
      <c r="E450" s="363">
        <v>14.2</v>
      </c>
      <c r="F450" s="363">
        <f t="shared" si="181"/>
        <v>-17012.580000000009</v>
      </c>
      <c r="G450" s="363">
        <f t="shared" si="182"/>
        <v>159012.58000000002</v>
      </c>
      <c r="H450" s="364">
        <f t="shared" si="183"/>
        <v>-0.10698889358313669</v>
      </c>
      <c r="I450" s="363"/>
    </row>
    <row r="451" spans="2:9" x14ac:dyDescent="0.25">
      <c r="B451" s="620">
        <v>42663</v>
      </c>
      <c r="C451" s="362">
        <v>10000</v>
      </c>
      <c r="D451" s="621">
        <v>15.901258</v>
      </c>
      <c r="E451" s="363">
        <v>14.7</v>
      </c>
      <c r="F451" s="363">
        <f>C451*(E451-D451)</f>
        <v>-12012.580000000011</v>
      </c>
      <c r="G451" s="363">
        <f>IF(C451=0, 0,D451*C451)</f>
        <v>159012.58000000002</v>
      </c>
      <c r="H451" s="365">
        <f>IF(C451=0, D451, (E451-D451)/D451)</f>
        <v>-7.5544840540289399E-2</v>
      </c>
      <c r="I451" s="363"/>
    </row>
    <row r="452" spans="2:9" x14ac:dyDescent="0.25">
      <c r="B452" s="620">
        <v>42668</v>
      </c>
      <c r="C452" s="362">
        <v>11000</v>
      </c>
      <c r="D452" s="621">
        <v>15.74728</v>
      </c>
      <c r="E452" s="363">
        <v>14.18</v>
      </c>
      <c r="F452" s="363">
        <f>C452*(E452-D452)</f>
        <v>-17240.080000000002</v>
      </c>
      <c r="G452" s="363">
        <f>IF(C452=0, 0,D452*C452)</f>
        <v>173220.08</v>
      </c>
      <c r="H452" s="365">
        <f>IF(C452=0, D452, (E452-D452)/D452)</f>
        <v>-9.9527029429844413E-2</v>
      </c>
      <c r="I452" s="363"/>
    </row>
    <row r="453" spans="2:9" x14ac:dyDescent="0.25">
      <c r="B453" s="620">
        <v>42670</v>
      </c>
      <c r="C453" s="362">
        <v>11500</v>
      </c>
      <c r="D453" s="621">
        <v>15.679137000000001</v>
      </c>
      <c r="E453" s="363">
        <v>13.95</v>
      </c>
      <c r="F453" s="363">
        <f>C453*(E453-D453)</f>
        <v>-19885.075500000017</v>
      </c>
      <c r="G453" s="363">
        <f>IF(C453=0, 0,D453*C453)</f>
        <v>180310.07550000001</v>
      </c>
      <c r="H453" s="365">
        <f>IF(C453=0, D453, (E453-D453)/D453)</f>
        <v>-0.11028266415428357</v>
      </c>
      <c r="I453" s="363"/>
    </row>
    <row r="454" spans="2:9" x14ac:dyDescent="0.25">
      <c r="B454" s="620">
        <v>42670</v>
      </c>
      <c r="C454" s="362">
        <v>12000</v>
      </c>
      <c r="D454" s="621">
        <v>15.6113</v>
      </c>
      <c r="E454" s="363">
        <v>13.95</v>
      </c>
      <c r="F454" s="363">
        <f t="shared" ref="F454:F461" si="184">C454*(E454-D454)</f>
        <v>-19935.600000000009</v>
      </c>
      <c r="G454" s="363">
        <f t="shared" ref="G454:G461" si="185">IF(C454=0, 0,D454*C454)</f>
        <v>187335.6</v>
      </c>
      <c r="H454" s="365">
        <f t="shared" ref="H454:H461" si="186">IF(C454=0, D454, (E454-D454)/D454)</f>
        <v>-0.10641650599245422</v>
      </c>
      <c r="I454" s="363"/>
    </row>
    <row r="455" spans="2:9" x14ac:dyDescent="0.25">
      <c r="B455" s="620">
        <v>42670</v>
      </c>
      <c r="C455" s="362">
        <v>12500</v>
      </c>
      <c r="D455" s="621">
        <v>15.542006000000001</v>
      </c>
      <c r="E455" s="363">
        <v>13.95</v>
      </c>
      <c r="F455" s="363">
        <f t="shared" si="184"/>
        <v>-19900.075000000015</v>
      </c>
      <c r="G455" s="363">
        <f t="shared" si="185"/>
        <v>194275.07500000001</v>
      </c>
      <c r="H455" s="365">
        <f t="shared" si="186"/>
        <v>-0.10243246592492637</v>
      </c>
      <c r="I455" s="363"/>
    </row>
    <row r="456" spans="2:9" x14ac:dyDescent="0.25">
      <c r="B456" s="620">
        <v>42671</v>
      </c>
      <c r="C456" s="362">
        <v>12500</v>
      </c>
      <c r="D456" s="621">
        <v>15.536431</v>
      </c>
      <c r="E456" s="363">
        <v>13.72</v>
      </c>
      <c r="F456" s="363">
        <f t="shared" si="184"/>
        <v>-22705.387499999997</v>
      </c>
      <c r="G456" s="363">
        <f t="shared" si="185"/>
        <v>194205.38750000001</v>
      </c>
      <c r="H456" s="365">
        <f t="shared" si="186"/>
        <v>-0.11691430290521676</v>
      </c>
      <c r="I456" s="363"/>
    </row>
    <row r="457" spans="2:9" x14ac:dyDescent="0.25">
      <c r="B457" s="620">
        <v>42674</v>
      </c>
      <c r="C457" s="362">
        <v>12500</v>
      </c>
      <c r="D457" s="621">
        <v>15.5313</v>
      </c>
      <c r="E457" s="363">
        <v>13.18</v>
      </c>
      <c r="F457" s="363">
        <f t="shared" si="184"/>
        <v>-29391.250000000004</v>
      </c>
      <c r="G457" s="363">
        <f t="shared" si="185"/>
        <v>194141.25</v>
      </c>
      <c r="H457" s="365">
        <f t="shared" si="186"/>
        <v>-0.15139106192012261</v>
      </c>
      <c r="I457" s="363"/>
    </row>
    <row r="458" spans="2:9" ht="15" customHeight="1" x14ac:dyDescent="0.25">
      <c r="B458" s="620">
        <v>42676</v>
      </c>
      <c r="C458" s="362">
        <v>12500</v>
      </c>
      <c r="D458" s="621">
        <v>15.528746</v>
      </c>
      <c r="E458" s="363">
        <v>12.78</v>
      </c>
      <c r="F458" s="363">
        <f t="shared" si="184"/>
        <v>-34359.325000000004</v>
      </c>
      <c r="G458" s="363">
        <f t="shared" si="185"/>
        <v>194109.32500000001</v>
      </c>
      <c r="H458" s="364">
        <f t="shared" si="186"/>
        <v>-0.17701017197396368</v>
      </c>
      <c r="I458" s="363"/>
    </row>
    <row r="459" spans="2:9" x14ac:dyDescent="0.25">
      <c r="B459" s="620">
        <v>42677</v>
      </c>
      <c r="C459" s="362">
        <v>10000</v>
      </c>
      <c r="D459" s="621">
        <v>15.813000000000001</v>
      </c>
      <c r="E459" s="363">
        <v>14.15</v>
      </c>
      <c r="F459" s="363">
        <f t="shared" si="184"/>
        <v>-16630.000000000004</v>
      </c>
      <c r="G459" s="363">
        <f t="shared" si="185"/>
        <v>158130</v>
      </c>
      <c r="H459" s="364">
        <f t="shared" si="186"/>
        <v>-0.10516663504711314</v>
      </c>
      <c r="I459" s="363"/>
    </row>
    <row r="460" spans="2:9" x14ac:dyDescent="0.25">
      <c r="B460" s="620">
        <v>42678</v>
      </c>
      <c r="C460" s="362">
        <v>11000</v>
      </c>
      <c r="D460" s="621">
        <v>15.62</v>
      </c>
      <c r="E460" s="363">
        <v>13.69</v>
      </c>
      <c r="F460" s="363">
        <f t="shared" si="184"/>
        <v>-21229.999999999996</v>
      </c>
      <c r="G460" s="363">
        <f t="shared" si="185"/>
        <v>171820</v>
      </c>
      <c r="H460" s="364">
        <f t="shared" si="186"/>
        <v>-0.12355953905249678</v>
      </c>
      <c r="I460" s="363"/>
    </row>
    <row r="461" spans="2:9" x14ac:dyDescent="0.25">
      <c r="B461" s="620">
        <v>42701</v>
      </c>
      <c r="C461" s="362">
        <v>7678</v>
      </c>
      <c r="D461" s="621">
        <v>15.484220000000001</v>
      </c>
      <c r="E461" s="363">
        <v>16.28</v>
      </c>
      <c r="F461" s="363">
        <f t="shared" si="184"/>
        <v>6109.9988400000047</v>
      </c>
      <c r="G461" s="363">
        <f t="shared" si="185"/>
        <v>118887.84116000001</v>
      </c>
      <c r="H461" s="364">
        <f t="shared" si="186"/>
        <v>5.1392966516879801E-2</v>
      </c>
      <c r="I461" s="363" t="s">
        <v>302</v>
      </c>
    </row>
    <row r="462" spans="2:9" x14ac:dyDescent="0.25">
      <c r="B462" s="620">
        <v>42702</v>
      </c>
      <c r="C462" s="362">
        <v>8178</v>
      </c>
      <c r="D462" s="621">
        <v>15.519399999999999</v>
      </c>
      <c r="E462" s="363">
        <v>15.62</v>
      </c>
      <c r="F462" s="363">
        <f t="shared" ref="F462:F479" si="187">C462*(E462-D462)</f>
        <v>822.70680000000016</v>
      </c>
      <c r="G462" s="363">
        <f t="shared" ref="G462:G479" si="188">IF(C462=0, 0,D462*C462)</f>
        <v>126917.6532</v>
      </c>
      <c r="H462" s="364">
        <f t="shared" ref="H462:H479" si="189">IF(C462=0, D462, (E462-D462)/D462)</f>
        <v>6.4822093637640649E-3</v>
      </c>
      <c r="I462" s="363" t="s">
        <v>307</v>
      </c>
    </row>
    <row r="463" spans="2:9" x14ac:dyDescent="0.25">
      <c r="B463" s="620">
        <v>42702</v>
      </c>
      <c r="C463" s="362">
        <v>8678</v>
      </c>
      <c r="D463" s="621">
        <v>15.5304</v>
      </c>
      <c r="E463" s="363">
        <v>15.54</v>
      </c>
      <c r="F463" s="363">
        <f t="shared" si="187"/>
        <v>83.308799999990825</v>
      </c>
      <c r="G463" s="363">
        <f t="shared" si="188"/>
        <v>134772.8112</v>
      </c>
      <c r="H463" s="364">
        <f t="shared" si="189"/>
        <v>6.1814248184199655E-4</v>
      </c>
      <c r="I463" s="363"/>
    </row>
    <row r="464" spans="2:9" x14ac:dyDescent="0.25">
      <c r="B464" s="620">
        <v>42703</v>
      </c>
      <c r="C464" s="362">
        <v>8978</v>
      </c>
      <c r="D464" s="621">
        <v>15.5053</v>
      </c>
      <c r="E464" s="363">
        <v>14.95</v>
      </c>
      <c r="F464" s="363">
        <f t="shared" si="187"/>
        <v>-4985.4834000000074</v>
      </c>
      <c r="G464" s="363">
        <f t="shared" si="188"/>
        <v>139206.5834</v>
      </c>
      <c r="H464" s="364">
        <f t="shared" si="189"/>
        <v>-3.5813560524465882E-2</v>
      </c>
      <c r="I464" s="363"/>
    </row>
    <row r="465" spans="1:10" x14ac:dyDescent="0.25">
      <c r="B465" s="620">
        <v>42704</v>
      </c>
      <c r="C465" s="362">
        <v>5178</v>
      </c>
      <c r="D465" s="621">
        <v>14.3947</v>
      </c>
      <c r="E465" s="363">
        <v>18.059999999999999</v>
      </c>
      <c r="F465" s="363">
        <f t="shared" si="187"/>
        <v>18978.923399999992</v>
      </c>
      <c r="G465" s="363">
        <f t="shared" si="188"/>
        <v>74535.756600000008</v>
      </c>
      <c r="H465" s="364">
        <f t="shared" si="189"/>
        <v>0.25462843963403187</v>
      </c>
      <c r="I465" s="363"/>
    </row>
    <row r="466" spans="1:10" x14ac:dyDescent="0.25">
      <c r="B466" s="620">
        <v>42705</v>
      </c>
      <c r="C466" s="362">
        <v>4678</v>
      </c>
      <c r="D466" s="621">
        <v>13.905799999999999</v>
      </c>
      <c r="E466" s="363">
        <v>17.89</v>
      </c>
      <c r="F466" s="363">
        <f t="shared" si="187"/>
        <v>18638.087600000006</v>
      </c>
      <c r="G466" s="363">
        <f t="shared" si="188"/>
        <v>65051.332399999999</v>
      </c>
      <c r="H466" s="364">
        <f t="shared" si="189"/>
        <v>0.28651354111234173</v>
      </c>
      <c r="I466" s="363"/>
    </row>
    <row r="467" spans="1:10" x14ac:dyDescent="0.25">
      <c r="B467" s="620">
        <v>42705</v>
      </c>
      <c r="C467" s="362">
        <v>5000</v>
      </c>
      <c r="D467" s="621">
        <v>14.1645</v>
      </c>
      <c r="E467" s="363">
        <v>17.89</v>
      </c>
      <c r="F467" s="363">
        <f t="shared" si="187"/>
        <v>18627.5</v>
      </c>
      <c r="G467" s="363">
        <f t="shared" si="188"/>
        <v>70822.5</v>
      </c>
      <c r="H467" s="364">
        <f t="shared" si="189"/>
        <v>0.2630166966712556</v>
      </c>
      <c r="I467" s="363"/>
    </row>
    <row r="468" spans="1:10" x14ac:dyDescent="0.25">
      <c r="B468" s="620">
        <v>42708</v>
      </c>
      <c r="C468" s="362">
        <v>5000</v>
      </c>
      <c r="D468" s="621">
        <v>14.1645</v>
      </c>
      <c r="E468" s="363">
        <v>18.2</v>
      </c>
      <c r="F468" s="363">
        <f t="shared" si="187"/>
        <v>20177.499999999996</v>
      </c>
      <c r="G468" s="363">
        <f t="shared" si="188"/>
        <v>70822.5</v>
      </c>
      <c r="H468" s="364">
        <f t="shared" si="189"/>
        <v>0.28490239683716323</v>
      </c>
      <c r="I468" s="363"/>
    </row>
    <row r="469" spans="1:10" x14ac:dyDescent="0.25">
      <c r="B469" s="620">
        <v>42711</v>
      </c>
      <c r="C469" s="362">
        <v>5000</v>
      </c>
      <c r="D469" s="621">
        <v>14.143514</v>
      </c>
      <c r="E469" s="363">
        <v>18.420000000000002</v>
      </c>
      <c r="F469" s="363">
        <f t="shared" si="187"/>
        <v>21382.430000000011</v>
      </c>
      <c r="G469" s="363">
        <f t="shared" si="188"/>
        <v>70717.569999999992</v>
      </c>
      <c r="H469" s="364">
        <f t="shared" si="189"/>
        <v>0.3023637548631834</v>
      </c>
      <c r="I469" s="363"/>
    </row>
    <row r="470" spans="1:10" x14ac:dyDescent="0.25">
      <c r="B470" s="620">
        <v>42713</v>
      </c>
      <c r="C470" s="362">
        <v>5000</v>
      </c>
      <c r="D470" s="621">
        <v>14.127554</v>
      </c>
      <c r="E470" s="363">
        <v>18.25</v>
      </c>
      <c r="F470" s="363">
        <f t="shared" si="187"/>
        <v>20612.23</v>
      </c>
      <c r="G470" s="363">
        <f t="shared" si="188"/>
        <v>70637.77</v>
      </c>
      <c r="H470" s="364">
        <f t="shared" si="189"/>
        <v>0.29180182216964096</v>
      </c>
      <c r="I470" s="363"/>
    </row>
    <row r="471" spans="1:10" x14ac:dyDescent="0.25">
      <c r="B471" s="620">
        <v>42716</v>
      </c>
      <c r="C471" s="362">
        <v>5000</v>
      </c>
      <c r="D471" s="621">
        <v>14.0276</v>
      </c>
      <c r="E471" s="363">
        <v>18.489999999999998</v>
      </c>
      <c r="F471" s="363">
        <f t="shared" si="187"/>
        <v>22311.999999999993</v>
      </c>
      <c r="G471" s="363">
        <f t="shared" si="188"/>
        <v>70138</v>
      </c>
      <c r="H471" s="364">
        <f t="shared" si="189"/>
        <v>0.3181157147338104</v>
      </c>
      <c r="I471" s="363" t="s">
        <v>185</v>
      </c>
    </row>
    <row r="472" spans="1:10" x14ac:dyDescent="0.25">
      <c r="B472" s="620">
        <v>42718</v>
      </c>
      <c r="C472" s="362">
        <v>5000</v>
      </c>
      <c r="D472" s="621">
        <v>14.025399999999999</v>
      </c>
      <c r="E472" s="363">
        <v>18.2</v>
      </c>
      <c r="F472" s="363">
        <f t="shared" si="187"/>
        <v>20873</v>
      </c>
      <c r="G472" s="363">
        <f t="shared" si="188"/>
        <v>70127</v>
      </c>
      <c r="H472" s="364">
        <f t="shared" si="189"/>
        <v>0.29764569994438661</v>
      </c>
      <c r="I472" s="363">
        <v>13.8</v>
      </c>
    </row>
    <row r="473" spans="1:10" x14ac:dyDescent="0.25">
      <c r="B473" s="620">
        <v>42726</v>
      </c>
      <c r="C473" s="362">
        <v>5000</v>
      </c>
      <c r="D473" s="621">
        <v>14.025399999999999</v>
      </c>
      <c r="E473" s="363">
        <v>18.04</v>
      </c>
      <c r="F473" s="363">
        <f t="shared" si="187"/>
        <v>20073</v>
      </c>
      <c r="G473" s="363">
        <f t="shared" si="188"/>
        <v>70127</v>
      </c>
      <c r="H473" s="364">
        <f t="shared" si="189"/>
        <v>0.28623782565916123</v>
      </c>
      <c r="I473" s="363"/>
    </row>
    <row r="474" spans="1:10" x14ac:dyDescent="0.25">
      <c r="B474" s="620">
        <v>42733</v>
      </c>
      <c r="C474" s="362">
        <v>6000</v>
      </c>
      <c r="D474" s="621">
        <v>14.627558000000001</v>
      </c>
      <c r="E474" s="363">
        <v>17.57</v>
      </c>
      <c r="F474" s="443">
        <f t="shared" si="187"/>
        <v>17654.651999999998</v>
      </c>
      <c r="G474" s="363">
        <f t="shared" si="188"/>
        <v>87765.347999999998</v>
      </c>
      <c r="H474" s="365">
        <f t="shared" si="189"/>
        <v>0.20115743174629694</v>
      </c>
      <c r="I474" s="363"/>
      <c r="J474" s="3"/>
    </row>
    <row r="475" spans="1:10" x14ac:dyDescent="0.25">
      <c r="B475" s="620">
        <v>42734</v>
      </c>
      <c r="C475" s="362">
        <v>6000</v>
      </c>
      <c r="D475" s="621">
        <v>14.562623</v>
      </c>
      <c r="E475" s="363">
        <v>17.309999999999999</v>
      </c>
      <c r="F475" s="443">
        <f t="shared" si="187"/>
        <v>16484.261999999992</v>
      </c>
      <c r="G475" s="363">
        <f t="shared" si="188"/>
        <v>87375.737999999998</v>
      </c>
      <c r="H475" s="365">
        <f t="shared" si="189"/>
        <v>0.18865948806063293</v>
      </c>
      <c r="I475" s="363"/>
    </row>
    <row r="476" spans="1:10" x14ac:dyDescent="0.25">
      <c r="B476" s="620">
        <v>42739</v>
      </c>
      <c r="C476" s="362">
        <v>5500</v>
      </c>
      <c r="D476" s="621">
        <v>14.242898</v>
      </c>
      <c r="E476" s="363">
        <v>18.05</v>
      </c>
      <c r="F476" s="443">
        <f t="shared" si="187"/>
        <v>20939.061000000002</v>
      </c>
      <c r="G476" s="363">
        <f t="shared" si="188"/>
        <v>78335.938999999998</v>
      </c>
      <c r="H476" s="365">
        <f t="shared" si="189"/>
        <v>0.26729827033796072</v>
      </c>
      <c r="I476" s="363"/>
    </row>
    <row r="477" spans="1:10" x14ac:dyDescent="0.25">
      <c r="B477" s="620">
        <v>42741</v>
      </c>
      <c r="C477" s="362">
        <v>6000</v>
      </c>
      <c r="D477" s="621">
        <v>14.54599</v>
      </c>
      <c r="E477" s="363">
        <v>17.98</v>
      </c>
      <c r="F477" s="443">
        <f t="shared" si="187"/>
        <v>20604.060000000005</v>
      </c>
      <c r="G477" s="363">
        <f t="shared" si="188"/>
        <v>87275.94</v>
      </c>
      <c r="H477" s="365">
        <f t="shared" si="189"/>
        <v>0.23607949682352322</v>
      </c>
      <c r="I477" s="363"/>
    </row>
    <row r="478" spans="1:10" ht="15" customHeight="1" x14ac:dyDescent="0.25">
      <c r="B478" s="620">
        <v>42748</v>
      </c>
      <c r="C478" s="362">
        <v>6000</v>
      </c>
      <c r="D478" s="621">
        <v>14.527687999999999</v>
      </c>
      <c r="E478" s="363">
        <v>17.46</v>
      </c>
      <c r="F478" s="443">
        <f t="shared" si="187"/>
        <v>17593.872000000007</v>
      </c>
      <c r="G478" s="363">
        <f t="shared" si="188"/>
        <v>87166.127999999997</v>
      </c>
      <c r="H478" s="365">
        <f t="shared" si="189"/>
        <v>0.20184299112150547</v>
      </c>
      <c r="I478" s="363"/>
    </row>
    <row r="479" spans="1:10" x14ac:dyDescent="0.25">
      <c r="A479" s="226" t="s">
        <v>331</v>
      </c>
      <c r="B479" s="620">
        <v>42754</v>
      </c>
      <c r="C479" s="362">
        <v>6000</v>
      </c>
      <c r="D479" s="621">
        <v>14.527687999999999</v>
      </c>
      <c r="E479" s="363">
        <v>17.27</v>
      </c>
      <c r="F479" s="443">
        <f t="shared" si="187"/>
        <v>16453.871999999999</v>
      </c>
      <c r="G479" s="363">
        <f t="shared" si="188"/>
        <v>87166.127999999997</v>
      </c>
      <c r="H479" s="365">
        <f t="shared" si="189"/>
        <v>0.1887645164185795</v>
      </c>
      <c r="I479" s="363"/>
    </row>
    <row r="480" spans="1:10" x14ac:dyDescent="0.25">
      <c r="A480" t="s">
        <v>331</v>
      </c>
      <c r="B480" s="620">
        <v>42760</v>
      </c>
      <c r="C480" s="362">
        <v>6000</v>
      </c>
      <c r="D480" s="621">
        <v>14.527687999999999</v>
      </c>
      <c r="E480" s="363">
        <v>17.75</v>
      </c>
      <c r="F480" s="443">
        <f t="shared" ref="F480:F494" si="190">C480*(E480-D480)</f>
        <v>19333.872000000003</v>
      </c>
      <c r="G480" s="363">
        <f t="shared" ref="G480:G494" si="191">IF(C480=0, 0,D480*C480)</f>
        <v>87166.127999999997</v>
      </c>
      <c r="H480" s="365">
        <f t="shared" ref="H480:H494" si="192">IF(C480=0, D480, (E480-D480)/D480)</f>
        <v>0.22180487356281334</v>
      </c>
      <c r="I480" s="363"/>
    </row>
    <row r="481" spans="1:9" x14ac:dyDescent="0.25">
      <c r="A481" t="s">
        <v>363</v>
      </c>
      <c r="B481" s="620">
        <v>42761</v>
      </c>
      <c r="C481" s="362">
        <v>6000</v>
      </c>
      <c r="D481" s="621">
        <v>14.50817</v>
      </c>
      <c r="E481" s="363">
        <v>17.75</v>
      </c>
      <c r="F481" s="443">
        <f t="shared" si="190"/>
        <v>19450.98</v>
      </c>
      <c r="G481" s="363">
        <f t="shared" si="191"/>
        <v>87049.02</v>
      </c>
      <c r="H481" s="365">
        <f t="shared" si="192"/>
        <v>0.22344858104088938</v>
      </c>
      <c r="I481" s="363"/>
    </row>
    <row r="482" spans="1:9" x14ac:dyDescent="0.25">
      <c r="A482" t="s">
        <v>366</v>
      </c>
      <c r="B482" s="620">
        <v>42762</v>
      </c>
      <c r="C482" s="362">
        <v>6100</v>
      </c>
      <c r="D482" s="621">
        <v>14.553610000000001</v>
      </c>
      <c r="E482" s="363">
        <v>17.41</v>
      </c>
      <c r="F482" s="443">
        <f t="shared" si="190"/>
        <v>17423.978999999996</v>
      </c>
      <c r="G482" s="363">
        <f t="shared" si="191"/>
        <v>88777.021000000008</v>
      </c>
      <c r="H482" s="365">
        <f t="shared" si="192"/>
        <v>0.19626676817641803</v>
      </c>
      <c r="I482" s="363"/>
    </row>
    <row r="483" spans="1:9" x14ac:dyDescent="0.25">
      <c r="A483" t="s">
        <v>376</v>
      </c>
      <c r="B483" s="620">
        <v>42765</v>
      </c>
      <c r="C483" s="362">
        <v>6900</v>
      </c>
      <c r="D483" s="621">
        <v>14.793915999999999</v>
      </c>
      <c r="E483" s="363">
        <v>16.53</v>
      </c>
      <c r="F483" s="443">
        <f t="shared" si="190"/>
        <v>11978.979600000011</v>
      </c>
      <c r="G483" s="363">
        <f t="shared" si="191"/>
        <v>102078.02039999999</v>
      </c>
      <c r="H483" s="365">
        <f t="shared" si="192"/>
        <v>0.11735121383682331</v>
      </c>
      <c r="I483" s="363"/>
    </row>
    <row r="484" spans="1:9" x14ac:dyDescent="0.25">
      <c r="A484" t="s">
        <v>377</v>
      </c>
      <c r="B484" s="620">
        <v>42766</v>
      </c>
      <c r="C484" s="362">
        <v>6900</v>
      </c>
      <c r="D484" s="621">
        <v>14.783497000000001</v>
      </c>
      <c r="E484" s="363">
        <v>16.75</v>
      </c>
      <c r="F484" s="443">
        <f t="shared" si="190"/>
        <v>13568.870699999996</v>
      </c>
      <c r="G484" s="363">
        <f t="shared" si="191"/>
        <v>102006.1293</v>
      </c>
      <c r="H484" s="365">
        <f t="shared" si="192"/>
        <v>0.13302015078029233</v>
      </c>
      <c r="I484" s="363"/>
    </row>
    <row r="485" spans="1:9" x14ac:dyDescent="0.25">
      <c r="B485" s="620">
        <v>42767</v>
      </c>
      <c r="C485" s="362">
        <v>6000</v>
      </c>
      <c r="D485" s="621">
        <v>14.442175000000001</v>
      </c>
      <c r="E485" s="363">
        <v>16.59</v>
      </c>
      <c r="F485" s="443">
        <f t="shared" si="190"/>
        <v>12886.949999999995</v>
      </c>
      <c r="G485" s="363">
        <f t="shared" si="191"/>
        <v>86653.05</v>
      </c>
      <c r="H485" s="365">
        <f t="shared" si="192"/>
        <v>0.14871894295699914</v>
      </c>
      <c r="I485" s="363"/>
    </row>
    <row r="486" spans="1:9" x14ac:dyDescent="0.25">
      <c r="B486" s="620">
        <v>42767</v>
      </c>
      <c r="C486" s="362">
        <v>7000</v>
      </c>
      <c r="D486" s="621">
        <v>14.725436</v>
      </c>
      <c r="E486" s="363">
        <v>16.59</v>
      </c>
      <c r="F486" s="443">
        <f t="shared" si="190"/>
        <v>13051.947999999999</v>
      </c>
      <c r="G486" s="363">
        <f t="shared" si="191"/>
        <v>103078.052</v>
      </c>
      <c r="H486" s="365">
        <f t="shared" si="192"/>
        <v>0.1266219893251378</v>
      </c>
      <c r="I486" s="363"/>
    </row>
    <row r="487" spans="1:9" ht="15" customHeight="1" x14ac:dyDescent="0.25">
      <c r="B487" s="620">
        <v>42767</v>
      </c>
      <c r="C487" s="362">
        <v>7200</v>
      </c>
      <c r="D487" s="621">
        <v>14.771951</v>
      </c>
      <c r="E487" s="363">
        <v>16.59</v>
      </c>
      <c r="F487" s="443">
        <f t="shared" si="190"/>
        <v>13089.952800000001</v>
      </c>
      <c r="G487" s="363">
        <f t="shared" si="191"/>
        <v>106358.0472</v>
      </c>
      <c r="H487" s="365">
        <f t="shared" si="192"/>
        <v>0.12307439958337259</v>
      </c>
      <c r="I487" s="363"/>
    </row>
    <row r="488" spans="1:9" x14ac:dyDescent="0.25">
      <c r="A488" t="s">
        <v>381</v>
      </c>
      <c r="B488" s="620">
        <v>42767</v>
      </c>
      <c r="C488" s="362">
        <v>6500</v>
      </c>
      <c r="D488" s="621">
        <v>14.578353999999999</v>
      </c>
      <c r="E488" s="363">
        <v>16.59</v>
      </c>
      <c r="F488" s="443">
        <f t="shared" si="190"/>
        <v>13075.699000000004</v>
      </c>
      <c r="G488" s="363">
        <f t="shared" si="191"/>
        <v>94759.300999999992</v>
      </c>
      <c r="H488" s="365">
        <f t="shared" si="192"/>
        <v>0.13798855481215511</v>
      </c>
      <c r="I488" s="363"/>
    </row>
    <row r="489" spans="1:9" x14ac:dyDescent="0.25">
      <c r="A489" t="s">
        <v>383</v>
      </c>
      <c r="B489" s="620">
        <v>42768</v>
      </c>
      <c r="C489" s="362">
        <v>6000</v>
      </c>
      <c r="D489" s="621">
        <v>14.368788</v>
      </c>
      <c r="E489" s="363">
        <v>16.68</v>
      </c>
      <c r="F489" s="443">
        <f t="shared" si="190"/>
        <v>13867.271999999995</v>
      </c>
      <c r="G489" s="363">
        <f>IF(C489=0, 0,D489*C489)</f>
        <v>86212.728000000003</v>
      </c>
      <c r="H489" s="365">
        <f t="shared" si="192"/>
        <v>0.16084947456946261</v>
      </c>
      <c r="I489" s="363"/>
    </row>
    <row r="490" spans="1:9" x14ac:dyDescent="0.25">
      <c r="A490" t="s">
        <v>390</v>
      </c>
      <c r="B490" s="620">
        <v>42769</v>
      </c>
      <c r="C490" s="362">
        <v>5300</v>
      </c>
      <c r="D490" s="621">
        <v>14.006677</v>
      </c>
      <c r="E490" s="363">
        <v>17.23</v>
      </c>
      <c r="F490" s="443">
        <f t="shared" si="190"/>
        <v>17083.611900000004</v>
      </c>
      <c r="G490" s="363">
        <f t="shared" si="191"/>
        <v>74235.388099999996</v>
      </c>
      <c r="H490" s="365">
        <f t="shared" si="192"/>
        <v>0.2301276027140485</v>
      </c>
      <c r="I490" s="363"/>
    </row>
    <row r="491" spans="1:9" x14ac:dyDescent="0.25">
      <c r="A491" t="s">
        <v>400</v>
      </c>
      <c r="B491" s="620">
        <v>42772</v>
      </c>
      <c r="C491" s="362">
        <v>6000</v>
      </c>
      <c r="D491" s="621">
        <v>14.311230999999999</v>
      </c>
      <c r="E491" s="363">
        <v>16.52</v>
      </c>
      <c r="F491" s="443">
        <f t="shared" si="190"/>
        <v>13252.614000000001</v>
      </c>
      <c r="G491" s="363">
        <f t="shared" si="191"/>
        <v>85867.385999999999</v>
      </c>
      <c r="H491" s="365">
        <f t="shared" si="192"/>
        <v>0.15433815581622576</v>
      </c>
      <c r="I491" s="363"/>
    </row>
    <row r="492" spans="1:9" x14ac:dyDescent="0.25">
      <c r="A492" t="s">
        <v>405</v>
      </c>
      <c r="B492" s="620">
        <v>42773</v>
      </c>
      <c r="C492" s="362">
        <v>6600</v>
      </c>
      <c r="D492" s="621">
        <v>14.461574000000001</v>
      </c>
      <c r="E492" s="363">
        <v>16.03</v>
      </c>
      <c r="F492" s="443">
        <f t="shared" si="190"/>
        <v>10351.611600000004</v>
      </c>
      <c r="G492" s="363">
        <f t="shared" si="191"/>
        <v>95446.388400000011</v>
      </c>
      <c r="H492" s="365">
        <f t="shared" si="192"/>
        <v>0.10845472283998965</v>
      </c>
      <c r="I492" s="363"/>
    </row>
    <row r="493" spans="1:9" x14ac:dyDescent="0.25">
      <c r="A493" t="s">
        <v>428</v>
      </c>
      <c r="B493" s="620">
        <v>42781</v>
      </c>
      <c r="C493" s="362">
        <v>5700</v>
      </c>
      <c r="D493" s="621">
        <v>14.140828000000001</v>
      </c>
      <c r="E493" s="363">
        <v>16.3</v>
      </c>
      <c r="F493" s="443">
        <f t="shared" si="190"/>
        <v>12307.2804</v>
      </c>
      <c r="G493" s="363">
        <f t="shared" si="191"/>
        <v>80602.719600000011</v>
      </c>
      <c r="H493" s="365">
        <f t="shared" si="192"/>
        <v>0.1526906345229572</v>
      </c>
      <c r="I493" s="363"/>
    </row>
    <row r="494" spans="1:9" x14ac:dyDescent="0.25">
      <c r="A494" t="s">
        <v>430</v>
      </c>
      <c r="B494" s="620">
        <v>42782</v>
      </c>
      <c r="C494" s="362">
        <v>5700</v>
      </c>
      <c r="D494" s="621">
        <v>14.103</v>
      </c>
      <c r="E494" s="363">
        <v>16.170000000000002</v>
      </c>
      <c r="F494" s="443">
        <f t="shared" si="190"/>
        <v>11781.900000000011</v>
      </c>
      <c r="G494" s="363">
        <f t="shared" si="191"/>
        <v>80387.100000000006</v>
      </c>
      <c r="H494" s="365">
        <f t="shared" si="192"/>
        <v>0.14656456073175933</v>
      </c>
      <c r="I494" s="363"/>
    </row>
    <row r="495" spans="1:9" x14ac:dyDescent="0.25">
      <c r="B495" s="620"/>
      <c r="C495" s="362"/>
      <c r="D495" s="621"/>
      <c r="E495" s="363"/>
      <c r="F495" s="443"/>
      <c r="G495" s="363"/>
      <c r="H495" s="365"/>
      <c r="I495" s="363"/>
    </row>
    <row r="496" spans="1:9" x14ac:dyDescent="0.25">
      <c r="B496" s="620"/>
      <c r="C496" s="362"/>
      <c r="D496" s="621"/>
      <c r="E496" s="363"/>
      <c r="F496" s="443"/>
      <c r="G496" s="363"/>
      <c r="H496" s="365"/>
      <c r="I496" s="363"/>
    </row>
    <row r="497" spans="1:13" x14ac:dyDescent="0.25">
      <c r="B497" s="620"/>
      <c r="C497" s="362"/>
      <c r="D497" s="621"/>
      <c r="E497" s="363"/>
      <c r="F497" s="443"/>
      <c r="G497" s="363"/>
      <c r="H497" s="365"/>
      <c r="I497" s="363"/>
    </row>
    <row r="498" spans="1:13" x14ac:dyDescent="0.25">
      <c r="B498" s="620"/>
      <c r="C498" s="362"/>
      <c r="D498" s="621"/>
      <c r="E498" s="363"/>
      <c r="F498" s="443"/>
      <c r="G498" s="363"/>
      <c r="H498" s="365"/>
      <c r="I498" s="363"/>
    </row>
    <row r="502" spans="1:13" x14ac:dyDescent="0.25">
      <c r="L502" t="s">
        <v>65</v>
      </c>
      <c r="M502" s="227">
        <f>K765+M765-F765</f>
        <v>14615.571000001626</v>
      </c>
    </row>
    <row r="503" spans="1:13" x14ac:dyDescent="0.25">
      <c r="A503" s="510" t="s">
        <v>1</v>
      </c>
      <c r="B503" s="587" t="s">
        <v>2</v>
      </c>
      <c r="C503" s="510" t="s">
        <v>4</v>
      </c>
      <c r="D503" s="588" t="s">
        <v>5</v>
      </c>
      <c r="E503" s="511" t="s">
        <v>90</v>
      </c>
      <c r="F503" s="511" t="s">
        <v>60</v>
      </c>
      <c r="G503" s="510" t="s">
        <v>3</v>
      </c>
      <c r="H503" s="589" t="s">
        <v>6</v>
      </c>
      <c r="I503" s="588" t="s">
        <v>7</v>
      </c>
      <c r="J503" s="511" t="s">
        <v>89</v>
      </c>
      <c r="K503" s="511" t="s">
        <v>61</v>
      </c>
      <c r="L503" s="510" t="s">
        <v>37</v>
      </c>
      <c r="M503" s="511" t="s">
        <v>38</v>
      </c>
    </row>
    <row r="504" spans="1:13" x14ac:dyDescent="0.25">
      <c r="A504" s="512" t="s">
        <v>50</v>
      </c>
      <c r="B504" s="545">
        <v>42187</v>
      </c>
      <c r="C504" s="497">
        <v>1000</v>
      </c>
      <c r="D504" s="498">
        <v>27.25</v>
      </c>
      <c r="E504" s="499">
        <v>0</v>
      </c>
      <c r="F504" s="499">
        <f>C504*D504+E504</f>
        <v>27250</v>
      </c>
      <c r="G504" s="496">
        <v>42187</v>
      </c>
      <c r="H504" s="513">
        <v>2000</v>
      </c>
      <c r="I504" s="498">
        <v>27.34</v>
      </c>
      <c r="J504" s="499">
        <v>-5.49</v>
      </c>
      <c r="K504" s="499">
        <f>H504*I504-J504</f>
        <v>54685.49</v>
      </c>
      <c r="L504" s="496">
        <v>42257</v>
      </c>
      <c r="M504" s="499">
        <v>850.5</v>
      </c>
    </row>
    <row r="505" spans="1:13" x14ac:dyDescent="0.25">
      <c r="A505" s="514" t="s">
        <v>71</v>
      </c>
      <c r="B505" s="545">
        <v>42187</v>
      </c>
      <c r="C505" s="497">
        <v>80</v>
      </c>
      <c r="D505" s="498">
        <v>27.152249999999999</v>
      </c>
      <c r="E505" s="499">
        <v>0</v>
      </c>
      <c r="F505" s="499">
        <f t="shared" ref="F505:F568" si="193">C505*D505+E505</f>
        <v>2172.1799999999998</v>
      </c>
      <c r="G505" s="496">
        <v>42199</v>
      </c>
      <c r="H505" s="513">
        <v>102</v>
      </c>
      <c r="I505" s="498">
        <v>25.28</v>
      </c>
      <c r="J505" s="499">
        <v>0.05</v>
      </c>
      <c r="K505" s="499">
        <f t="shared" ref="K505:K532" si="194">H505*I505-J505</f>
        <v>2578.5099999999998</v>
      </c>
      <c r="L505" s="496">
        <v>42439</v>
      </c>
      <c r="M505" s="499">
        <v>483.9</v>
      </c>
    </row>
    <row r="506" spans="1:13" x14ac:dyDescent="0.25">
      <c r="A506" s="497"/>
      <c r="B506" s="545">
        <v>42187</v>
      </c>
      <c r="C506" s="497">
        <v>1000</v>
      </c>
      <c r="D506" s="498">
        <v>27.1</v>
      </c>
      <c r="E506" s="499">
        <v>0</v>
      </c>
      <c r="F506" s="499">
        <f t="shared" si="193"/>
        <v>27100</v>
      </c>
      <c r="G506" s="496">
        <v>42227</v>
      </c>
      <c r="H506" s="513">
        <v>200</v>
      </c>
      <c r="I506" s="498">
        <v>19.649999999999999</v>
      </c>
      <c r="J506" s="499">
        <v>7.0000000000000007E-2</v>
      </c>
      <c r="K506" s="499">
        <f t="shared" si="194"/>
        <v>3929.9299999999994</v>
      </c>
      <c r="L506" s="496">
        <v>42531</v>
      </c>
      <c r="M506" s="499">
        <v>483.9</v>
      </c>
    </row>
    <row r="507" spans="1:13" x14ac:dyDescent="0.25">
      <c r="A507" s="497"/>
      <c r="B507" s="608">
        <v>42187</v>
      </c>
      <c r="C507" s="497">
        <v>500</v>
      </c>
      <c r="D507" s="498">
        <v>27.039332999999999</v>
      </c>
      <c r="E507" s="499">
        <v>0</v>
      </c>
      <c r="F507" s="499">
        <f t="shared" si="193"/>
        <v>13519.666499999999</v>
      </c>
      <c r="G507" s="496">
        <v>42227</v>
      </c>
      <c r="H507" s="513">
        <v>200</v>
      </c>
      <c r="I507" s="498">
        <v>18.7</v>
      </c>
      <c r="J507" s="499">
        <v>7.0000000000000007E-2</v>
      </c>
      <c r="K507" s="499">
        <f t="shared" si="194"/>
        <v>3739.93</v>
      </c>
      <c r="L507" s="496">
        <v>42625</v>
      </c>
      <c r="M507" s="499">
        <v>433.9</v>
      </c>
    </row>
    <row r="508" spans="1:13" x14ac:dyDescent="0.25">
      <c r="A508" s="497"/>
      <c r="B508" s="608"/>
      <c r="C508" s="497">
        <v>500</v>
      </c>
      <c r="D508" s="498">
        <v>27.039332999999999</v>
      </c>
      <c r="E508" s="499">
        <v>0</v>
      </c>
      <c r="F508" s="499">
        <f t="shared" si="193"/>
        <v>13519.666499999999</v>
      </c>
      <c r="G508" s="496">
        <v>42257</v>
      </c>
      <c r="H508" s="513">
        <v>1600</v>
      </c>
      <c r="I508" s="498">
        <v>16.445</v>
      </c>
      <c r="J508" s="499">
        <v>0.48</v>
      </c>
      <c r="K508" s="499">
        <f t="shared" si="194"/>
        <v>26311.52</v>
      </c>
      <c r="L508" s="496">
        <v>42716</v>
      </c>
      <c r="M508" s="499">
        <v>500</v>
      </c>
    </row>
    <row r="509" spans="1:13" x14ac:dyDescent="0.25">
      <c r="A509" s="497"/>
      <c r="B509" s="608"/>
      <c r="C509" s="497">
        <v>500</v>
      </c>
      <c r="D509" s="498">
        <v>27.039332999999999</v>
      </c>
      <c r="E509" s="499">
        <v>0</v>
      </c>
      <c r="F509" s="499">
        <f t="shared" si="193"/>
        <v>13519.666499999999</v>
      </c>
      <c r="G509" s="609">
        <v>42265</v>
      </c>
      <c r="H509" s="513">
        <v>200</v>
      </c>
      <c r="I509" s="498">
        <v>15.65</v>
      </c>
      <c r="J509" s="499">
        <v>0.05</v>
      </c>
      <c r="K509" s="499">
        <f t="shared" si="194"/>
        <v>3129.95</v>
      </c>
      <c r="L509" s="497"/>
      <c r="M509" s="499"/>
    </row>
    <row r="510" spans="1:13" x14ac:dyDescent="0.25">
      <c r="A510" s="497"/>
      <c r="B510" s="608"/>
      <c r="C510" s="497">
        <v>500</v>
      </c>
      <c r="D510" s="498">
        <v>27.039332999999999</v>
      </c>
      <c r="E510" s="499">
        <v>0</v>
      </c>
      <c r="F510" s="499">
        <f t="shared" si="193"/>
        <v>13519.666499999999</v>
      </c>
      <c r="G510" s="609"/>
      <c r="H510" s="513">
        <v>2400</v>
      </c>
      <c r="I510" s="498">
        <v>15.7</v>
      </c>
      <c r="J510" s="499">
        <v>0.7</v>
      </c>
      <c r="K510" s="499">
        <f t="shared" si="194"/>
        <v>37679.300000000003</v>
      </c>
      <c r="L510" s="497"/>
      <c r="M510" s="499"/>
    </row>
    <row r="511" spans="1:13" x14ac:dyDescent="0.25">
      <c r="A511" s="497"/>
      <c r="B511" s="608"/>
      <c r="C511" s="497">
        <v>1000</v>
      </c>
      <c r="D511" s="498">
        <v>27.039332999999999</v>
      </c>
      <c r="E511" s="499">
        <v>0</v>
      </c>
      <c r="F511" s="499">
        <f t="shared" si="193"/>
        <v>27039.332999999999</v>
      </c>
      <c r="G511" s="496">
        <v>42271</v>
      </c>
      <c r="H511" s="590">
        <v>918</v>
      </c>
      <c r="I511" s="591">
        <v>16.45</v>
      </c>
      <c r="J511" s="592">
        <v>0.28000000000000003</v>
      </c>
      <c r="K511" s="592">
        <f t="shared" si="194"/>
        <v>15100.819999999998</v>
      </c>
      <c r="L511" s="497"/>
      <c r="M511" s="499"/>
    </row>
    <row r="512" spans="1:13" ht="15" customHeight="1" x14ac:dyDescent="0.25">
      <c r="A512" s="497"/>
      <c r="B512" s="545">
        <v>42198</v>
      </c>
      <c r="C512" s="497">
        <v>100</v>
      </c>
      <c r="D512" s="498">
        <v>24.77</v>
      </c>
      <c r="E512" s="499">
        <v>0</v>
      </c>
      <c r="F512" s="499">
        <f t="shared" si="193"/>
        <v>2477</v>
      </c>
      <c r="G512" s="610" t="s">
        <v>139</v>
      </c>
      <c r="H512" s="513">
        <v>500</v>
      </c>
      <c r="I512" s="498">
        <v>15.95</v>
      </c>
      <c r="J512" s="499">
        <v>0.15</v>
      </c>
      <c r="K512" s="592">
        <f t="shared" si="194"/>
        <v>7974.85</v>
      </c>
      <c r="L512" s="497"/>
      <c r="M512" s="499"/>
    </row>
    <row r="513" spans="1:13" x14ac:dyDescent="0.25">
      <c r="A513" s="497"/>
      <c r="B513" s="545">
        <v>42205</v>
      </c>
      <c r="C513" s="497">
        <v>50</v>
      </c>
      <c r="D513" s="498">
        <v>24.35</v>
      </c>
      <c r="E513" s="499">
        <v>0</v>
      </c>
      <c r="F513" s="499">
        <f t="shared" si="193"/>
        <v>1217.5</v>
      </c>
      <c r="G513" s="610"/>
      <c r="H513" s="513">
        <v>500</v>
      </c>
      <c r="I513" s="498">
        <v>16.100000000000001</v>
      </c>
      <c r="J513" s="499">
        <v>0.15</v>
      </c>
      <c r="K513" s="592">
        <f t="shared" si="194"/>
        <v>8049.8500000000013</v>
      </c>
      <c r="L513" s="497"/>
      <c r="M513" s="499"/>
    </row>
    <row r="514" spans="1:13" x14ac:dyDescent="0.25">
      <c r="A514" s="497"/>
      <c r="B514" s="545">
        <v>42207</v>
      </c>
      <c r="C514" s="497">
        <v>20</v>
      </c>
      <c r="D514" s="498">
        <v>24.02</v>
      </c>
      <c r="E514" s="499">
        <v>0</v>
      </c>
      <c r="F514" s="499">
        <f t="shared" si="193"/>
        <v>480.4</v>
      </c>
      <c r="G514" s="610"/>
      <c r="H514" s="513">
        <v>500</v>
      </c>
      <c r="I514" s="498">
        <v>16.170000000000002</v>
      </c>
      <c r="J514" s="499">
        <v>0.15</v>
      </c>
      <c r="K514" s="592">
        <f t="shared" si="194"/>
        <v>8084.8500000000013</v>
      </c>
      <c r="L514" s="497"/>
      <c r="M514" s="499"/>
    </row>
    <row r="515" spans="1:13" x14ac:dyDescent="0.25">
      <c r="A515" s="497"/>
      <c r="B515" s="545">
        <v>42207</v>
      </c>
      <c r="C515" s="497">
        <v>20</v>
      </c>
      <c r="D515" s="498">
        <v>23.91</v>
      </c>
      <c r="E515" s="499">
        <v>0</v>
      </c>
      <c r="F515" s="499">
        <f t="shared" si="193"/>
        <v>478.2</v>
      </c>
      <c r="G515" s="610"/>
      <c r="H515" s="513">
        <v>500</v>
      </c>
      <c r="I515" s="498">
        <v>16.28</v>
      </c>
      <c r="J515" s="499">
        <v>0.15</v>
      </c>
      <c r="K515" s="592">
        <f t="shared" si="194"/>
        <v>8139.8500000000013</v>
      </c>
      <c r="L515" s="499"/>
      <c r="M515" s="499"/>
    </row>
    <row r="516" spans="1:13" x14ac:dyDescent="0.25">
      <c r="A516" s="497"/>
      <c r="B516" s="545">
        <v>42207</v>
      </c>
      <c r="C516" s="497">
        <v>20</v>
      </c>
      <c r="D516" s="498">
        <v>23.7</v>
      </c>
      <c r="E516" s="499">
        <v>0</v>
      </c>
      <c r="F516" s="499">
        <f t="shared" si="193"/>
        <v>474</v>
      </c>
      <c r="G516" s="610"/>
      <c r="H516" s="513">
        <v>500</v>
      </c>
      <c r="I516" s="498">
        <v>16.39</v>
      </c>
      <c r="J516" s="499">
        <v>0.15</v>
      </c>
      <c r="K516" s="592">
        <f t="shared" si="194"/>
        <v>8194.85</v>
      </c>
      <c r="L516" s="497"/>
      <c r="M516" s="499"/>
    </row>
    <row r="517" spans="1:13" x14ac:dyDescent="0.25">
      <c r="A517" s="497"/>
      <c r="B517" s="545">
        <v>42207</v>
      </c>
      <c r="C517" s="497">
        <v>20</v>
      </c>
      <c r="D517" s="498">
        <v>23.6</v>
      </c>
      <c r="E517" s="499">
        <v>0</v>
      </c>
      <c r="F517" s="499">
        <f t="shared" si="193"/>
        <v>472</v>
      </c>
      <c r="G517" s="610"/>
      <c r="H517" s="513">
        <v>500</v>
      </c>
      <c r="I517" s="498">
        <v>16.55</v>
      </c>
      <c r="J517" s="499">
        <v>0.17</v>
      </c>
      <c r="K517" s="592">
        <f t="shared" si="194"/>
        <v>8274.83</v>
      </c>
      <c r="L517" s="497"/>
      <c r="M517" s="499"/>
    </row>
    <row r="518" spans="1:13" x14ac:dyDescent="0.25">
      <c r="A518" s="497"/>
      <c r="B518" s="545">
        <v>42209</v>
      </c>
      <c r="C518" s="497">
        <v>40</v>
      </c>
      <c r="D518" s="498">
        <v>22.3</v>
      </c>
      <c r="E518" s="499">
        <v>0</v>
      </c>
      <c r="F518" s="499">
        <f t="shared" si="193"/>
        <v>892</v>
      </c>
      <c r="G518" s="610"/>
      <c r="H518" s="513">
        <v>50</v>
      </c>
      <c r="I518" s="498">
        <v>16.55</v>
      </c>
      <c r="J518" s="499">
        <v>0</v>
      </c>
      <c r="K518" s="592">
        <f t="shared" si="194"/>
        <v>827.5</v>
      </c>
      <c r="L518" s="497"/>
      <c r="M518" s="499"/>
    </row>
    <row r="519" spans="1:13" x14ac:dyDescent="0.25">
      <c r="A519" s="499"/>
      <c r="B519" s="545">
        <v>42221</v>
      </c>
      <c r="C519" s="497">
        <v>12</v>
      </c>
      <c r="D519" s="498">
        <v>20.95</v>
      </c>
      <c r="E519" s="499">
        <v>0</v>
      </c>
      <c r="F519" s="499">
        <f t="shared" si="193"/>
        <v>251.39999999999998</v>
      </c>
      <c r="G519" s="610"/>
      <c r="H519" s="513">
        <v>28</v>
      </c>
      <c r="I519" s="498">
        <v>16.68</v>
      </c>
      <c r="J519" s="499">
        <v>0.01</v>
      </c>
      <c r="K519" s="592">
        <f t="shared" si="194"/>
        <v>467.03</v>
      </c>
      <c r="L519" s="513"/>
      <c r="M519" s="499"/>
    </row>
    <row r="520" spans="1:13" x14ac:dyDescent="0.25">
      <c r="A520" s="497"/>
      <c r="B520" s="545">
        <v>42223</v>
      </c>
      <c r="C520" s="497">
        <v>100</v>
      </c>
      <c r="D520" s="498">
        <v>20.399999999999999</v>
      </c>
      <c r="E520" s="499">
        <v>0</v>
      </c>
      <c r="F520" s="499">
        <f t="shared" si="193"/>
        <v>2039.9999999999998</v>
      </c>
      <c r="G520" s="496">
        <v>42285</v>
      </c>
      <c r="H520" s="513">
        <v>632</v>
      </c>
      <c r="I520" s="498">
        <v>17.850000000000001</v>
      </c>
      <c r="J520" s="499">
        <v>0.21</v>
      </c>
      <c r="K520" s="592">
        <f t="shared" si="194"/>
        <v>11280.990000000002</v>
      </c>
      <c r="L520" s="499"/>
      <c r="M520" s="499"/>
    </row>
    <row r="521" spans="1:13" x14ac:dyDescent="0.25">
      <c r="A521" s="499"/>
      <c r="B521" s="545">
        <v>42226</v>
      </c>
      <c r="C521" s="497">
        <v>200</v>
      </c>
      <c r="D521" s="498">
        <v>19.95</v>
      </c>
      <c r="E521" s="499">
        <v>0</v>
      </c>
      <c r="F521" s="499">
        <f t="shared" si="193"/>
        <v>3990</v>
      </c>
      <c r="G521" s="496">
        <v>42297</v>
      </c>
      <c r="H521" s="513">
        <v>500</v>
      </c>
      <c r="I521" s="498">
        <v>19.149999999999999</v>
      </c>
      <c r="J521" s="499">
        <v>0.18</v>
      </c>
      <c r="K521" s="592">
        <f t="shared" si="194"/>
        <v>9574.82</v>
      </c>
      <c r="L521" s="497"/>
      <c r="M521" s="499"/>
    </row>
    <row r="522" spans="1:13" x14ac:dyDescent="0.25">
      <c r="A522" s="497"/>
      <c r="B522" s="545">
        <v>42226</v>
      </c>
      <c r="C522" s="497">
        <v>50</v>
      </c>
      <c r="D522" s="498">
        <v>20.010000000000002</v>
      </c>
      <c r="E522" s="499">
        <v>0</v>
      </c>
      <c r="F522" s="499">
        <f t="shared" si="193"/>
        <v>1000.5000000000001</v>
      </c>
      <c r="G522" s="496">
        <v>42300</v>
      </c>
      <c r="H522" s="513">
        <v>1000</v>
      </c>
      <c r="I522" s="498">
        <v>18.62</v>
      </c>
      <c r="J522" s="499">
        <v>0.34</v>
      </c>
      <c r="K522" s="592">
        <f t="shared" si="194"/>
        <v>18619.66</v>
      </c>
      <c r="L522" s="497"/>
      <c r="M522" s="499"/>
    </row>
    <row r="523" spans="1:13" x14ac:dyDescent="0.25">
      <c r="A523" s="497"/>
      <c r="B523" s="545">
        <v>42226</v>
      </c>
      <c r="C523" s="497">
        <v>100</v>
      </c>
      <c r="D523" s="498">
        <v>20.2</v>
      </c>
      <c r="E523" s="499">
        <v>0</v>
      </c>
      <c r="F523" s="499">
        <f t="shared" si="193"/>
        <v>2020</v>
      </c>
      <c r="G523" s="496">
        <v>42312</v>
      </c>
      <c r="H523" s="513">
        <v>2500</v>
      </c>
      <c r="I523" s="498">
        <v>18.48</v>
      </c>
      <c r="J523" s="499">
        <v>7.8</v>
      </c>
      <c r="K523" s="499">
        <f t="shared" si="194"/>
        <v>46192.2</v>
      </c>
      <c r="L523" s="497"/>
      <c r="M523" s="499"/>
    </row>
    <row r="524" spans="1:13" x14ac:dyDescent="0.25">
      <c r="A524" s="497"/>
      <c r="B524" s="545">
        <v>42227</v>
      </c>
      <c r="C524" s="497">
        <v>200</v>
      </c>
      <c r="D524" s="498">
        <v>18.399999999999999</v>
      </c>
      <c r="E524" s="499">
        <v>0</v>
      </c>
      <c r="F524" s="499">
        <f t="shared" si="193"/>
        <v>3679.9999999999995</v>
      </c>
      <c r="G524" s="496">
        <v>42313</v>
      </c>
      <c r="H524" s="513">
        <v>3000</v>
      </c>
      <c r="I524" s="498">
        <v>19.059999999999999</v>
      </c>
      <c r="J524" s="499">
        <v>1.05</v>
      </c>
      <c r="K524" s="499">
        <f t="shared" si="194"/>
        <v>57178.94999999999</v>
      </c>
      <c r="L524" s="497"/>
      <c r="M524" s="499"/>
    </row>
    <row r="525" spans="1:13" x14ac:dyDescent="0.25">
      <c r="A525" s="497"/>
      <c r="B525" s="545">
        <v>42227</v>
      </c>
      <c r="C525" s="497">
        <v>200</v>
      </c>
      <c r="D525" s="498">
        <v>19.55</v>
      </c>
      <c r="E525" s="499">
        <v>0</v>
      </c>
      <c r="F525" s="499">
        <f t="shared" si="193"/>
        <v>3910</v>
      </c>
      <c r="G525" s="496">
        <v>42324</v>
      </c>
      <c r="H525" s="513">
        <v>2500</v>
      </c>
      <c r="I525" s="498">
        <v>18.8</v>
      </c>
      <c r="J525" s="499">
        <v>0.86</v>
      </c>
      <c r="K525" s="499">
        <f t="shared" si="194"/>
        <v>46999.14</v>
      </c>
      <c r="L525" s="499"/>
      <c r="M525" s="499"/>
    </row>
    <row r="526" spans="1:13" x14ac:dyDescent="0.25">
      <c r="A526" s="497"/>
      <c r="B526" s="545">
        <v>42234</v>
      </c>
      <c r="C526" s="497">
        <v>40</v>
      </c>
      <c r="D526" s="498">
        <v>18.149999999999999</v>
      </c>
      <c r="E526" s="499">
        <v>0</v>
      </c>
      <c r="F526" s="499">
        <f t="shared" si="193"/>
        <v>726</v>
      </c>
      <c r="G526" s="496">
        <v>42335</v>
      </c>
      <c r="H526" s="513">
        <v>3078</v>
      </c>
      <c r="I526" s="498">
        <v>17.649999999999999</v>
      </c>
      <c r="J526" s="499">
        <v>1</v>
      </c>
      <c r="K526" s="499">
        <f t="shared" si="194"/>
        <v>54325.7</v>
      </c>
      <c r="L526" s="497"/>
      <c r="M526" s="499"/>
    </row>
    <row r="527" spans="1:13" x14ac:dyDescent="0.25">
      <c r="A527" s="497"/>
      <c r="B527" s="545">
        <v>42234</v>
      </c>
      <c r="C527" s="497">
        <v>100</v>
      </c>
      <c r="D527" s="498">
        <v>18</v>
      </c>
      <c r="E527" s="499">
        <v>0</v>
      </c>
      <c r="F527" s="499">
        <f t="shared" si="193"/>
        <v>1800</v>
      </c>
      <c r="G527" s="496">
        <v>42347</v>
      </c>
      <c r="H527" s="513">
        <v>500</v>
      </c>
      <c r="I527" s="498">
        <v>16.149999999999999</v>
      </c>
      <c r="J527" s="499">
        <v>0.15</v>
      </c>
      <c r="K527" s="499">
        <f t="shared" si="194"/>
        <v>8074.8499999999995</v>
      </c>
      <c r="L527" s="497"/>
      <c r="M527" s="499"/>
    </row>
    <row r="528" spans="1:13" x14ac:dyDescent="0.25">
      <c r="A528" s="497"/>
      <c r="B528" s="545">
        <v>42235</v>
      </c>
      <c r="C528" s="497">
        <v>100</v>
      </c>
      <c r="D528" s="498">
        <v>17.78</v>
      </c>
      <c r="E528" s="499">
        <v>0</v>
      </c>
      <c r="F528" s="499">
        <f t="shared" si="193"/>
        <v>1778</v>
      </c>
      <c r="G528" s="496">
        <v>42353</v>
      </c>
      <c r="H528" s="513">
        <v>600</v>
      </c>
      <c r="I528" s="498">
        <v>14.95</v>
      </c>
      <c r="J528" s="499">
        <v>0.17</v>
      </c>
      <c r="K528" s="499">
        <f t="shared" si="194"/>
        <v>8969.83</v>
      </c>
      <c r="L528" s="497"/>
      <c r="M528" s="499"/>
    </row>
    <row r="529" spans="1:13" x14ac:dyDescent="0.25">
      <c r="A529" s="497"/>
      <c r="B529" s="545">
        <v>42235</v>
      </c>
      <c r="C529" s="497">
        <v>100</v>
      </c>
      <c r="D529" s="498">
        <v>17.68</v>
      </c>
      <c r="E529" s="499">
        <v>0</v>
      </c>
      <c r="F529" s="499">
        <f t="shared" si="193"/>
        <v>1768</v>
      </c>
      <c r="G529" s="496">
        <v>42354</v>
      </c>
      <c r="H529" s="513">
        <v>500</v>
      </c>
      <c r="I529" s="498">
        <v>14.32</v>
      </c>
      <c r="J529" s="499">
        <v>0.13</v>
      </c>
      <c r="K529" s="499">
        <f t="shared" si="194"/>
        <v>7159.87</v>
      </c>
      <c r="L529" s="497"/>
      <c r="M529" s="499"/>
    </row>
    <row r="530" spans="1:13" x14ac:dyDescent="0.25">
      <c r="A530" s="497"/>
      <c r="B530" s="545">
        <v>42240</v>
      </c>
      <c r="C530" s="497">
        <v>100</v>
      </c>
      <c r="D530" s="498">
        <v>16.649999999999999</v>
      </c>
      <c r="E530" s="499">
        <v>0</v>
      </c>
      <c r="F530" s="499">
        <f t="shared" si="193"/>
        <v>1664.9999999999998</v>
      </c>
      <c r="G530" s="496">
        <v>42361</v>
      </c>
      <c r="H530" s="513">
        <v>500</v>
      </c>
      <c r="I530" s="498">
        <v>12.83</v>
      </c>
      <c r="J530" s="499">
        <v>0.12</v>
      </c>
      <c r="K530" s="499">
        <f t="shared" si="194"/>
        <v>6414.88</v>
      </c>
      <c r="L530" s="497"/>
      <c r="M530" s="499"/>
    </row>
    <row r="531" spans="1:13" x14ac:dyDescent="0.25">
      <c r="A531" s="497"/>
      <c r="B531" s="545">
        <v>42240</v>
      </c>
      <c r="C531" s="497">
        <v>100</v>
      </c>
      <c r="D531" s="498">
        <v>16.100000000000001</v>
      </c>
      <c r="E531" s="499">
        <v>0</v>
      </c>
      <c r="F531" s="499">
        <f t="shared" si="193"/>
        <v>1610.0000000000002</v>
      </c>
      <c r="G531" s="496">
        <v>42362</v>
      </c>
      <c r="H531" s="513">
        <v>1222</v>
      </c>
      <c r="I531" s="498">
        <v>12.75</v>
      </c>
      <c r="J531" s="499">
        <v>0.28999999999999998</v>
      </c>
      <c r="K531" s="499">
        <f t="shared" si="194"/>
        <v>15580.21</v>
      </c>
      <c r="L531" s="497"/>
      <c r="M531" s="499"/>
    </row>
    <row r="532" spans="1:13" x14ac:dyDescent="0.25">
      <c r="A532" s="497"/>
      <c r="B532" s="545">
        <v>42257</v>
      </c>
      <c r="C532" s="497">
        <v>1500</v>
      </c>
      <c r="D532" s="498">
        <v>16.350000000000001</v>
      </c>
      <c r="E532" s="499">
        <v>0</v>
      </c>
      <c r="F532" s="499">
        <f t="shared" si="193"/>
        <v>24525.000000000004</v>
      </c>
      <c r="G532" s="496">
        <v>42367</v>
      </c>
      <c r="H532" s="513">
        <v>1000</v>
      </c>
      <c r="I532" s="498">
        <v>13.15</v>
      </c>
      <c r="J532" s="499">
        <v>0.24</v>
      </c>
      <c r="K532" s="499">
        <f t="shared" si="194"/>
        <v>13149.76</v>
      </c>
      <c r="L532" s="497"/>
      <c r="M532" s="499"/>
    </row>
    <row r="533" spans="1:13" x14ac:dyDescent="0.25">
      <c r="A533" s="497"/>
      <c r="B533" s="545">
        <v>42258</v>
      </c>
      <c r="C533" s="497">
        <v>100</v>
      </c>
      <c r="D533" s="498">
        <v>16.100000000000001</v>
      </c>
      <c r="E533" s="499">
        <v>0</v>
      </c>
      <c r="F533" s="499">
        <f t="shared" si="193"/>
        <v>1610.0000000000002</v>
      </c>
      <c r="G533" s="496">
        <v>42367</v>
      </c>
      <c r="H533" s="513">
        <v>2178</v>
      </c>
      <c r="I533" s="498">
        <v>13.75</v>
      </c>
      <c r="J533" s="499">
        <v>0.55000000000000004</v>
      </c>
      <c r="K533" s="499">
        <f>H533*I533-J533</f>
        <v>29946.95</v>
      </c>
      <c r="L533" s="497"/>
      <c r="M533" s="499"/>
    </row>
    <row r="534" spans="1:13" x14ac:dyDescent="0.25">
      <c r="A534" s="497"/>
      <c r="B534" s="545">
        <v>42261</v>
      </c>
      <c r="C534" s="497">
        <v>1000</v>
      </c>
      <c r="D534" s="498">
        <v>15.416</v>
      </c>
      <c r="E534" s="499">
        <v>0</v>
      </c>
      <c r="F534" s="499">
        <f t="shared" si="193"/>
        <v>15416</v>
      </c>
      <c r="G534" s="496">
        <v>42010</v>
      </c>
      <c r="H534" s="513">
        <v>1000</v>
      </c>
      <c r="I534" s="498">
        <v>12.63</v>
      </c>
      <c r="J534" s="499">
        <v>0.23</v>
      </c>
      <c r="K534" s="499">
        <f>H534*I534-J534</f>
        <v>12629.77</v>
      </c>
      <c r="L534" s="497"/>
      <c r="M534" s="499"/>
    </row>
    <row r="535" spans="1:13" x14ac:dyDescent="0.25">
      <c r="A535" s="497"/>
      <c r="B535" s="545">
        <v>42261</v>
      </c>
      <c r="C535" s="497">
        <v>1000</v>
      </c>
      <c r="D535" s="498">
        <v>15.1</v>
      </c>
      <c r="E535" s="499">
        <v>0</v>
      </c>
      <c r="F535" s="499">
        <f t="shared" si="193"/>
        <v>15100</v>
      </c>
      <c r="G535" s="593">
        <v>42374</v>
      </c>
      <c r="H535" s="513">
        <v>2000</v>
      </c>
      <c r="I535" s="498">
        <v>12.81</v>
      </c>
      <c r="J535" s="499">
        <v>0.47</v>
      </c>
      <c r="K535" s="499">
        <f t="shared" ref="K535:K547" si="195">H535*I535-J535</f>
        <v>25619.53</v>
      </c>
      <c r="L535" s="497"/>
      <c r="M535" s="499"/>
    </row>
    <row r="536" spans="1:13" x14ac:dyDescent="0.25">
      <c r="A536" s="497"/>
      <c r="B536" s="545">
        <v>42261</v>
      </c>
      <c r="C536" s="497">
        <v>200</v>
      </c>
      <c r="D536" s="498">
        <v>14.87</v>
      </c>
      <c r="E536" s="499">
        <v>0</v>
      </c>
      <c r="F536" s="499">
        <f t="shared" si="193"/>
        <v>2974</v>
      </c>
      <c r="G536" s="496">
        <v>42374</v>
      </c>
      <c r="H536" s="513">
        <v>1000</v>
      </c>
      <c r="I536" s="498">
        <v>12.82</v>
      </c>
      <c r="J536" s="499">
        <v>0.24</v>
      </c>
      <c r="K536" s="499">
        <f t="shared" si="195"/>
        <v>12819.76</v>
      </c>
      <c r="L536" s="497"/>
      <c r="M536" s="499"/>
    </row>
    <row r="537" spans="1:13" x14ac:dyDescent="0.25">
      <c r="A537" s="497"/>
      <c r="B537" s="545">
        <v>42261</v>
      </c>
      <c r="C537" s="497">
        <v>300</v>
      </c>
      <c r="D537" s="498">
        <v>14.87</v>
      </c>
      <c r="E537" s="499">
        <v>0</v>
      </c>
      <c r="F537" s="499">
        <f t="shared" si="193"/>
        <v>4461</v>
      </c>
      <c r="G537" s="496">
        <v>42398</v>
      </c>
      <c r="H537" s="513">
        <v>400</v>
      </c>
      <c r="I537" s="498">
        <v>9.5500000000000007</v>
      </c>
      <c r="J537" s="499">
        <v>7.0000000000000007E-2</v>
      </c>
      <c r="K537" s="499">
        <f t="shared" si="195"/>
        <v>3819.9300000000003</v>
      </c>
      <c r="L537" s="497"/>
      <c r="M537" s="499"/>
    </row>
    <row r="538" spans="1:13" x14ac:dyDescent="0.25">
      <c r="A538" s="497"/>
      <c r="B538" s="545">
        <v>42270</v>
      </c>
      <c r="C538" s="497">
        <v>478</v>
      </c>
      <c r="D538" s="498">
        <v>15.85</v>
      </c>
      <c r="E538" s="499">
        <v>0</v>
      </c>
      <c r="F538" s="499">
        <f t="shared" si="193"/>
        <v>7576.3</v>
      </c>
      <c r="G538" s="496">
        <v>42411</v>
      </c>
      <c r="H538" s="513">
        <v>500</v>
      </c>
      <c r="I538" s="498">
        <v>6.97</v>
      </c>
      <c r="J538" s="499">
        <v>0.08</v>
      </c>
      <c r="K538" s="499">
        <f t="shared" si="195"/>
        <v>3484.92</v>
      </c>
      <c r="L538" s="497"/>
      <c r="M538" s="499"/>
    </row>
    <row r="539" spans="1:13" x14ac:dyDescent="0.25">
      <c r="A539" s="497"/>
      <c r="B539" s="545">
        <v>42292</v>
      </c>
      <c r="C539" s="497">
        <v>500</v>
      </c>
      <c r="D539" s="498">
        <v>18.55</v>
      </c>
      <c r="E539" s="499">
        <v>0</v>
      </c>
      <c r="F539" s="499">
        <f t="shared" si="193"/>
        <v>9275</v>
      </c>
      <c r="G539" s="496">
        <v>42412</v>
      </c>
      <c r="H539" s="513">
        <v>200</v>
      </c>
      <c r="I539" s="498">
        <v>7.45</v>
      </c>
      <c r="J539" s="499">
        <v>0.03</v>
      </c>
      <c r="K539" s="499">
        <f t="shared" si="195"/>
        <v>1489.97</v>
      </c>
      <c r="L539" s="497"/>
      <c r="M539" s="499"/>
    </row>
    <row r="540" spans="1:13" x14ac:dyDescent="0.25">
      <c r="A540" s="497"/>
      <c r="B540" s="545">
        <v>42299</v>
      </c>
      <c r="C540" s="497">
        <v>500</v>
      </c>
      <c r="D540" s="498">
        <v>18.55</v>
      </c>
      <c r="E540" s="499">
        <v>0</v>
      </c>
      <c r="F540" s="499">
        <f t="shared" si="193"/>
        <v>9275</v>
      </c>
      <c r="G540" s="496">
        <v>42416</v>
      </c>
      <c r="H540" s="513">
        <v>500</v>
      </c>
      <c r="I540" s="498">
        <v>7.75</v>
      </c>
      <c r="J540" s="499">
        <v>0.08</v>
      </c>
      <c r="K540" s="499">
        <f t="shared" si="195"/>
        <v>3874.92</v>
      </c>
      <c r="L540" s="497"/>
      <c r="M540" s="499"/>
    </row>
    <row r="541" spans="1:13" x14ac:dyDescent="0.25">
      <c r="A541" s="497"/>
      <c r="B541" s="545">
        <v>42299</v>
      </c>
      <c r="C541" s="497">
        <v>500</v>
      </c>
      <c r="D541" s="498">
        <v>18.28</v>
      </c>
      <c r="E541" s="499">
        <v>0</v>
      </c>
      <c r="F541" s="499">
        <f t="shared" si="193"/>
        <v>9140</v>
      </c>
      <c r="G541" s="496">
        <v>42422</v>
      </c>
      <c r="H541" s="513">
        <v>2500</v>
      </c>
      <c r="I541" s="498">
        <v>7.47</v>
      </c>
      <c r="J541" s="499">
        <v>0.41</v>
      </c>
      <c r="K541" s="499">
        <f t="shared" si="195"/>
        <v>18674.59</v>
      </c>
      <c r="L541" s="497"/>
      <c r="M541" s="499"/>
    </row>
    <row r="542" spans="1:13" x14ac:dyDescent="0.25">
      <c r="A542" s="497"/>
      <c r="B542" s="545">
        <v>42299</v>
      </c>
      <c r="C542" s="497">
        <v>1000</v>
      </c>
      <c r="D542" s="498">
        <v>18.100000000000001</v>
      </c>
      <c r="E542" s="499">
        <v>0</v>
      </c>
      <c r="F542" s="499">
        <f t="shared" si="193"/>
        <v>18100</v>
      </c>
      <c r="G542" s="496">
        <v>42422</v>
      </c>
      <c r="H542" s="513">
        <v>1000</v>
      </c>
      <c r="I542" s="498">
        <v>7.49</v>
      </c>
      <c r="J542" s="499">
        <v>0.16</v>
      </c>
      <c r="K542" s="499">
        <f t="shared" si="195"/>
        <v>7489.84</v>
      </c>
      <c r="L542" s="497"/>
      <c r="M542" s="499"/>
    </row>
    <row r="543" spans="1:13" x14ac:dyDescent="0.25">
      <c r="A543" s="497"/>
      <c r="B543" s="608">
        <v>42306</v>
      </c>
      <c r="C543" s="497">
        <v>660</v>
      </c>
      <c r="D543" s="498">
        <v>17.8</v>
      </c>
      <c r="E543" s="499">
        <v>0</v>
      </c>
      <c r="F543" s="499">
        <f t="shared" si="193"/>
        <v>11748</v>
      </c>
      <c r="G543" s="496">
        <v>42426</v>
      </c>
      <c r="H543" s="513">
        <v>900</v>
      </c>
      <c r="I543" s="498">
        <v>7.7</v>
      </c>
      <c r="J543" s="499">
        <v>0.15</v>
      </c>
      <c r="K543" s="499">
        <f t="shared" si="195"/>
        <v>6929.85</v>
      </c>
      <c r="L543" s="497"/>
      <c r="M543" s="499"/>
    </row>
    <row r="544" spans="1:13" ht="30" x14ac:dyDescent="0.25">
      <c r="A544" s="497"/>
      <c r="B544" s="608"/>
      <c r="C544" s="497">
        <v>340</v>
      </c>
      <c r="D544" s="498">
        <v>17.8</v>
      </c>
      <c r="E544" s="499">
        <v>0</v>
      </c>
      <c r="F544" s="499">
        <f t="shared" si="193"/>
        <v>6052</v>
      </c>
      <c r="G544" s="611" t="s">
        <v>181</v>
      </c>
      <c r="H544" s="513">
        <v>500</v>
      </c>
      <c r="I544" s="498">
        <v>7.73</v>
      </c>
      <c r="J544" s="499">
        <v>0.08</v>
      </c>
      <c r="K544" s="499">
        <f t="shared" si="195"/>
        <v>3864.92</v>
      </c>
      <c r="L544" s="497"/>
      <c r="M544" s="499"/>
    </row>
    <row r="545" spans="1:13" x14ac:dyDescent="0.25">
      <c r="A545" s="497"/>
      <c r="B545" s="545">
        <v>42312</v>
      </c>
      <c r="C545" s="594">
        <v>500</v>
      </c>
      <c r="D545" s="591">
        <v>17.559999999999999</v>
      </c>
      <c r="E545" s="592">
        <v>6.95</v>
      </c>
      <c r="F545" s="592">
        <f t="shared" si="193"/>
        <v>8786.9500000000007</v>
      </c>
      <c r="G545" s="611"/>
      <c r="H545" s="513">
        <v>500</v>
      </c>
      <c r="I545" s="498">
        <v>7.96</v>
      </c>
      <c r="J545" s="499">
        <v>0.09</v>
      </c>
      <c r="K545" s="499">
        <f t="shared" si="195"/>
        <v>3979.91</v>
      </c>
      <c r="L545" s="497"/>
      <c r="M545" s="499"/>
    </row>
    <row r="546" spans="1:13" x14ac:dyDescent="0.25">
      <c r="A546" s="497"/>
      <c r="B546" s="545">
        <v>42313</v>
      </c>
      <c r="C546" s="497">
        <v>3000</v>
      </c>
      <c r="D546" s="498">
        <v>19.05</v>
      </c>
      <c r="E546" s="499">
        <v>0</v>
      </c>
      <c r="F546" s="499">
        <f t="shared" si="193"/>
        <v>57150</v>
      </c>
      <c r="G546" s="611"/>
      <c r="H546" s="513">
        <v>500</v>
      </c>
      <c r="I546" s="498">
        <v>8.0299999999999994</v>
      </c>
      <c r="J546" s="499">
        <v>0.09</v>
      </c>
      <c r="K546" s="499">
        <f t="shared" si="195"/>
        <v>4014.9099999999994</v>
      </c>
      <c r="L546" s="497"/>
      <c r="M546" s="498"/>
    </row>
    <row r="547" spans="1:13" x14ac:dyDescent="0.25">
      <c r="A547" s="497"/>
      <c r="B547" s="545">
        <v>42320</v>
      </c>
      <c r="C547" s="497">
        <v>500</v>
      </c>
      <c r="D547" s="498">
        <v>18.079999999999998</v>
      </c>
      <c r="E547" s="499">
        <v>0</v>
      </c>
      <c r="F547" s="499">
        <f t="shared" si="193"/>
        <v>9040</v>
      </c>
      <c r="G547" s="611"/>
      <c r="H547" s="513">
        <v>1500</v>
      </c>
      <c r="I547" s="498">
        <v>8.1</v>
      </c>
      <c r="J547" s="499">
        <v>0.26</v>
      </c>
      <c r="K547" s="499">
        <f t="shared" si="195"/>
        <v>12149.74</v>
      </c>
      <c r="L547" s="497"/>
      <c r="M547" s="499"/>
    </row>
    <row r="548" spans="1:13" x14ac:dyDescent="0.25">
      <c r="A548" s="497"/>
      <c r="B548" s="545">
        <v>42320</v>
      </c>
      <c r="C548" s="497">
        <v>1000</v>
      </c>
      <c r="D548" s="498">
        <v>18.05</v>
      </c>
      <c r="E548" s="499">
        <v>0</v>
      </c>
      <c r="F548" s="499">
        <f t="shared" si="193"/>
        <v>18050</v>
      </c>
      <c r="G548" s="496">
        <v>42429</v>
      </c>
      <c r="H548" s="513">
        <v>1000</v>
      </c>
      <c r="I548" s="498">
        <v>8.5399999999999991</v>
      </c>
      <c r="J548" s="499">
        <v>0.19</v>
      </c>
      <c r="K548" s="499">
        <f>H548*I548-J548</f>
        <v>8539.81</v>
      </c>
      <c r="L548" s="497"/>
      <c r="M548" s="595"/>
    </row>
    <row r="549" spans="1:13" x14ac:dyDescent="0.25">
      <c r="A549" s="497"/>
      <c r="B549" s="545">
        <v>42320</v>
      </c>
      <c r="C549" s="497">
        <v>1000</v>
      </c>
      <c r="D549" s="498">
        <v>17.82</v>
      </c>
      <c r="E549" s="499">
        <v>0</v>
      </c>
      <c r="F549" s="499">
        <f t="shared" si="193"/>
        <v>17820</v>
      </c>
      <c r="G549" s="496">
        <v>42429</v>
      </c>
      <c r="H549" s="513">
        <v>500</v>
      </c>
      <c r="I549" s="498">
        <v>7.95</v>
      </c>
      <c r="J549" s="499">
        <v>0.09</v>
      </c>
      <c r="K549" s="499">
        <f>H549*I549-J549</f>
        <v>3974.91</v>
      </c>
      <c r="L549" s="497"/>
      <c r="M549" s="499"/>
    </row>
    <row r="550" spans="1:13" x14ac:dyDescent="0.25">
      <c r="A550" s="497"/>
      <c r="B550" s="545">
        <v>42328</v>
      </c>
      <c r="C550" s="497">
        <v>3078</v>
      </c>
      <c r="D550" s="498">
        <v>17.47</v>
      </c>
      <c r="E550" s="499">
        <v>0</v>
      </c>
      <c r="F550" s="499">
        <f t="shared" si="193"/>
        <v>53772.659999999996</v>
      </c>
      <c r="G550" s="496">
        <v>42429</v>
      </c>
      <c r="H550" s="513">
        <v>500</v>
      </c>
      <c r="I550" s="498">
        <v>7.97</v>
      </c>
      <c r="J550" s="499">
        <v>0.09</v>
      </c>
      <c r="K550" s="499">
        <f t="shared" ref="K550:K609" si="196">H550*I550-J550</f>
        <v>3984.91</v>
      </c>
      <c r="L550" s="497"/>
      <c r="M550" s="499"/>
    </row>
    <row r="551" spans="1:13" x14ac:dyDescent="0.25">
      <c r="A551" s="497"/>
      <c r="B551" s="545">
        <v>42340</v>
      </c>
      <c r="C551" s="497">
        <v>3078</v>
      </c>
      <c r="D551" s="498">
        <v>17.739999999999998</v>
      </c>
      <c r="E551" s="499">
        <v>0</v>
      </c>
      <c r="F551" s="499">
        <f t="shared" si="193"/>
        <v>54603.719999999994</v>
      </c>
      <c r="G551" s="496">
        <v>42430</v>
      </c>
      <c r="H551" s="513">
        <v>500</v>
      </c>
      <c r="I551" s="498">
        <v>7.85</v>
      </c>
      <c r="J551" s="499">
        <v>0.09</v>
      </c>
      <c r="K551" s="499">
        <f t="shared" si="196"/>
        <v>3924.91</v>
      </c>
      <c r="L551" s="497"/>
      <c r="M551" s="499"/>
    </row>
    <row r="552" spans="1:13" x14ac:dyDescent="0.25">
      <c r="A552" s="497"/>
      <c r="B552" s="545">
        <v>42340</v>
      </c>
      <c r="C552" s="497">
        <v>500</v>
      </c>
      <c r="D552" s="498">
        <v>17.5</v>
      </c>
      <c r="E552" s="499">
        <v>0</v>
      </c>
      <c r="F552" s="499">
        <f t="shared" si="193"/>
        <v>8750</v>
      </c>
      <c r="G552" s="496">
        <v>42430</v>
      </c>
      <c r="H552" s="513">
        <v>500</v>
      </c>
      <c r="I552" s="498">
        <v>8.0299999999999994</v>
      </c>
      <c r="J552" s="499">
        <v>0.09</v>
      </c>
      <c r="K552" s="499">
        <f t="shared" si="196"/>
        <v>4014.9099999999994</v>
      </c>
      <c r="L552" s="499"/>
      <c r="M552" s="499"/>
    </row>
    <row r="553" spans="1:13" x14ac:dyDescent="0.25">
      <c r="A553" s="497"/>
      <c r="B553" s="545">
        <v>42345</v>
      </c>
      <c r="C553" s="497">
        <v>100</v>
      </c>
      <c r="D553" s="498">
        <v>16.7</v>
      </c>
      <c r="E553" s="499">
        <v>0</v>
      </c>
      <c r="F553" s="499">
        <f t="shared" si="193"/>
        <v>1670</v>
      </c>
      <c r="G553" s="496">
        <v>42431</v>
      </c>
      <c r="H553" s="513">
        <v>500</v>
      </c>
      <c r="I553" s="498">
        <v>8.3800000000000008</v>
      </c>
      <c r="J553" s="499">
        <v>0.09</v>
      </c>
      <c r="K553" s="499">
        <f t="shared" si="196"/>
        <v>4189.91</v>
      </c>
      <c r="L553" s="499"/>
      <c r="M553" s="499"/>
    </row>
    <row r="554" spans="1:13" x14ac:dyDescent="0.25">
      <c r="A554" s="497"/>
      <c r="B554" s="545">
        <v>42345</v>
      </c>
      <c r="C554" s="497">
        <v>500</v>
      </c>
      <c r="D554" s="498">
        <v>16.850000000000001</v>
      </c>
      <c r="E554" s="499">
        <v>0</v>
      </c>
      <c r="F554" s="499">
        <f t="shared" si="193"/>
        <v>8425</v>
      </c>
      <c r="G554" s="496">
        <v>42431</v>
      </c>
      <c r="H554" s="513">
        <v>500</v>
      </c>
      <c r="I554" s="498">
        <v>8.58</v>
      </c>
      <c r="J554" s="499">
        <v>0.09</v>
      </c>
      <c r="K554" s="499">
        <f t="shared" si="196"/>
        <v>4289.91</v>
      </c>
      <c r="L554" s="497"/>
      <c r="M554" s="499"/>
    </row>
    <row r="555" spans="1:13" ht="30" x14ac:dyDescent="0.25">
      <c r="A555" s="497"/>
      <c r="B555" s="545">
        <v>42347</v>
      </c>
      <c r="C555" s="497">
        <v>500</v>
      </c>
      <c r="D555" s="498">
        <v>15.84</v>
      </c>
      <c r="E555" s="499">
        <v>0</v>
      </c>
      <c r="F555" s="499">
        <f t="shared" si="193"/>
        <v>7920</v>
      </c>
      <c r="G555" s="610" t="s">
        <v>183</v>
      </c>
      <c r="H555" s="513">
        <v>400</v>
      </c>
      <c r="I555" s="498">
        <v>9.09</v>
      </c>
      <c r="J555" s="499">
        <v>0.1</v>
      </c>
      <c r="K555" s="499">
        <f t="shared" si="196"/>
        <v>3635.9</v>
      </c>
      <c r="L555" s="497"/>
      <c r="M555" s="499"/>
    </row>
    <row r="556" spans="1:13" x14ac:dyDescent="0.25">
      <c r="A556" s="497"/>
      <c r="B556" s="545">
        <v>42348</v>
      </c>
      <c r="C556" s="497">
        <v>500</v>
      </c>
      <c r="D556" s="498">
        <v>14.78</v>
      </c>
      <c r="E556" s="499">
        <v>0</v>
      </c>
      <c r="F556" s="499">
        <f t="shared" si="193"/>
        <v>7390</v>
      </c>
      <c r="G556" s="610"/>
      <c r="H556" s="513">
        <v>100</v>
      </c>
      <c r="I556" s="498">
        <v>9.09</v>
      </c>
      <c r="J556" s="499">
        <v>0</v>
      </c>
      <c r="K556" s="499">
        <f t="shared" si="196"/>
        <v>909</v>
      </c>
      <c r="L556" s="497"/>
      <c r="M556" s="499"/>
    </row>
    <row r="557" spans="1:13" x14ac:dyDescent="0.25">
      <c r="A557" s="497"/>
      <c r="B557" s="545">
        <v>42352</v>
      </c>
      <c r="C557" s="497">
        <v>100</v>
      </c>
      <c r="D557" s="498">
        <v>14.57</v>
      </c>
      <c r="E557" s="499">
        <v>0</v>
      </c>
      <c r="F557" s="499">
        <f t="shared" si="193"/>
        <v>1457</v>
      </c>
      <c r="G557" s="610"/>
      <c r="H557" s="513">
        <v>500</v>
      </c>
      <c r="I557" s="498">
        <v>8.81</v>
      </c>
      <c r="J557" s="499">
        <v>0.1</v>
      </c>
      <c r="K557" s="499">
        <f t="shared" si="196"/>
        <v>4404.8999999999996</v>
      </c>
      <c r="L557" s="497"/>
      <c r="M557" s="499"/>
    </row>
    <row r="558" spans="1:13" x14ac:dyDescent="0.25">
      <c r="A558" s="497"/>
      <c r="B558" s="545">
        <v>42355</v>
      </c>
      <c r="C558" s="497">
        <v>500</v>
      </c>
      <c r="D558" s="498">
        <v>13.89</v>
      </c>
      <c r="E558" s="499">
        <v>0</v>
      </c>
      <c r="F558" s="499">
        <f t="shared" si="193"/>
        <v>6945</v>
      </c>
      <c r="G558" s="496">
        <v>42432</v>
      </c>
      <c r="H558" s="513">
        <v>600</v>
      </c>
      <c r="I558" s="498">
        <v>9.65</v>
      </c>
      <c r="J558" s="499">
        <v>0.13</v>
      </c>
      <c r="K558" s="499">
        <f t="shared" si="196"/>
        <v>5789.87</v>
      </c>
      <c r="L558" s="497"/>
      <c r="M558" s="499"/>
    </row>
    <row r="559" spans="1:13" x14ac:dyDescent="0.25">
      <c r="A559" s="497"/>
      <c r="B559" s="545">
        <v>42360</v>
      </c>
      <c r="C559" s="497">
        <v>500</v>
      </c>
      <c r="D559" s="498">
        <v>12.95</v>
      </c>
      <c r="E559" s="499">
        <v>0</v>
      </c>
      <c r="F559" s="499">
        <f t="shared" si="193"/>
        <v>6475</v>
      </c>
      <c r="G559" s="496">
        <v>42433</v>
      </c>
      <c r="H559" s="513">
        <v>600</v>
      </c>
      <c r="I559" s="498">
        <v>10.45</v>
      </c>
      <c r="J559" s="499">
        <v>0.14000000000000001</v>
      </c>
      <c r="K559" s="499">
        <f t="shared" si="196"/>
        <v>6269.86</v>
      </c>
      <c r="L559" s="497"/>
      <c r="M559" s="499"/>
    </row>
    <row r="560" spans="1:13" x14ac:dyDescent="0.25">
      <c r="A560" s="497"/>
      <c r="B560" s="545">
        <v>42361</v>
      </c>
      <c r="C560" s="497">
        <v>500</v>
      </c>
      <c r="D560" s="498">
        <v>12.75</v>
      </c>
      <c r="E560" s="499">
        <v>0</v>
      </c>
      <c r="F560" s="499">
        <f t="shared" si="193"/>
        <v>6375</v>
      </c>
      <c r="G560" s="496">
        <v>42440</v>
      </c>
      <c r="H560" s="513">
        <v>400</v>
      </c>
      <c r="I560" s="498">
        <v>11.25</v>
      </c>
      <c r="J560" s="499">
        <v>0.1</v>
      </c>
      <c r="K560" s="499">
        <f t="shared" si="196"/>
        <v>4499.8999999999996</v>
      </c>
      <c r="L560" s="497"/>
      <c r="M560" s="499"/>
    </row>
    <row r="561" spans="1:13" x14ac:dyDescent="0.25">
      <c r="A561" s="497"/>
      <c r="B561" s="545">
        <v>42361</v>
      </c>
      <c r="C561" s="497">
        <v>500</v>
      </c>
      <c r="D561" s="498">
        <v>12.8</v>
      </c>
      <c r="E561" s="499">
        <v>0</v>
      </c>
      <c r="F561" s="499">
        <f t="shared" si="193"/>
        <v>6400</v>
      </c>
      <c r="G561" s="496">
        <v>42446</v>
      </c>
      <c r="H561" s="513">
        <v>1500</v>
      </c>
      <c r="I561" s="498">
        <v>11.49</v>
      </c>
      <c r="J561" s="499">
        <v>0.38</v>
      </c>
      <c r="K561" s="499">
        <f t="shared" si="196"/>
        <v>17234.62</v>
      </c>
      <c r="L561" s="497"/>
      <c r="M561" s="499"/>
    </row>
    <row r="562" spans="1:13" x14ac:dyDescent="0.25">
      <c r="A562" s="497"/>
      <c r="B562" s="545">
        <v>42361</v>
      </c>
      <c r="C562" s="497">
        <v>1000</v>
      </c>
      <c r="D562" s="498">
        <v>12.67</v>
      </c>
      <c r="E562" s="499">
        <v>0</v>
      </c>
      <c r="F562" s="499">
        <f t="shared" si="193"/>
        <v>12670</v>
      </c>
      <c r="G562" s="496">
        <v>42447</v>
      </c>
      <c r="H562" s="513">
        <v>1500</v>
      </c>
      <c r="I562" s="498">
        <v>11.44</v>
      </c>
      <c r="J562" s="499">
        <v>0.37</v>
      </c>
      <c r="K562" s="499">
        <f t="shared" si="196"/>
        <v>17159.63</v>
      </c>
      <c r="L562" s="497"/>
      <c r="M562" s="499"/>
    </row>
    <row r="563" spans="1:13" x14ac:dyDescent="0.25">
      <c r="A563" s="497"/>
      <c r="B563" s="545">
        <v>42361</v>
      </c>
      <c r="C563" s="497">
        <v>222</v>
      </c>
      <c r="D563" s="498">
        <v>12.44</v>
      </c>
      <c r="E563" s="499">
        <v>0</v>
      </c>
      <c r="F563" s="499">
        <f t="shared" si="193"/>
        <v>2761.68</v>
      </c>
      <c r="G563" s="496">
        <v>42447</v>
      </c>
      <c r="H563" s="513">
        <v>500</v>
      </c>
      <c r="I563" s="498">
        <v>11.484999999999999</v>
      </c>
      <c r="J563" s="499">
        <v>0.13</v>
      </c>
      <c r="K563" s="499">
        <f t="shared" si="196"/>
        <v>5742.37</v>
      </c>
      <c r="L563" s="497"/>
      <c r="M563" s="499"/>
    </row>
    <row r="564" spans="1:13" x14ac:dyDescent="0.25">
      <c r="A564" s="497"/>
      <c r="B564" s="545">
        <v>42367</v>
      </c>
      <c r="C564" s="497">
        <v>2178</v>
      </c>
      <c r="D564" s="498">
        <v>13.68</v>
      </c>
      <c r="E564" s="499">
        <v>0</v>
      </c>
      <c r="F564" s="499">
        <f t="shared" si="193"/>
        <v>29795.040000000001</v>
      </c>
      <c r="G564" s="609">
        <v>42447</v>
      </c>
      <c r="H564" s="513">
        <v>650</v>
      </c>
      <c r="I564" s="498">
        <v>11.56</v>
      </c>
      <c r="J564" s="499">
        <v>0.25</v>
      </c>
      <c r="K564" s="499">
        <f t="shared" si="196"/>
        <v>7513.75</v>
      </c>
      <c r="L564" s="497"/>
      <c r="M564" s="499"/>
    </row>
    <row r="565" spans="1:13" x14ac:dyDescent="0.25">
      <c r="A565" s="497"/>
      <c r="B565" s="545">
        <v>42369</v>
      </c>
      <c r="C565" s="497">
        <v>2500</v>
      </c>
      <c r="D565" s="498">
        <v>13.04</v>
      </c>
      <c r="E565" s="499">
        <v>0</v>
      </c>
      <c r="F565" s="499">
        <f t="shared" si="193"/>
        <v>32599.999999999996</v>
      </c>
      <c r="G565" s="609"/>
      <c r="H565" s="513">
        <v>350</v>
      </c>
      <c r="I565" s="498">
        <v>11.56</v>
      </c>
      <c r="J565" s="499">
        <v>0</v>
      </c>
      <c r="K565" s="499">
        <f t="shared" si="196"/>
        <v>4046</v>
      </c>
      <c r="L565" s="497"/>
      <c r="M565" s="499"/>
    </row>
    <row r="566" spans="1:13" x14ac:dyDescent="0.25">
      <c r="A566" s="497"/>
      <c r="B566" s="545">
        <v>42008</v>
      </c>
      <c r="C566" s="497">
        <v>2000</v>
      </c>
      <c r="D566" s="498">
        <v>13.01</v>
      </c>
      <c r="E566" s="499">
        <v>0</v>
      </c>
      <c r="F566" s="499">
        <f t="shared" si="193"/>
        <v>26020</v>
      </c>
      <c r="G566" s="496">
        <v>42447</v>
      </c>
      <c r="H566" s="513">
        <v>1000</v>
      </c>
      <c r="I566" s="498">
        <v>11.62</v>
      </c>
      <c r="J566" s="499">
        <v>0.25</v>
      </c>
      <c r="K566" s="499">
        <f t="shared" si="196"/>
        <v>11619.75</v>
      </c>
      <c r="L566" s="497"/>
      <c r="M566" s="499"/>
    </row>
    <row r="567" spans="1:13" x14ac:dyDescent="0.25">
      <c r="A567" s="497"/>
      <c r="B567" s="545">
        <v>42009</v>
      </c>
      <c r="C567" s="497">
        <v>500</v>
      </c>
      <c r="D567" s="498">
        <v>12.62</v>
      </c>
      <c r="E567" s="499">
        <v>0</v>
      </c>
      <c r="F567" s="499">
        <f t="shared" si="193"/>
        <v>6310</v>
      </c>
      <c r="G567" s="496">
        <v>42451</v>
      </c>
      <c r="H567" s="513">
        <v>1000</v>
      </c>
      <c r="I567" s="498">
        <v>11.45</v>
      </c>
      <c r="J567" s="499">
        <v>0.25</v>
      </c>
      <c r="K567" s="499">
        <f t="shared" si="196"/>
        <v>11449.75</v>
      </c>
      <c r="L567" s="497"/>
      <c r="M567" s="499"/>
    </row>
    <row r="568" spans="1:13" x14ac:dyDescent="0.25">
      <c r="A568" s="497"/>
      <c r="B568" s="545">
        <v>42009</v>
      </c>
      <c r="C568" s="497">
        <v>500</v>
      </c>
      <c r="D568" s="498">
        <v>12.45</v>
      </c>
      <c r="E568" s="499">
        <v>0</v>
      </c>
      <c r="F568" s="499">
        <f t="shared" si="193"/>
        <v>6225</v>
      </c>
      <c r="G568" s="496">
        <v>42451</v>
      </c>
      <c r="H568" s="513">
        <v>50</v>
      </c>
      <c r="I568" s="498">
        <v>11.28</v>
      </c>
      <c r="J568" s="499">
        <v>0.01</v>
      </c>
      <c r="K568" s="499">
        <f t="shared" si="196"/>
        <v>563.99</v>
      </c>
      <c r="L568" s="497"/>
      <c r="M568" s="499"/>
    </row>
    <row r="569" spans="1:13" x14ac:dyDescent="0.25">
      <c r="A569" s="497"/>
      <c r="B569" s="596">
        <v>42374</v>
      </c>
      <c r="C569" s="497">
        <v>2000</v>
      </c>
      <c r="D569" s="498">
        <v>12.73</v>
      </c>
      <c r="E569" s="499">
        <v>0</v>
      </c>
      <c r="F569" s="499">
        <f t="shared" ref="F569:F632" si="197">C569*D569+E569</f>
        <v>25460</v>
      </c>
      <c r="G569" s="496">
        <v>42459</v>
      </c>
      <c r="H569" s="513">
        <v>2000</v>
      </c>
      <c r="I569" s="498">
        <v>10.75</v>
      </c>
      <c r="J569" s="499">
        <v>0.47</v>
      </c>
      <c r="K569" s="499">
        <f t="shared" si="196"/>
        <v>21499.53</v>
      </c>
      <c r="L569" s="497"/>
      <c r="M569" s="499"/>
    </row>
    <row r="570" spans="1:13" x14ac:dyDescent="0.25">
      <c r="A570" s="497"/>
      <c r="B570" s="545">
        <v>42375</v>
      </c>
      <c r="C570" s="497">
        <v>1000</v>
      </c>
      <c r="D570" s="498">
        <v>12.5</v>
      </c>
      <c r="E570" s="499">
        <v>0</v>
      </c>
      <c r="F570" s="499">
        <f t="shared" si="197"/>
        <v>12500</v>
      </c>
      <c r="G570" s="496">
        <v>42460</v>
      </c>
      <c r="H570" s="513">
        <v>1600</v>
      </c>
      <c r="I570" s="498">
        <v>10.95</v>
      </c>
      <c r="J570" s="499">
        <v>2.88</v>
      </c>
      <c r="K570" s="499">
        <f t="shared" si="196"/>
        <v>17517.12</v>
      </c>
      <c r="L570" s="497"/>
      <c r="M570" s="499"/>
    </row>
    <row r="571" spans="1:13" x14ac:dyDescent="0.25">
      <c r="A571" s="497"/>
      <c r="B571" s="545">
        <v>42375</v>
      </c>
      <c r="C571" s="497">
        <v>1000</v>
      </c>
      <c r="D571" s="498">
        <v>11.7</v>
      </c>
      <c r="E571" s="499">
        <v>0</v>
      </c>
      <c r="F571" s="499">
        <f t="shared" si="197"/>
        <v>11700</v>
      </c>
      <c r="G571" s="496">
        <v>42461</v>
      </c>
      <c r="H571" s="513">
        <v>2000</v>
      </c>
      <c r="I571" s="498">
        <v>10.52</v>
      </c>
      <c r="J571" s="499">
        <v>0.46</v>
      </c>
      <c r="K571" s="499">
        <f t="shared" si="196"/>
        <v>21039.54</v>
      </c>
      <c r="L571" s="497"/>
      <c r="M571" s="499"/>
    </row>
    <row r="572" spans="1:13" x14ac:dyDescent="0.25">
      <c r="A572" s="497"/>
      <c r="B572" s="545">
        <v>42402</v>
      </c>
      <c r="C572" s="497">
        <v>400</v>
      </c>
      <c r="D572" s="498">
        <v>9.1</v>
      </c>
      <c r="E572" s="499">
        <v>0</v>
      </c>
      <c r="F572" s="499">
        <f t="shared" si="197"/>
        <v>3640</v>
      </c>
      <c r="G572" s="496">
        <v>42461</v>
      </c>
      <c r="H572" s="513">
        <v>2000</v>
      </c>
      <c r="I572" s="498">
        <v>10.55</v>
      </c>
      <c r="J572" s="499">
        <v>0.46</v>
      </c>
      <c r="K572" s="499">
        <f t="shared" si="196"/>
        <v>21099.54</v>
      </c>
      <c r="L572" s="497"/>
      <c r="M572" s="499"/>
    </row>
    <row r="573" spans="1:13" x14ac:dyDescent="0.25">
      <c r="A573" s="497"/>
      <c r="B573" s="545">
        <v>42411</v>
      </c>
      <c r="C573" s="497">
        <v>500</v>
      </c>
      <c r="D573" s="498">
        <v>6.835</v>
      </c>
      <c r="E573" s="499">
        <v>0</v>
      </c>
      <c r="F573" s="499">
        <f t="shared" si="197"/>
        <v>3417.5</v>
      </c>
      <c r="G573" s="496">
        <v>42465</v>
      </c>
      <c r="H573" s="513">
        <v>100</v>
      </c>
      <c r="I573" s="498">
        <v>10.75</v>
      </c>
      <c r="J573" s="499">
        <v>0.02</v>
      </c>
      <c r="K573" s="499">
        <f t="shared" si="196"/>
        <v>1074.98</v>
      </c>
      <c r="L573" s="497"/>
      <c r="M573" s="499"/>
    </row>
    <row r="574" spans="1:13" x14ac:dyDescent="0.25">
      <c r="A574" s="497"/>
      <c r="B574" s="545">
        <v>42412</v>
      </c>
      <c r="C574" s="497">
        <v>200</v>
      </c>
      <c r="D574" s="498">
        <v>7.23</v>
      </c>
      <c r="E574" s="499">
        <v>0</v>
      </c>
      <c r="F574" s="499">
        <f t="shared" si="197"/>
        <v>1446</v>
      </c>
      <c r="G574" s="496">
        <v>42468</v>
      </c>
      <c r="H574" s="513">
        <v>1000</v>
      </c>
      <c r="I574" s="498">
        <v>11.77</v>
      </c>
      <c r="J574" s="499">
        <v>0.26</v>
      </c>
      <c r="K574" s="499">
        <f t="shared" si="196"/>
        <v>11769.74</v>
      </c>
      <c r="L574" s="497"/>
      <c r="M574" s="499"/>
    </row>
    <row r="575" spans="1:13" x14ac:dyDescent="0.25">
      <c r="A575" s="497"/>
      <c r="B575" s="545">
        <v>42416</v>
      </c>
      <c r="C575" s="497">
        <v>500</v>
      </c>
      <c r="D575" s="498">
        <v>7.5</v>
      </c>
      <c r="E575" s="499">
        <v>0</v>
      </c>
      <c r="F575" s="499">
        <f t="shared" si="197"/>
        <v>3750</v>
      </c>
      <c r="G575" s="609">
        <v>42472</v>
      </c>
      <c r="H575" s="513">
        <v>420</v>
      </c>
      <c r="I575" s="498">
        <v>13.35</v>
      </c>
      <c r="J575" s="499">
        <v>0.15</v>
      </c>
      <c r="K575" s="499">
        <f t="shared" si="196"/>
        <v>5606.85</v>
      </c>
      <c r="L575" s="497"/>
      <c r="M575" s="499"/>
    </row>
    <row r="576" spans="1:13" ht="30" x14ac:dyDescent="0.25">
      <c r="A576" s="497"/>
      <c r="B576" s="612" t="s">
        <v>179</v>
      </c>
      <c r="C576" s="497">
        <v>3000</v>
      </c>
      <c r="D576" s="498">
        <v>7.55</v>
      </c>
      <c r="E576" s="499">
        <v>0</v>
      </c>
      <c r="F576" s="499">
        <f t="shared" si="197"/>
        <v>22650</v>
      </c>
      <c r="G576" s="609"/>
      <c r="H576" s="513">
        <v>80</v>
      </c>
      <c r="I576" s="498">
        <v>13.35</v>
      </c>
      <c r="J576" s="499">
        <v>0</v>
      </c>
      <c r="K576" s="499">
        <f t="shared" si="196"/>
        <v>1068</v>
      </c>
      <c r="L576" s="497"/>
      <c r="M576" s="499"/>
    </row>
    <row r="577" spans="1:13" x14ac:dyDescent="0.25">
      <c r="A577" s="497"/>
      <c r="B577" s="612"/>
      <c r="C577" s="497">
        <v>500</v>
      </c>
      <c r="D577" s="498">
        <v>6.75</v>
      </c>
      <c r="E577" s="499">
        <v>0</v>
      </c>
      <c r="F577" s="499">
        <f t="shared" si="197"/>
        <v>3375</v>
      </c>
      <c r="G577" s="496">
        <v>42472</v>
      </c>
      <c r="H577" s="513">
        <v>500</v>
      </c>
      <c r="I577" s="498">
        <v>13.15</v>
      </c>
      <c r="J577" s="499">
        <v>0.14000000000000001</v>
      </c>
      <c r="K577" s="499">
        <f t="shared" si="196"/>
        <v>6574.86</v>
      </c>
      <c r="L577" s="497"/>
      <c r="M577" s="499"/>
    </row>
    <row r="578" spans="1:13" x14ac:dyDescent="0.25">
      <c r="A578" s="497"/>
      <c r="B578" s="612"/>
      <c r="C578" s="497">
        <v>300</v>
      </c>
      <c r="D578" s="498">
        <v>6.75</v>
      </c>
      <c r="E578" s="499">
        <v>0</v>
      </c>
      <c r="F578" s="499">
        <f t="shared" si="197"/>
        <v>2025</v>
      </c>
      <c r="G578" s="496">
        <v>42472</v>
      </c>
      <c r="H578" s="513">
        <v>500</v>
      </c>
      <c r="I578" s="498">
        <v>12.92</v>
      </c>
      <c r="J578" s="499">
        <v>0.14000000000000001</v>
      </c>
      <c r="K578" s="499">
        <f t="shared" si="196"/>
        <v>6459.86</v>
      </c>
      <c r="L578" s="497"/>
      <c r="M578" s="499"/>
    </row>
    <row r="579" spans="1:13" x14ac:dyDescent="0.25">
      <c r="A579" s="497"/>
      <c r="B579" s="545">
        <v>42426</v>
      </c>
      <c r="C579" s="497">
        <v>600</v>
      </c>
      <c r="D579" s="498">
        <v>7.63</v>
      </c>
      <c r="E579" s="499">
        <v>0</v>
      </c>
      <c r="F579" s="499">
        <f t="shared" si="197"/>
        <v>4578</v>
      </c>
      <c r="G579" s="496">
        <v>42472</v>
      </c>
      <c r="H579" s="513">
        <v>500</v>
      </c>
      <c r="I579" s="498">
        <v>12.59</v>
      </c>
      <c r="J579" s="499">
        <v>0.14000000000000001</v>
      </c>
      <c r="K579" s="499">
        <f t="shared" si="196"/>
        <v>6294.86</v>
      </c>
      <c r="L579" s="497"/>
      <c r="M579" s="499"/>
    </row>
    <row r="580" spans="1:13" x14ac:dyDescent="0.25">
      <c r="A580" s="497"/>
      <c r="B580" s="545">
        <v>42426</v>
      </c>
      <c r="C580" s="497">
        <v>2000</v>
      </c>
      <c r="D580" s="498">
        <v>7.95</v>
      </c>
      <c r="E580" s="499">
        <v>0</v>
      </c>
      <c r="F580" s="499">
        <f t="shared" si="197"/>
        <v>15900</v>
      </c>
      <c r="G580" s="496">
        <v>42474</v>
      </c>
      <c r="H580" s="513">
        <v>500</v>
      </c>
      <c r="I580" s="498">
        <v>13.18</v>
      </c>
      <c r="J580" s="499">
        <v>0.14000000000000001</v>
      </c>
      <c r="K580" s="499">
        <f t="shared" si="196"/>
        <v>6589.86</v>
      </c>
      <c r="L580" s="497"/>
      <c r="M580" s="499"/>
    </row>
    <row r="581" spans="1:13" x14ac:dyDescent="0.25">
      <c r="A581" s="497"/>
      <c r="B581" s="545">
        <v>42429</v>
      </c>
      <c r="C581" s="497">
        <v>2000</v>
      </c>
      <c r="D581" s="498">
        <v>8.1999999999999993</v>
      </c>
      <c r="E581" s="499">
        <v>0</v>
      </c>
      <c r="F581" s="499">
        <f t="shared" si="197"/>
        <v>16400</v>
      </c>
      <c r="G581" s="496">
        <v>42478</v>
      </c>
      <c r="H581" s="513">
        <v>500</v>
      </c>
      <c r="I581" s="498">
        <v>13.4</v>
      </c>
      <c r="J581" s="499">
        <v>0.15</v>
      </c>
      <c r="K581" s="499">
        <f t="shared" si="196"/>
        <v>6699.85</v>
      </c>
      <c r="L581" s="497"/>
      <c r="M581" s="499"/>
    </row>
    <row r="582" spans="1:13" x14ac:dyDescent="0.25">
      <c r="A582" s="499"/>
      <c r="B582" s="545">
        <v>42429</v>
      </c>
      <c r="C582" s="497">
        <v>500</v>
      </c>
      <c r="D582" s="498">
        <v>7.88</v>
      </c>
      <c r="E582" s="499">
        <v>0</v>
      </c>
      <c r="F582" s="499">
        <f t="shared" si="197"/>
        <v>3940</v>
      </c>
      <c r="G582" s="496">
        <v>42486</v>
      </c>
      <c r="H582" s="513">
        <v>500</v>
      </c>
      <c r="I582" s="498">
        <v>14.35</v>
      </c>
      <c r="J582" s="499">
        <v>0.16</v>
      </c>
      <c r="K582" s="499">
        <f t="shared" si="196"/>
        <v>7174.84</v>
      </c>
      <c r="L582" s="497"/>
      <c r="M582" s="499"/>
    </row>
    <row r="583" spans="1:13" x14ac:dyDescent="0.25">
      <c r="A583" s="497"/>
      <c r="B583" s="545">
        <v>42430</v>
      </c>
      <c r="C583" s="497">
        <v>1000</v>
      </c>
      <c r="D583" s="498">
        <v>7.77</v>
      </c>
      <c r="E583" s="499">
        <v>0</v>
      </c>
      <c r="F583" s="499">
        <f t="shared" si="197"/>
        <v>7770</v>
      </c>
      <c r="G583" s="496">
        <v>42487</v>
      </c>
      <c r="H583" s="513">
        <v>600</v>
      </c>
      <c r="I583" s="498">
        <v>14.85</v>
      </c>
      <c r="J583" s="499">
        <v>0.19</v>
      </c>
      <c r="K583" s="499">
        <f t="shared" si="196"/>
        <v>8909.81</v>
      </c>
      <c r="L583" s="497"/>
      <c r="M583" s="499"/>
    </row>
    <row r="584" spans="1:13" x14ac:dyDescent="0.25">
      <c r="A584" s="497"/>
      <c r="B584" s="545">
        <v>42430</v>
      </c>
      <c r="C584" s="497">
        <v>500</v>
      </c>
      <c r="D584" s="498">
        <v>7.94</v>
      </c>
      <c r="E584" s="499">
        <v>0</v>
      </c>
      <c r="F584" s="499">
        <f t="shared" si="197"/>
        <v>3970</v>
      </c>
      <c r="G584" s="496">
        <v>42489</v>
      </c>
      <c r="H584" s="513">
        <v>3000</v>
      </c>
      <c r="I584" s="498">
        <v>14.15</v>
      </c>
      <c r="J584" s="499">
        <v>0.93</v>
      </c>
      <c r="K584" s="499">
        <f t="shared" si="196"/>
        <v>42449.07</v>
      </c>
      <c r="L584" s="497"/>
      <c r="M584" s="499"/>
    </row>
    <row r="585" spans="1:13" x14ac:dyDescent="0.25">
      <c r="A585" s="497"/>
      <c r="B585" s="545">
        <v>42431</v>
      </c>
      <c r="C585" s="497">
        <v>1000</v>
      </c>
      <c r="D585" s="498">
        <v>8.3699999999999992</v>
      </c>
      <c r="E585" s="499">
        <v>0</v>
      </c>
      <c r="F585" s="499">
        <f t="shared" si="197"/>
        <v>8370</v>
      </c>
      <c r="G585" s="496">
        <v>42492</v>
      </c>
      <c r="H585" s="513">
        <v>1000</v>
      </c>
      <c r="I585" s="498">
        <v>13.48</v>
      </c>
      <c r="J585" s="499">
        <v>0.28999999999999998</v>
      </c>
      <c r="K585" s="499">
        <f t="shared" si="196"/>
        <v>13479.71</v>
      </c>
      <c r="L585" s="497"/>
      <c r="M585" s="499"/>
    </row>
    <row r="586" spans="1:13" x14ac:dyDescent="0.25">
      <c r="A586" s="497"/>
      <c r="B586" s="545">
        <v>42432</v>
      </c>
      <c r="C586" s="497">
        <v>600</v>
      </c>
      <c r="D586" s="498">
        <v>9.3699999999999992</v>
      </c>
      <c r="E586" s="499">
        <v>0</v>
      </c>
      <c r="F586" s="499">
        <f t="shared" si="197"/>
        <v>5621.9999999999991</v>
      </c>
      <c r="G586" s="496">
        <v>42492</v>
      </c>
      <c r="H586" s="513">
        <v>1000</v>
      </c>
      <c r="I586" s="498">
        <v>13.61</v>
      </c>
      <c r="J586" s="499">
        <v>0.3</v>
      </c>
      <c r="K586" s="499">
        <f t="shared" si="196"/>
        <v>13609.7</v>
      </c>
      <c r="L586" s="497"/>
      <c r="M586" s="499"/>
    </row>
    <row r="587" spans="1:13" x14ac:dyDescent="0.25">
      <c r="A587" s="497"/>
      <c r="B587" s="545">
        <v>42432</v>
      </c>
      <c r="C587" s="497">
        <v>600</v>
      </c>
      <c r="D587" s="498">
        <v>8.8800000000000008</v>
      </c>
      <c r="E587" s="499">
        <v>0</v>
      </c>
      <c r="F587" s="499">
        <f t="shared" si="197"/>
        <v>5328.0000000000009</v>
      </c>
      <c r="G587" s="496">
        <v>42493</v>
      </c>
      <c r="H587" s="513">
        <v>322</v>
      </c>
      <c r="I587" s="498">
        <v>13.28</v>
      </c>
      <c r="J587" s="499">
        <v>0.09</v>
      </c>
      <c r="K587" s="499">
        <f t="shared" si="196"/>
        <v>4276.07</v>
      </c>
      <c r="L587" s="497"/>
      <c r="M587" s="499"/>
    </row>
    <row r="588" spans="1:13" x14ac:dyDescent="0.25">
      <c r="A588" s="497"/>
      <c r="B588" s="545">
        <v>42433</v>
      </c>
      <c r="C588" s="497">
        <v>600</v>
      </c>
      <c r="D588" s="498">
        <v>10.42</v>
      </c>
      <c r="E588" s="499">
        <v>0</v>
      </c>
      <c r="F588" s="499">
        <f t="shared" si="197"/>
        <v>6252</v>
      </c>
      <c r="G588" s="496">
        <v>42495</v>
      </c>
      <c r="H588" s="513">
        <v>1000</v>
      </c>
      <c r="I588" s="498">
        <v>12.05</v>
      </c>
      <c r="J588" s="499">
        <v>0.26</v>
      </c>
      <c r="K588" s="499">
        <f t="shared" si="196"/>
        <v>12049.74</v>
      </c>
      <c r="L588" s="497"/>
      <c r="M588" s="499"/>
    </row>
    <row r="589" spans="1:13" x14ac:dyDescent="0.25">
      <c r="A589" s="497"/>
      <c r="B589" s="545">
        <v>42440</v>
      </c>
      <c r="C589" s="497">
        <v>400</v>
      </c>
      <c r="D589" s="498">
        <v>11.12</v>
      </c>
      <c r="E589" s="499">
        <v>0</v>
      </c>
      <c r="F589" s="499">
        <f t="shared" si="197"/>
        <v>4448</v>
      </c>
      <c r="G589" s="496">
        <v>42495</v>
      </c>
      <c r="H589" s="513">
        <v>2000</v>
      </c>
      <c r="I589" s="498">
        <v>12.63</v>
      </c>
      <c r="J589" s="499">
        <v>0.55000000000000004</v>
      </c>
      <c r="K589" s="499">
        <f t="shared" si="196"/>
        <v>25259.45</v>
      </c>
      <c r="L589" s="497"/>
      <c r="M589" s="499"/>
    </row>
    <row r="590" spans="1:13" x14ac:dyDescent="0.25">
      <c r="A590" s="497"/>
      <c r="B590" s="545">
        <v>42446</v>
      </c>
      <c r="C590" s="497">
        <v>1500</v>
      </c>
      <c r="D590" s="498">
        <v>11.445</v>
      </c>
      <c r="E590" s="499">
        <v>0</v>
      </c>
      <c r="F590" s="499">
        <f t="shared" si="197"/>
        <v>17167.5</v>
      </c>
      <c r="G590" s="496">
        <v>42500</v>
      </c>
      <c r="H590" s="513">
        <v>1000</v>
      </c>
      <c r="I590" s="498">
        <v>11.66</v>
      </c>
      <c r="J590" s="499">
        <v>5.25</v>
      </c>
      <c r="K590" s="499">
        <f t="shared" si="196"/>
        <v>11654.75</v>
      </c>
      <c r="L590" s="497"/>
      <c r="M590" s="499"/>
    </row>
    <row r="591" spans="1:13" x14ac:dyDescent="0.25">
      <c r="A591" s="497"/>
      <c r="B591" s="608">
        <v>42447</v>
      </c>
      <c r="C591" s="497">
        <v>1500</v>
      </c>
      <c r="D591" s="498">
        <v>11.42</v>
      </c>
      <c r="E591" s="499">
        <v>0</v>
      </c>
      <c r="F591" s="499">
        <f t="shared" si="197"/>
        <v>17130</v>
      </c>
      <c r="G591" s="496">
        <v>42502</v>
      </c>
      <c r="H591" s="513">
        <v>1500</v>
      </c>
      <c r="I591" s="498">
        <v>12.36</v>
      </c>
      <c r="J591" s="499">
        <v>0.4</v>
      </c>
      <c r="K591" s="499">
        <f t="shared" si="196"/>
        <v>18539.599999999999</v>
      </c>
      <c r="L591" s="497"/>
      <c r="M591" s="499"/>
    </row>
    <row r="592" spans="1:13" x14ac:dyDescent="0.25">
      <c r="A592" s="497"/>
      <c r="B592" s="613"/>
      <c r="C592" s="497">
        <v>500</v>
      </c>
      <c r="D592" s="498">
        <v>11.42</v>
      </c>
      <c r="E592" s="499">
        <v>0</v>
      </c>
      <c r="F592" s="499">
        <f t="shared" si="197"/>
        <v>5710</v>
      </c>
      <c r="G592" s="496">
        <v>42503</v>
      </c>
      <c r="H592" s="513">
        <v>500</v>
      </c>
      <c r="I592" s="498">
        <v>12.49</v>
      </c>
      <c r="J592" s="499">
        <v>0.14000000000000001</v>
      </c>
      <c r="K592" s="499">
        <f t="shared" si="196"/>
        <v>6244.86</v>
      </c>
      <c r="L592" s="497"/>
      <c r="M592" s="499"/>
    </row>
    <row r="593" spans="1:13" x14ac:dyDescent="0.25">
      <c r="A593" s="497"/>
      <c r="B593" s="545">
        <v>42447</v>
      </c>
      <c r="C593" s="497">
        <v>650</v>
      </c>
      <c r="D593" s="498">
        <v>11.545</v>
      </c>
      <c r="E593" s="499">
        <v>0.75</v>
      </c>
      <c r="F593" s="499">
        <f t="shared" si="197"/>
        <v>7505</v>
      </c>
      <c r="G593" s="496">
        <v>42506</v>
      </c>
      <c r="H593" s="513">
        <v>300</v>
      </c>
      <c r="I593" s="498">
        <v>12.85</v>
      </c>
      <c r="J593" s="499">
        <v>0.08</v>
      </c>
      <c r="K593" s="499">
        <f t="shared" si="196"/>
        <v>3854.92</v>
      </c>
      <c r="L593" s="497"/>
      <c r="M593" s="499"/>
    </row>
    <row r="594" spans="1:13" x14ac:dyDescent="0.25">
      <c r="A594" s="497"/>
      <c r="B594" s="545">
        <v>42450</v>
      </c>
      <c r="C594" s="497">
        <v>1350</v>
      </c>
      <c r="D594" s="498">
        <v>11.42</v>
      </c>
      <c r="E594" s="499">
        <v>0</v>
      </c>
      <c r="F594" s="499">
        <f t="shared" si="197"/>
        <v>15417</v>
      </c>
      <c r="G594" s="496">
        <v>42513</v>
      </c>
      <c r="H594" s="513">
        <v>500</v>
      </c>
      <c r="I594" s="498">
        <v>13.05</v>
      </c>
      <c r="J594" s="499">
        <v>0.14000000000000001</v>
      </c>
      <c r="K594" s="499">
        <f t="shared" si="196"/>
        <v>6524.86</v>
      </c>
      <c r="L594" s="497"/>
      <c r="M594" s="499"/>
    </row>
    <row r="595" spans="1:13" x14ac:dyDescent="0.25">
      <c r="A595" s="497"/>
      <c r="B595" s="545">
        <v>42451</v>
      </c>
      <c r="C595" s="497">
        <v>1000</v>
      </c>
      <c r="D595" s="498">
        <v>11.38</v>
      </c>
      <c r="E595" s="499">
        <v>0</v>
      </c>
      <c r="F595" s="499">
        <f t="shared" si="197"/>
        <v>11380</v>
      </c>
      <c r="G595" s="496">
        <v>42515</v>
      </c>
      <c r="H595" s="513">
        <v>500</v>
      </c>
      <c r="I595" s="498">
        <v>13.59</v>
      </c>
      <c r="J595" s="499">
        <v>0.15</v>
      </c>
      <c r="K595" s="499">
        <f t="shared" si="196"/>
        <v>6794.85</v>
      </c>
      <c r="L595" s="497"/>
      <c r="M595" s="499"/>
    </row>
    <row r="596" spans="1:13" x14ac:dyDescent="0.25">
      <c r="A596" s="497"/>
      <c r="B596" s="608">
        <v>42451</v>
      </c>
      <c r="C596" s="497">
        <v>50</v>
      </c>
      <c r="D596" s="498">
        <v>11.22</v>
      </c>
      <c r="E596" s="499">
        <v>0</v>
      </c>
      <c r="F596" s="499">
        <f t="shared" si="197"/>
        <v>561</v>
      </c>
      <c r="G596" s="496">
        <v>42515</v>
      </c>
      <c r="H596" s="513">
        <v>500</v>
      </c>
      <c r="I596" s="498">
        <v>13.57</v>
      </c>
      <c r="J596" s="499">
        <v>0.15</v>
      </c>
      <c r="K596" s="499">
        <f t="shared" si="196"/>
        <v>6784.85</v>
      </c>
      <c r="L596" s="497"/>
      <c r="M596" s="499"/>
    </row>
    <row r="597" spans="1:13" x14ac:dyDescent="0.25">
      <c r="A597" s="497"/>
      <c r="B597" s="608"/>
      <c r="C597" s="497">
        <v>350</v>
      </c>
      <c r="D597" s="498">
        <v>11.22</v>
      </c>
      <c r="E597" s="499">
        <v>0</v>
      </c>
      <c r="F597" s="499">
        <f t="shared" si="197"/>
        <v>3927</v>
      </c>
      <c r="G597" s="496">
        <v>42517</v>
      </c>
      <c r="H597" s="513">
        <v>500</v>
      </c>
      <c r="I597" s="498">
        <v>12.87</v>
      </c>
      <c r="J597" s="499">
        <v>0.14000000000000001</v>
      </c>
      <c r="K597" s="499">
        <f t="shared" si="196"/>
        <v>6434.86</v>
      </c>
      <c r="L597" s="497"/>
      <c r="M597" s="499"/>
    </row>
    <row r="598" spans="1:13" ht="45" x14ac:dyDescent="0.25">
      <c r="A598" s="497"/>
      <c r="B598" s="612" t="s">
        <v>192</v>
      </c>
      <c r="C598" s="497">
        <v>650</v>
      </c>
      <c r="D598" s="498">
        <v>11.22</v>
      </c>
      <c r="E598" s="499">
        <v>0</v>
      </c>
      <c r="F598" s="499">
        <f t="shared" si="197"/>
        <v>7293</v>
      </c>
      <c r="G598" s="496">
        <v>42524</v>
      </c>
      <c r="H598" s="513">
        <v>400</v>
      </c>
      <c r="I598" s="498">
        <v>13.38</v>
      </c>
      <c r="J598" s="499">
        <v>0.12</v>
      </c>
      <c r="K598" s="499">
        <f t="shared" si="196"/>
        <v>5351.88</v>
      </c>
      <c r="L598" s="497"/>
      <c r="M598" s="499"/>
    </row>
    <row r="599" spans="1:13" x14ac:dyDescent="0.25">
      <c r="A599" s="497"/>
      <c r="B599" s="612"/>
      <c r="C599" s="497">
        <v>500</v>
      </c>
      <c r="D599" s="498">
        <v>11.01</v>
      </c>
      <c r="E599" s="499">
        <v>0</v>
      </c>
      <c r="F599" s="499">
        <f t="shared" si="197"/>
        <v>5505</v>
      </c>
      <c r="G599" s="496">
        <v>42527</v>
      </c>
      <c r="H599" s="513">
        <v>1000</v>
      </c>
      <c r="I599" s="498">
        <v>13.82</v>
      </c>
      <c r="J599" s="499">
        <v>0.3</v>
      </c>
      <c r="K599" s="499">
        <f t="shared" si="196"/>
        <v>13819.7</v>
      </c>
      <c r="L599" s="497"/>
      <c r="M599" s="499"/>
    </row>
    <row r="600" spans="1:13" x14ac:dyDescent="0.25">
      <c r="A600" s="497"/>
      <c r="B600" s="612"/>
      <c r="C600" s="497">
        <v>500</v>
      </c>
      <c r="D600" s="498">
        <v>10.75</v>
      </c>
      <c r="E600" s="499">
        <v>0</v>
      </c>
      <c r="F600" s="499">
        <f t="shared" si="197"/>
        <v>5375</v>
      </c>
      <c r="G600" s="496">
        <v>42527</v>
      </c>
      <c r="H600" s="513">
        <v>500</v>
      </c>
      <c r="I600" s="498">
        <v>13.97</v>
      </c>
      <c r="J600" s="499">
        <v>1.1499999999999999</v>
      </c>
      <c r="K600" s="499">
        <f t="shared" si="196"/>
        <v>6983.85</v>
      </c>
      <c r="L600" s="497"/>
      <c r="M600" s="499"/>
    </row>
    <row r="601" spans="1:13" x14ac:dyDescent="0.25">
      <c r="A601" s="497"/>
      <c r="B601" s="612"/>
      <c r="C601" s="497">
        <v>1000</v>
      </c>
      <c r="D601" s="498">
        <v>10.4</v>
      </c>
      <c r="E601" s="499">
        <v>0</v>
      </c>
      <c r="F601" s="499">
        <f t="shared" si="197"/>
        <v>10400</v>
      </c>
      <c r="G601" s="496">
        <v>42528</v>
      </c>
      <c r="H601" s="513">
        <v>500</v>
      </c>
      <c r="I601" s="498">
        <v>14.65</v>
      </c>
      <c r="J601" s="499">
        <v>0.16</v>
      </c>
      <c r="K601" s="499">
        <f t="shared" si="196"/>
        <v>7324.84</v>
      </c>
      <c r="L601" s="497"/>
      <c r="M601" s="499"/>
    </row>
    <row r="602" spans="1:13" x14ac:dyDescent="0.25">
      <c r="A602" s="497"/>
      <c r="B602" s="612"/>
      <c r="C602" s="497">
        <v>1000</v>
      </c>
      <c r="D602" s="498">
        <v>10.185</v>
      </c>
      <c r="E602" s="499">
        <v>0</v>
      </c>
      <c r="F602" s="499">
        <f t="shared" si="197"/>
        <v>10185</v>
      </c>
      <c r="G602" s="496">
        <v>42536</v>
      </c>
      <c r="H602" s="513">
        <v>400</v>
      </c>
      <c r="I602" s="498">
        <v>13.43</v>
      </c>
      <c r="J602" s="499">
        <v>0.12</v>
      </c>
      <c r="K602" s="499">
        <f t="shared" si="196"/>
        <v>5371.88</v>
      </c>
      <c r="L602" s="497"/>
      <c r="M602" s="499"/>
    </row>
    <row r="603" spans="1:13" x14ac:dyDescent="0.25">
      <c r="A603" s="497"/>
      <c r="B603" s="545">
        <v>42461</v>
      </c>
      <c r="C603" s="497">
        <v>2000</v>
      </c>
      <c r="D603" s="498">
        <v>10.43</v>
      </c>
      <c r="E603" s="499">
        <v>0</v>
      </c>
      <c r="F603" s="499">
        <f t="shared" si="197"/>
        <v>20860</v>
      </c>
      <c r="G603" s="496">
        <v>42537</v>
      </c>
      <c r="H603" s="513">
        <v>400</v>
      </c>
      <c r="I603" s="498">
        <v>12.69</v>
      </c>
      <c r="J603" s="499">
        <v>0.11</v>
      </c>
      <c r="K603" s="499">
        <f t="shared" si="196"/>
        <v>5075.8900000000003</v>
      </c>
      <c r="L603" s="497"/>
      <c r="M603" s="499"/>
    </row>
    <row r="604" spans="1:13" x14ac:dyDescent="0.25">
      <c r="A604" s="497"/>
      <c r="B604" s="545">
        <v>42461</v>
      </c>
      <c r="C604" s="497">
        <v>2000</v>
      </c>
      <c r="D604" s="498">
        <v>10.42</v>
      </c>
      <c r="E604" s="499">
        <v>0</v>
      </c>
      <c r="F604" s="499">
        <f t="shared" si="197"/>
        <v>20840</v>
      </c>
      <c r="G604" s="496">
        <v>42538</v>
      </c>
      <c r="H604" s="513">
        <v>500</v>
      </c>
      <c r="I604" s="498">
        <v>13.34</v>
      </c>
      <c r="J604" s="499">
        <v>0.15</v>
      </c>
      <c r="K604" s="499">
        <f t="shared" si="196"/>
        <v>6669.85</v>
      </c>
      <c r="L604" s="497"/>
      <c r="M604" s="499"/>
    </row>
    <row r="605" spans="1:13" ht="45" x14ac:dyDescent="0.25">
      <c r="A605" s="497"/>
      <c r="B605" s="545">
        <v>42465</v>
      </c>
      <c r="C605" s="497">
        <v>100</v>
      </c>
      <c r="D605" s="498">
        <v>10.4</v>
      </c>
      <c r="E605" s="499">
        <v>0</v>
      </c>
      <c r="F605" s="499">
        <f t="shared" si="197"/>
        <v>1040</v>
      </c>
      <c r="G605" s="614" t="s">
        <v>219</v>
      </c>
      <c r="H605" s="513">
        <v>500</v>
      </c>
      <c r="I605" s="498">
        <v>13.91</v>
      </c>
      <c r="J605" s="499">
        <v>0.15</v>
      </c>
      <c r="K605" s="499">
        <f t="shared" si="196"/>
        <v>6954.85</v>
      </c>
      <c r="L605" s="497"/>
      <c r="M605" s="499"/>
    </row>
    <row r="606" spans="1:13" x14ac:dyDescent="0.25">
      <c r="A606" s="497"/>
      <c r="B606" s="545">
        <v>42471</v>
      </c>
      <c r="C606" s="497">
        <v>500</v>
      </c>
      <c r="D606" s="498">
        <v>11.77</v>
      </c>
      <c r="E606" s="499">
        <v>0</v>
      </c>
      <c r="F606" s="499">
        <f t="shared" si="197"/>
        <v>5885</v>
      </c>
      <c r="G606" s="614"/>
      <c r="H606" s="513">
        <v>600</v>
      </c>
      <c r="I606" s="498">
        <v>14.36</v>
      </c>
      <c r="J606" s="499">
        <v>0.19</v>
      </c>
      <c r="K606" s="499">
        <f t="shared" si="196"/>
        <v>8615.81</v>
      </c>
      <c r="L606" s="497"/>
      <c r="M606" s="499"/>
    </row>
    <row r="607" spans="1:13" x14ac:dyDescent="0.25">
      <c r="A607" s="497"/>
      <c r="B607" s="545">
        <v>42471</v>
      </c>
      <c r="C607" s="497">
        <v>500</v>
      </c>
      <c r="D607" s="498">
        <v>11.55</v>
      </c>
      <c r="E607" s="499">
        <v>0</v>
      </c>
      <c r="F607" s="499">
        <f t="shared" si="197"/>
        <v>5775</v>
      </c>
      <c r="G607" s="614"/>
      <c r="H607" s="513">
        <v>500</v>
      </c>
      <c r="I607" s="498">
        <v>14.65</v>
      </c>
      <c r="J607" s="499">
        <v>0.16</v>
      </c>
      <c r="K607" s="499">
        <f t="shared" si="196"/>
        <v>7324.84</v>
      </c>
      <c r="L607" s="497"/>
      <c r="M607" s="499"/>
    </row>
    <row r="608" spans="1:13" x14ac:dyDescent="0.25">
      <c r="A608" s="497"/>
      <c r="B608" s="545">
        <v>42472</v>
      </c>
      <c r="C608" s="497">
        <v>610</v>
      </c>
      <c r="D608" s="498">
        <v>12.95</v>
      </c>
      <c r="E608" s="499">
        <v>0</v>
      </c>
      <c r="F608" s="499">
        <f t="shared" si="197"/>
        <v>7899.5</v>
      </c>
      <c r="G608" s="496">
        <v>42542</v>
      </c>
      <c r="H608" s="513">
        <v>500</v>
      </c>
      <c r="I608" s="498">
        <v>14.95</v>
      </c>
      <c r="J608" s="499">
        <v>0.16</v>
      </c>
      <c r="K608" s="499">
        <f t="shared" si="196"/>
        <v>7474.84</v>
      </c>
      <c r="L608" s="497"/>
      <c r="M608" s="499"/>
    </row>
    <row r="609" spans="1:13" x14ac:dyDescent="0.25">
      <c r="A609" s="497"/>
      <c r="B609" s="545">
        <v>42473</v>
      </c>
      <c r="C609" s="497">
        <v>970</v>
      </c>
      <c r="D609" s="498">
        <v>12.76</v>
      </c>
      <c r="E609" s="499">
        <v>4.0999999999999996</v>
      </c>
      <c r="F609" s="499">
        <f t="shared" si="197"/>
        <v>12381.3</v>
      </c>
      <c r="G609" s="496">
        <v>42542</v>
      </c>
      <c r="H609" s="513">
        <v>378</v>
      </c>
      <c r="I609" s="498">
        <v>15.2</v>
      </c>
      <c r="J609" s="499">
        <v>0.13</v>
      </c>
      <c r="K609" s="499">
        <f t="shared" si="196"/>
        <v>5745.4699999999993</v>
      </c>
      <c r="L609" s="497"/>
      <c r="M609" s="499"/>
    </row>
    <row r="610" spans="1:13" x14ac:dyDescent="0.25">
      <c r="A610" s="497"/>
      <c r="B610" s="545">
        <v>42474</v>
      </c>
      <c r="C610" s="497">
        <v>420</v>
      </c>
      <c r="D610" s="498">
        <v>12.755000000000001</v>
      </c>
      <c r="E610" s="499">
        <v>0.34</v>
      </c>
      <c r="F610" s="499">
        <f t="shared" si="197"/>
        <v>5357.4400000000005</v>
      </c>
      <c r="G610" s="497"/>
      <c r="H610" s="513"/>
      <c r="I610" s="498"/>
      <c r="J610" s="499"/>
      <c r="K610" s="499"/>
      <c r="L610" s="497"/>
      <c r="M610" s="499"/>
    </row>
    <row r="611" spans="1:13" x14ac:dyDescent="0.25">
      <c r="A611" s="497"/>
      <c r="B611" s="545">
        <v>42475</v>
      </c>
      <c r="C611" s="497">
        <v>500</v>
      </c>
      <c r="D611" s="498">
        <v>13.02</v>
      </c>
      <c r="E611" s="499">
        <v>-1.75</v>
      </c>
      <c r="F611" s="499">
        <f t="shared" si="197"/>
        <v>6508.25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497"/>
      <c r="B612" s="545">
        <v>42485</v>
      </c>
      <c r="C612" s="497">
        <v>500</v>
      </c>
      <c r="D612" s="498">
        <v>13.95</v>
      </c>
      <c r="E612" s="499">
        <v>0</v>
      </c>
      <c r="F612" s="499">
        <f t="shared" si="197"/>
        <v>6975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497"/>
      <c r="B613" s="545">
        <v>42487</v>
      </c>
      <c r="C613" s="497">
        <v>600</v>
      </c>
      <c r="D613" s="498">
        <v>14.63</v>
      </c>
      <c r="E613" s="499">
        <v>0</v>
      </c>
      <c r="F613" s="499">
        <f t="shared" si="197"/>
        <v>8778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497"/>
      <c r="B614" s="545">
        <v>42488</v>
      </c>
      <c r="C614" s="497">
        <v>500</v>
      </c>
      <c r="D614" s="498">
        <v>14.52</v>
      </c>
      <c r="E614" s="499">
        <v>0</v>
      </c>
      <c r="F614" s="499">
        <f t="shared" si="197"/>
        <v>7260</v>
      </c>
      <c r="G614" s="497"/>
      <c r="H614" s="513"/>
      <c r="I614" s="498"/>
      <c r="J614" s="499"/>
      <c r="K614" s="499"/>
      <c r="L614" s="497"/>
      <c r="M614" s="499"/>
    </row>
    <row r="615" spans="1:13" ht="30" x14ac:dyDescent="0.25">
      <c r="A615" s="615" t="s">
        <v>197</v>
      </c>
      <c r="B615" s="545">
        <v>42489</v>
      </c>
      <c r="C615" s="497">
        <v>500</v>
      </c>
      <c r="D615" s="498">
        <v>14.35</v>
      </c>
      <c r="E615" s="499">
        <v>0</v>
      </c>
      <c r="F615" s="499">
        <f t="shared" si="197"/>
        <v>7175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615"/>
      <c r="B616" s="545">
        <v>42489</v>
      </c>
      <c r="C616" s="497">
        <v>500</v>
      </c>
      <c r="D616" s="498">
        <v>14.15</v>
      </c>
      <c r="E616" s="499">
        <v>0</v>
      </c>
      <c r="F616" s="499">
        <f t="shared" si="197"/>
        <v>7075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615"/>
      <c r="B617" s="545">
        <v>42489</v>
      </c>
      <c r="C617" s="497">
        <v>1000</v>
      </c>
      <c r="D617" s="498">
        <v>13.92</v>
      </c>
      <c r="E617" s="499">
        <v>0</v>
      </c>
      <c r="F617" s="499">
        <f t="shared" si="197"/>
        <v>13920</v>
      </c>
      <c r="G617" s="497"/>
      <c r="H617" s="513"/>
      <c r="I617" s="498"/>
      <c r="J617" s="499"/>
      <c r="K617" s="499"/>
      <c r="L617" s="497"/>
      <c r="M617" s="499"/>
    </row>
    <row r="618" spans="1:13" x14ac:dyDescent="0.25">
      <c r="A618" s="615"/>
      <c r="B618" s="545">
        <v>42489</v>
      </c>
      <c r="C618" s="497">
        <v>1000</v>
      </c>
      <c r="D618" s="498">
        <v>13.8</v>
      </c>
      <c r="E618" s="499">
        <v>0</v>
      </c>
      <c r="F618" s="499">
        <f t="shared" si="197"/>
        <v>13800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497"/>
      <c r="B619" s="545">
        <v>42492</v>
      </c>
      <c r="C619" s="497">
        <v>1500</v>
      </c>
      <c r="D619" s="498">
        <v>13.25</v>
      </c>
      <c r="E619" s="499">
        <v>0</v>
      </c>
      <c r="F619" s="499">
        <f t="shared" si="197"/>
        <v>19875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497"/>
      <c r="B620" s="545">
        <v>42492</v>
      </c>
      <c r="C620" s="497">
        <v>500</v>
      </c>
      <c r="D620" s="498">
        <v>13.6</v>
      </c>
      <c r="E620" s="499">
        <v>0</v>
      </c>
      <c r="F620" s="499">
        <f t="shared" si="197"/>
        <v>6800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42493</v>
      </c>
      <c r="C621" s="497">
        <v>322</v>
      </c>
      <c r="D621" s="498">
        <v>12.85</v>
      </c>
      <c r="E621" s="499">
        <v>0</v>
      </c>
      <c r="F621" s="499">
        <f t="shared" si="197"/>
        <v>4137.7</v>
      </c>
      <c r="G621" s="497"/>
      <c r="H621" s="513"/>
      <c r="I621" s="498"/>
      <c r="J621" s="499"/>
      <c r="K621" s="499"/>
      <c r="L621" s="497"/>
      <c r="M621" s="499"/>
    </row>
    <row r="622" spans="1:13" ht="30" x14ac:dyDescent="0.25">
      <c r="A622" s="599" t="s">
        <v>201</v>
      </c>
      <c r="B622" s="545">
        <v>42494</v>
      </c>
      <c r="C622" s="497">
        <v>1000</v>
      </c>
      <c r="D622" s="498">
        <v>12.25</v>
      </c>
      <c r="E622" s="499">
        <v>0</v>
      </c>
      <c r="F622" s="499">
        <f t="shared" si="197"/>
        <v>12250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599"/>
      <c r="B623" s="545">
        <v>42494</v>
      </c>
      <c r="C623" s="497">
        <v>500</v>
      </c>
      <c r="D623" s="498">
        <v>12.53</v>
      </c>
      <c r="E623" s="499">
        <v>0</v>
      </c>
      <c r="F623" s="499">
        <f t="shared" si="197"/>
        <v>6265</v>
      </c>
      <c r="G623" s="497"/>
      <c r="H623" s="513"/>
      <c r="I623" s="498"/>
      <c r="J623" s="499"/>
      <c r="K623" s="499"/>
      <c r="L623" s="497"/>
      <c r="M623" s="499"/>
    </row>
    <row r="624" spans="1:13" x14ac:dyDescent="0.25">
      <c r="A624" s="599"/>
      <c r="B624" s="545">
        <v>42494</v>
      </c>
      <c r="C624" s="497">
        <v>500</v>
      </c>
      <c r="D624" s="498">
        <v>12.65</v>
      </c>
      <c r="E624" s="499">
        <v>0</v>
      </c>
      <c r="F624" s="499">
        <f t="shared" si="197"/>
        <v>6325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497"/>
      <c r="B625" s="545">
        <v>42495</v>
      </c>
      <c r="C625" s="497">
        <v>1000</v>
      </c>
      <c r="D625" s="498">
        <v>11.95</v>
      </c>
      <c r="E625" s="499">
        <v>0</v>
      </c>
      <c r="F625" s="499">
        <f t="shared" si="197"/>
        <v>11950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497"/>
      <c r="B626" s="545">
        <v>42499</v>
      </c>
      <c r="C626" s="497">
        <v>500</v>
      </c>
      <c r="D626" s="498">
        <v>11.48</v>
      </c>
      <c r="E626" s="499">
        <v>0</v>
      </c>
      <c r="F626" s="499">
        <f t="shared" si="197"/>
        <v>5740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42499</v>
      </c>
      <c r="C627" s="497">
        <v>500</v>
      </c>
      <c r="D627" s="498">
        <v>11.32</v>
      </c>
      <c r="E627" s="499">
        <v>0</v>
      </c>
      <c r="F627" s="499">
        <f t="shared" si="197"/>
        <v>5660</v>
      </c>
      <c r="G627" s="497"/>
      <c r="H627" s="513"/>
      <c r="I627" s="498"/>
      <c r="J627" s="499"/>
      <c r="K627" s="499"/>
      <c r="L627" s="497"/>
      <c r="M627" s="499"/>
    </row>
    <row r="628" spans="1:13" ht="30" x14ac:dyDescent="0.25">
      <c r="A628" s="615" t="s">
        <v>204</v>
      </c>
      <c r="B628" s="545">
        <v>42502</v>
      </c>
      <c r="C628" s="497">
        <v>500</v>
      </c>
      <c r="D628" s="498">
        <v>12.38</v>
      </c>
      <c r="E628" s="499">
        <v>0</v>
      </c>
      <c r="F628" s="499">
        <f t="shared" si="197"/>
        <v>6190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615"/>
      <c r="B629" s="545">
        <v>42502</v>
      </c>
      <c r="C629" s="497">
        <v>500</v>
      </c>
      <c r="D629" s="498">
        <v>12.3</v>
      </c>
      <c r="E629" s="499">
        <v>0</v>
      </c>
      <c r="F629" s="499">
        <f t="shared" si="197"/>
        <v>6150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615"/>
      <c r="B630" s="545">
        <v>42502</v>
      </c>
      <c r="C630" s="497">
        <v>500</v>
      </c>
      <c r="D630" s="498">
        <v>12.23</v>
      </c>
      <c r="E630" s="499">
        <v>0</v>
      </c>
      <c r="F630" s="499">
        <f t="shared" si="197"/>
        <v>6115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42503</v>
      </c>
      <c r="C631" s="497">
        <v>500</v>
      </c>
      <c r="D631" s="498">
        <v>12.41</v>
      </c>
      <c r="E631" s="499">
        <v>0</v>
      </c>
      <c r="F631" s="499">
        <f t="shared" si="197"/>
        <v>6205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42506</v>
      </c>
      <c r="C632" s="497">
        <v>300</v>
      </c>
      <c r="D632" s="498">
        <v>12.8</v>
      </c>
      <c r="E632" s="499">
        <v>0</v>
      </c>
      <c r="F632" s="499">
        <f t="shared" si="197"/>
        <v>3840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42514</v>
      </c>
      <c r="C633" s="497">
        <v>500</v>
      </c>
      <c r="D633" s="498">
        <v>13.02</v>
      </c>
      <c r="E633" s="499">
        <v>-1.65</v>
      </c>
      <c r="F633" s="499">
        <f t="shared" ref="F633:F696" si="198">C633*D633+E633</f>
        <v>6508.35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42515</v>
      </c>
      <c r="C634" s="497">
        <v>500</v>
      </c>
      <c r="D634" s="498">
        <v>13.45</v>
      </c>
      <c r="E634" s="499">
        <v>1</v>
      </c>
      <c r="F634" s="499">
        <f t="shared" si="198"/>
        <v>6726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42516</v>
      </c>
      <c r="C635" s="497">
        <v>500</v>
      </c>
      <c r="D635" s="498">
        <v>13.28</v>
      </c>
      <c r="E635" s="499">
        <v>-1.04</v>
      </c>
      <c r="F635" s="499">
        <f t="shared" si="198"/>
        <v>6638.96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42517</v>
      </c>
      <c r="C636" s="497">
        <v>500</v>
      </c>
      <c r="D636" s="498">
        <v>12.79</v>
      </c>
      <c r="E636" s="499">
        <v>0</v>
      </c>
      <c r="F636" s="499">
        <f t="shared" si="198"/>
        <v>6395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42524</v>
      </c>
      <c r="C637" s="497">
        <v>400</v>
      </c>
      <c r="D637" s="498">
        <v>13.28</v>
      </c>
      <c r="E637" s="499">
        <v>0</v>
      </c>
      <c r="F637" s="499">
        <f t="shared" si="198"/>
        <v>5312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42529</v>
      </c>
      <c r="C638" s="497">
        <v>500</v>
      </c>
      <c r="D638" s="498">
        <v>14.59</v>
      </c>
      <c r="E638" s="499">
        <v>0</v>
      </c>
      <c r="F638" s="499">
        <f t="shared" si="198"/>
        <v>7295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42531</v>
      </c>
      <c r="C639" s="497">
        <v>800</v>
      </c>
      <c r="D639" s="498">
        <v>13.79</v>
      </c>
      <c r="E639" s="499">
        <v>0</v>
      </c>
      <c r="F639" s="499">
        <f t="shared" si="198"/>
        <v>11032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42531</v>
      </c>
      <c r="C640" s="497">
        <v>300</v>
      </c>
      <c r="D640" s="498">
        <v>13.4</v>
      </c>
      <c r="E640" s="499">
        <v>0</v>
      </c>
      <c r="F640" s="499">
        <f t="shared" si="198"/>
        <v>4020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497"/>
      <c r="B641" s="545">
        <v>42535</v>
      </c>
      <c r="C641" s="497">
        <v>400</v>
      </c>
      <c r="D641" s="498">
        <v>12.85</v>
      </c>
      <c r="E641" s="499">
        <v>0</v>
      </c>
      <c r="F641" s="499">
        <f t="shared" si="198"/>
        <v>5140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42537</v>
      </c>
      <c r="C642" s="497">
        <v>400</v>
      </c>
      <c r="D642" s="498">
        <v>12.43</v>
      </c>
      <c r="E642" s="499">
        <v>-0.04</v>
      </c>
      <c r="F642" s="499">
        <f t="shared" si="198"/>
        <v>4971.96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42538</v>
      </c>
      <c r="C643" s="497">
        <v>500</v>
      </c>
      <c r="D643" s="498">
        <v>13.14</v>
      </c>
      <c r="E643" s="499">
        <v>0</v>
      </c>
      <c r="F643" s="499">
        <f t="shared" si="198"/>
        <v>6570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42543</v>
      </c>
      <c r="C644" s="497">
        <v>500</v>
      </c>
      <c r="D644" s="498">
        <v>14.75</v>
      </c>
      <c r="E644" s="499">
        <v>0</v>
      </c>
      <c r="F644" s="499">
        <f t="shared" si="198"/>
        <v>7375</v>
      </c>
      <c r="G644" s="496">
        <v>42544</v>
      </c>
      <c r="H644" s="513">
        <v>500</v>
      </c>
      <c r="I644" s="498">
        <v>15.24</v>
      </c>
      <c r="J644" s="499">
        <v>0.17</v>
      </c>
      <c r="K644" s="499">
        <f>H644*I644-J644</f>
        <v>7619.83</v>
      </c>
      <c r="L644" s="497"/>
      <c r="M644" s="499"/>
    </row>
    <row r="645" spans="1:13" x14ac:dyDescent="0.25">
      <c r="A645" s="497"/>
      <c r="B645" s="545">
        <v>42545</v>
      </c>
      <c r="C645" s="497">
        <v>878</v>
      </c>
      <c r="D645" s="498">
        <v>14.41</v>
      </c>
      <c r="E645" s="499">
        <v>0</v>
      </c>
      <c r="F645" s="499">
        <f t="shared" si="198"/>
        <v>12651.98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42545</v>
      </c>
      <c r="C646" s="497">
        <v>335</v>
      </c>
      <c r="D646" s="498">
        <v>14.08</v>
      </c>
      <c r="E646" s="499">
        <v>0</v>
      </c>
      <c r="F646" s="499">
        <f t="shared" si="198"/>
        <v>4716.8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42548</v>
      </c>
      <c r="C647" s="497">
        <v>965</v>
      </c>
      <c r="D647" s="498">
        <v>13.81</v>
      </c>
      <c r="E647" s="499">
        <v>0</v>
      </c>
      <c r="F647" s="499">
        <f t="shared" si="198"/>
        <v>13326.65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42548</v>
      </c>
      <c r="C648" s="497">
        <v>300</v>
      </c>
      <c r="D648" s="498">
        <v>13.58</v>
      </c>
      <c r="E648" s="499">
        <v>0</v>
      </c>
      <c r="F648" s="499">
        <f t="shared" si="198"/>
        <v>4074</v>
      </c>
      <c r="G648" s="496">
        <v>42549</v>
      </c>
      <c r="H648" s="513">
        <v>1100</v>
      </c>
      <c r="I648" s="498">
        <v>14.68</v>
      </c>
      <c r="J648" s="499">
        <v>0.35</v>
      </c>
      <c r="K648" s="499">
        <f t="shared" ref="K648:K733" si="199">H648*I648-J648</f>
        <v>16147.65</v>
      </c>
      <c r="L648" s="497"/>
      <c r="M648" s="499"/>
    </row>
    <row r="649" spans="1:13" ht="45" x14ac:dyDescent="0.25">
      <c r="A649" s="497"/>
      <c r="B649" s="545">
        <v>42556</v>
      </c>
      <c r="C649" s="497">
        <v>2178</v>
      </c>
      <c r="D649" s="498">
        <v>15.08</v>
      </c>
      <c r="E649" s="499">
        <v>0</v>
      </c>
      <c r="F649" s="499">
        <f t="shared" si="198"/>
        <v>32844.239999999998</v>
      </c>
      <c r="G649" s="611" t="s">
        <v>228</v>
      </c>
      <c r="H649" s="513">
        <v>500</v>
      </c>
      <c r="I649" s="498">
        <v>15.48</v>
      </c>
      <c r="J649" s="499">
        <v>0.17</v>
      </c>
      <c r="K649" s="499">
        <f t="shared" si="199"/>
        <v>7739.83</v>
      </c>
      <c r="L649" s="497"/>
      <c r="M649" s="499"/>
    </row>
    <row r="650" spans="1:13" x14ac:dyDescent="0.25">
      <c r="A650" s="497"/>
      <c r="B650" s="545">
        <v>42556</v>
      </c>
      <c r="C650" s="497">
        <v>500</v>
      </c>
      <c r="D650" s="498">
        <v>14.62</v>
      </c>
      <c r="E650" s="499">
        <v>0</v>
      </c>
      <c r="F650" s="499">
        <f t="shared" si="198"/>
        <v>7310</v>
      </c>
      <c r="G650" s="611"/>
      <c r="H650" s="513">
        <v>378</v>
      </c>
      <c r="I650" s="498">
        <v>15.65</v>
      </c>
      <c r="J650" s="499">
        <v>0.13</v>
      </c>
      <c r="K650" s="499">
        <f t="shared" si="199"/>
        <v>5915.57</v>
      </c>
      <c r="L650" s="497"/>
      <c r="M650" s="499"/>
    </row>
    <row r="651" spans="1:13" x14ac:dyDescent="0.25">
      <c r="A651" s="497"/>
      <c r="B651" s="545">
        <v>42557</v>
      </c>
      <c r="C651" s="497">
        <v>500</v>
      </c>
      <c r="D651" s="498">
        <v>14.78</v>
      </c>
      <c r="E651" s="499">
        <v>0</v>
      </c>
      <c r="F651" s="499">
        <f t="shared" si="198"/>
        <v>7390</v>
      </c>
      <c r="G651" s="611"/>
      <c r="H651" s="513">
        <v>500</v>
      </c>
      <c r="I651" s="498">
        <v>15.51</v>
      </c>
      <c r="J651" s="499">
        <v>0.17</v>
      </c>
      <c r="K651" s="499">
        <f t="shared" si="199"/>
        <v>7754.83</v>
      </c>
      <c r="L651" s="497"/>
      <c r="M651" s="499"/>
    </row>
    <row r="652" spans="1:13" x14ac:dyDescent="0.25">
      <c r="A652" s="497"/>
      <c r="B652" s="597">
        <v>42564</v>
      </c>
      <c r="C652" s="497">
        <v>320</v>
      </c>
      <c r="D652" s="498">
        <v>15.48</v>
      </c>
      <c r="E652" s="499">
        <v>0</v>
      </c>
      <c r="F652" s="499">
        <f t="shared" si="198"/>
        <v>4953.6000000000004</v>
      </c>
      <c r="G652" s="611"/>
      <c r="H652" s="513">
        <v>800</v>
      </c>
      <c r="I652" s="498">
        <v>15.78</v>
      </c>
      <c r="J652" s="499">
        <v>0.28000000000000003</v>
      </c>
      <c r="K652" s="499">
        <f t="shared" si="199"/>
        <v>12623.72</v>
      </c>
      <c r="L652" s="497"/>
      <c r="M652" s="499"/>
    </row>
    <row r="653" spans="1:13" x14ac:dyDescent="0.25">
      <c r="A653" s="598"/>
      <c r="B653" s="597">
        <v>42564</v>
      </c>
      <c r="C653" s="497">
        <v>160</v>
      </c>
      <c r="D653" s="498">
        <v>15.48</v>
      </c>
      <c r="E653" s="499">
        <v>0</v>
      </c>
      <c r="F653" s="499">
        <f t="shared" si="198"/>
        <v>2476.8000000000002</v>
      </c>
      <c r="G653" s="496">
        <v>42557</v>
      </c>
      <c r="H653" s="513">
        <v>500</v>
      </c>
      <c r="I653" s="498">
        <v>14.92</v>
      </c>
      <c r="J653" s="499">
        <v>0.16</v>
      </c>
      <c r="K653" s="499">
        <f t="shared" si="199"/>
        <v>7459.84</v>
      </c>
      <c r="L653" s="497"/>
      <c r="M653" s="499"/>
    </row>
    <row r="654" spans="1:13" x14ac:dyDescent="0.25">
      <c r="A654" s="598"/>
      <c r="B654" s="545">
        <v>42570</v>
      </c>
      <c r="C654" s="497">
        <v>200</v>
      </c>
      <c r="D654" s="498">
        <v>15.18</v>
      </c>
      <c r="E654" s="499">
        <v>0</v>
      </c>
      <c r="F654" s="499">
        <f t="shared" si="198"/>
        <v>3036</v>
      </c>
      <c r="G654" s="496">
        <v>42564</v>
      </c>
      <c r="H654" s="513">
        <v>420</v>
      </c>
      <c r="I654" s="498">
        <v>15.68</v>
      </c>
      <c r="J654" s="499">
        <v>0.14000000000000001</v>
      </c>
      <c r="K654" s="499">
        <f t="shared" si="199"/>
        <v>6585.4599999999991</v>
      </c>
      <c r="L654" s="497"/>
      <c r="M654" s="499"/>
    </row>
    <row r="655" spans="1:13" x14ac:dyDescent="0.25">
      <c r="A655" s="598"/>
      <c r="B655" s="545">
        <v>42570</v>
      </c>
      <c r="C655" s="497">
        <v>200</v>
      </c>
      <c r="D655" s="498">
        <v>14.68</v>
      </c>
      <c r="E655" s="499">
        <v>0</v>
      </c>
      <c r="F655" s="499">
        <f t="shared" si="198"/>
        <v>2936</v>
      </c>
      <c r="G655" s="496">
        <v>42571</v>
      </c>
      <c r="H655" s="513">
        <v>200</v>
      </c>
      <c r="I655" s="498">
        <v>14.82</v>
      </c>
      <c r="J655" s="499">
        <v>0.06</v>
      </c>
      <c r="K655" s="499">
        <f t="shared" si="199"/>
        <v>2963.94</v>
      </c>
      <c r="L655" s="497"/>
      <c r="M655" s="499"/>
    </row>
    <row r="656" spans="1:13" x14ac:dyDescent="0.25">
      <c r="A656" s="497"/>
      <c r="B656" s="545">
        <v>42571</v>
      </c>
      <c r="C656" s="497">
        <v>200</v>
      </c>
      <c r="D656" s="498">
        <v>14.33</v>
      </c>
      <c r="E656" s="499">
        <v>-1</v>
      </c>
      <c r="F656" s="499">
        <f t="shared" si="198"/>
        <v>2865</v>
      </c>
      <c r="G656" s="496">
        <v>42572</v>
      </c>
      <c r="H656" s="513">
        <v>200</v>
      </c>
      <c r="I656" s="498">
        <v>14.8</v>
      </c>
      <c r="J656" s="499">
        <v>0.06</v>
      </c>
      <c r="K656" s="499">
        <f t="shared" si="199"/>
        <v>2959.94</v>
      </c>
      <c r="L656" s="497"/>
      <c r="M656" s="499"/>
    </row>
    <row r="657" spans="1:13" x14ac:dyDescent="0.25">
      <c r="A657" s="497"/>
      <c r="B657" s="545">
        <v>42572</v>
      </c>
      <c r="C657" s="497">
        <v>60</v>
      </c>
      <c r="D657" s="498">
        <v>14.58</v>
      </c>
      <c r="E657" s="499">
        <v>0</v>
      </c>
      <c r="F657" s="499">
        <f t="shared" si="198"/>
        <v>874.8</v>
      </c>
      <c r="G657" s="496">
        <v>42577</v>
      </c>
      <c r="H657" s="513">
        <v>200</v>
      </c>
      <c r="I657" s="498">
        <v>13.78</v>
      </c>
      <c r="J657" s="499">
        <v>0.06</v>
      </c>
      <c r="K657" s="499">
        <f t="shared" si="199"/>
        <v>2755.94</v>
      </c>
      <c r="L657" s="497"/>
      <c r="M657" s="499"/>
    </row>
    <row r="658" spans="1:13" x14ac:dyDescent="0.25">
      <c r="A658" s="497"/>
      <c r="B658" s="545">
        <v>42572</v>
      </c>
      <c r="C658" s="497">
        <v>140</v>
      </c>
      <c r="D658" s="498">
        <v>14.65</v>
      </c>
      <c r="E658" s="499">
        <v>0</v>
      </c>
      <c r="F658" s="499">
        <f t="shared" si="198"/>
        <v>2051</v>
      </c>
      <c r="G658" s="496">
        <v>42580</v>
      </c>
      <c r="H658" s="513">
        <v>200</v>
      </c>
      <c r="I658" s="498">
        <v>13.224</v>
      </c>
      <c r="J658" s="499">
        <v>0.08</v>
      </c>
      <c r="K658" s="499">
        <f t="shared" si="199"/>
        <v>2644.7200000000003</v>
      </c>
      <c r="L658" s="497"/>
      <c r="M658" s="499"/>
    </row>
    <row r="659" spans="1:13" x14ac:dyDescent="0.25">
      <c r="A659" s="497"/>
      <c r="B659" s="545">
        <v>42573</v>
      </c>
      <c r="C659" s="497">
        <v>140</v>
      </c>
      <c r="D659" s="498">
        <v>14.08</v>
      </c>
      <c r="E659" s="499">
        <v>0</v>
      </c>
      <c r="F659" s="499">
        <f t="shared" si="198"/>
        <v>1971.2</v>
      </c>
      <c r="G659" s="496">
        <v>42580</v>
      </c>
      <c r="H659" s="513">
        <v>200</v>
      </c>
      <c r="I659" s="498">
        <v>13.58</v>
      </c>
      <c r="J659" s="499">
        <v>0.06</v>
      </c>
      <c r="K659" s="499">
        <f t="shared" si="199"/>
        <v>2715.94</v>
      </c>
      <c r="L659" s="497"/>
      <c r="M659" s="499"/>
    </row>
    <row r="660" spans="1:13" x14ac:dyDescent="0.25">
      <c r="A660" s="497"/>
      <c r="B660" s="545">
        <v>42576</v>
      </c>
      <c r="C660" s="497">
        <v>200</v>
      </c>
      <c r="D660" s="498">
        <v>13.55</v>
      </c>
      <c r="E660" s="499">
        <v>0</v>
      </c>
      <c r="F660" s="499">
        <f t="shared" si="198"/>
        <v>2710</v>
      </c>
      <c r="G660" s="496">
        <v>42586</v>
      </c>
      <c r="H660" s="513">
        <v>400</v>
      </c>
      <c r="I660" s="498">
        <v>13.78</v>
      </c>
      <c r="J660" s="499">
        <v>0.12</v>
      </c>
      <c r="K660" s="499">
        <f t="shared" si="199"/>
        <v>5511.88</v>
      </c>
      <c r="L660" s="497"/>
      <c r="M660" s="499"/>
    </row>
    <row r="661" spans="1:13" x14ac:dyDescent="0.25">
      <c r="A661" s="497"/>
      <c r="B661" s="545">
        <v>42578</v>
      </c>
      <c r="C661" s="497">
        <v>200</v>
      </c>
      <c r="D661" s="498">
        <v>13.18</v>
      </c>
      <c r="E661" s="499">
        <v>0</v>
      </c>
      <c r="F661" s="499">
        <f t="shared" si="198"/>
        <v>2636</v>
      </c>
      <c r="G661" s="496">
        <v>42586</v>
      </c>
      <c r="H661" s="513">
        <v>400</v>
      </c>
      <c r="I661" s="498">
        <v>13.72</v>
      </c>
      <c r="J661" s="499">
        <v>0.12</v>
      </c>
      <c r="K661" s="499">
        <f t="shared" si="199"/>
        <v>5487.88</v>
      </c>
      <c r="L661" s="497"/>
      <c r="M661" s="499"/>
    </row>
    <row r="662" spans="1:13" x14ac:dyDescent="0.25">
      <c r="A662" s="497"/>
      <c r="B662" s="545">
        <v>42580</v>
      </c>
      <c r="C662" s="497">
        <v>200</v>
      </c>
      <c r="D662" s="498">
        <v>13.15</v>
      </c>
      <c r="E662" s="499">
        <v>0</v>
      </c>
      <c r="F662" s="499">
        <f t="shared" si="198"/>
        <v>2630</v>
      </c>
      <c r="G662" s="496">
        <v>42586</v>
      </c>
      <c r="H662" s="513">
        <v>140</v>
      </c>
      <c r="I662" s="498">
        <v>13.88</v>
      </c>
      <c r="J662" s="499">
        <v>0.04</v>
      </c>
      <c r="K662" s="499">
        <f t="shared" si="199"/>
        <v>1943.16</v>
      </c>
      <c r="L662" s="497"/>
      <c r="M662" s="499"/>
    </row>
    <row r="663" spans="1:13" x14ac:dyDescent="0.25">
      <c r="A663" s="497"/>
      <c r="B663" s="545">
        <v>42583</v>
      </c>
      <c r="C663" s="594">
        <v>20</v>
      </c>
      <c r="D663" s="498">
        <v>13.02</v>
      </c>
      <c r="E663" s="499">
        <v>0</v>
      </c>
      <c r="F663" s="499">
        <f t="shared" si="198"/>
        <v>260.39999999999998</v>
      </c>
      <c r="G663" s="496">
        <v>42593</v>
      </c>
      <c r="H663" s="513">
        <v>460</v>
      </c>
      <c r="I663" s="498">
        <v>14.59</v>
      </c>
      <c r="J663" s="499">
        <v>0.15</v>
      </c>
      <c r="K663" s="499">
        <f t="shared" si="199"/>
        <v>6711.25</v>
      </c>
      <c r="L663" s="497"/>
      <c r="M663" s="499"/>
    </row>
    <row r="664" spans="1:13" x14ac:dyDescent="0.25">
      <c r="A664" s="497"/>
      <c r="B664" s="545">
        <v>42583</v>
      </c>
      <c r="C664" s="497">
        <v>180</v>
      </c>
      <c r="D664" s="498">
        <v>13.02</v>
      </c>
      <c r="E664" s="499">
        <v>0</v>
      </c>
      <c r="F664" s="499">
        <f t="shared" si="198"/>
        <v>2343.6</v>
      </c>
      <c r="G664" s="496">
        <v>42594</v>
      </c>
      <c r="H664" s="513">
        <v>500</v>
      </c>
      <c r="I664" s="498">
        <v>14.88</v>
      </c>
      <c r="J664" s="499">
        <v>0.16</v>
      </c>
      <c r="K664" s="499">
        <f t="shared" si="199"/>
        <v>7439.84</v>
      </c>
      <c r="L664" s="497"/>
      <c r="M664" s="499"/>
    </row>
    <row r="665" spans="1:13" x14ac:dyDescent="0.25">
      <c r="A665" s="497"/>
      <c r="B665" s="545">
        <v>42584</v>
      </c>
      <c r="C665" s="497">
        <v>120</v>
      </c>
      <c r="D665" s="498">
        <v>12.68</v>
      </c>
      <c r="E665" s="499">
        <v>0</v>
      </c>
      <c r="F665" s="499">
        <f t="shared" si="198"/>
        <v>1521.6</v>
      </c>
      <c r="G665" s="496">
        <v>42598</v>
      </c>
      <c r="H665" s="513">
        <v>500</v>
      </c>
      <c r="I665" s="498">
        <v>15.18</v>
      </c>
      <c r="J665" s="499">
        <v>0.17</v>
      </c>
      <c r="K665" s="499">
        <f t="shared" si="199"/>
        <v>7589.83</v>
      </c>
      <c r="L665" s="497"/>
      <c r="M665" s="499"/>
    </row>
    <row r="666" spans="1:13" x14ac:dyDescent="0.25">
      <c r="A666" s="497"/>
      <c r="B666" s="545">
        <v>42584</v>
      </c>
      <c r="C666" s="497">
        <v>80</v>
      </c>
      <c r="D666" s="498">
        <v>12.68</v>
      </c>
      <c r="E666" s="499">
        <v>0</v>
      </c>
      <c r="F666" s="499">
        <f t="shared" si="198"/>
        <v>1014.4</v>
      </c>
      <c r="G666" s="496">
        <v>42599</v>
      </c>
      <c r="H666" s="513">
        <v>500</v>
      </c>
      <c r="I666" s="498">
        <v>15.18</v>
      </c>
      <c r="J666" s="499">
        <v>0.17</v>
      </c>
      <c r="K666" s="499">
        <f t="shared" si="199"/>
        <v>7589.83</v>
      </c>
      <c r="L666" s="497"/>
      <c r="M666" s="499"/>
    </row>
    <row r="667" spans="1:13" x14ac:dyDescent="0.25">
      <c r="A667" s="497"/>
      <c r="B667" s="545">
        <v>42585</v>
      </c>
      <c r="C667" s="497">
        <v>242</v>
      </c>
      <c r="D667" s="498">
        <v>13.38</v>
      </c>
      <c r="E667" s="499">
        <v>0</v>
      </c>
      <c r="F667" s="499">
        <f t="shared" si="198"/>
        <v>3237.96</v>
      </c>
      <c r="G667" s="496">
        <v>42599</v>
      </c>
      <c r="H667" s="513">
        <v>500</v>
      </c>
      <c r="I667" s="498">
        <v>15.41</v>
      </c>
      <c r="J667" s="499">
        <v>0.17</v>
      </c>
      <c r="K667" s="499">
        <f t="shared" si="199"/>
        <v>7704.83</v>
      </c>
      <c r="L667" s="497"/>
      <c r="M667" s="499"/>
    </row>
    <row r="668" spans="1:13" x14ac:dyDescent="0.25">
      <c r="A668" s="497"/>
      <c r="B668" s="545">
        <v>42585</v>
      </c>
      <c r="C668" s="497">
        <v>158</v>
      </c>
      <c r="D668" s="498">
        <v>13.38</v>
      </c>
      <c r="E668" s="499">
        <v>0</v>
      </c>
      <c r="F668" s="499">
        <f t="shared" si="198"/>
        <v>2114.04</v>
      </c>
      <c r="G668" s="496">
        <v>42599</v>
      </c>
      <c r="H668" s="513">
        <v>500</v>
      </c>
      <c r="I668" s="498">
        <v>15.65</v>
      </c>
      <c r="J668" s="499">
        <v>0.17</v>
      </c>
      <c r="K668" s="499">
        <f t="shared" si="199"/>
        <v>7824.83</v>
      </c>
      <c r="L668" s="497"/>
      <c r="M668" s="499"/>
    </row>
    <row r="669" spans="1:13" ht="45" x14ac:dyDescent="0.25">
      <c r="A669" s="497"/>
      <c r="B669" s="545">
        <v>42594</v>
      </c>
      <c r="C669" s="497">
        <v>500</v>
      </c>
      <c r="D669" s="498">
        <v>14.65</v>
      </c>
      <c r="E669" s="499">
        <v>0</v>
      </c>
      <c r="F669" s="499">
        <f t="shared" si="198"/>
        <v>7325</v>
      </c>
      <c r="G669" s="616" t="s">
        <v>256</v>
      </c>
      <c r="H669" s="513">
        <v>500</v>
      </c>
      <c r="I669" s="498">
        <v>16.18</v>
      </c>
      <c r="J669" s="499">
        <v>0.18</v>
      </c>
      <c r="K669" s="499">
        <f t="shared" si="199"/>
        <v>8089.82</v>
      </c>
      <c r="L669" s="497"/>
      <c r="M669" s="499"/>
    </row>
    <row r="670" spans="1:13" x14ac:dyDescent="0.25">
      <c r="A670" s="497"/>
      <c r="B670" s="545">
        <v>42599</v>
      </c>
      <c r="C670" s="497">
        <v>242</v>
      </c>
      <c r="D670" s="498">
        <v>14.95</v>
      </c>
      <c r="E670" s="499">
        <v>0</v>
      </c>
      <c r="F670" s="499">
        <f t="shared" si="198"/>
        <v>3617.8999999999996</v>
      </c>
      <c r="G670" s="616"/>
      <c r="H670" s="513">
        <v>500</v>
      </c>
      <c r="I670" s="498">
        <v>16.38</v>
      </c>
      <c r="J670" s="499">
        <v>0.18</v>
      </c>
      <c r="K670" s="499">
        <f t="shared" si="199"/>
        <v>8189.8199999999988</v>
      </c>
      <c r="L670" s="497"/>
      <c r="M670" s="499"/>
    </row>
    <row r="671" spans="1:13" x14ac:dyDescent="0.25">
      <c r="A671" s="497"/>
      <c r="B671" s="545">
        <v>42599</v>
      </c>
      <c r="C671" s="497">
        <v>200</v>
      </c>
      <c r="D671" s="498">
        <v>14.95</v>
      </c>
      <c r="E671" s="499">
        <v>0</v>
      </c>
      <c r="F671" s="499">
        <f t="shared" si="198"/>
        <v>2990</v>
      </c>
      <c r="G671" s="616"/>
      <c r="H671" s="513">
        <v>178</v>
      </c>
      <c r="I671" s="498">
        <v>16.5</v>
      </c>
      <c r="J671" s="499">
        <v>0.06</v>
      </c>
      <c r="K671" s="499">
        <f t="shared" si="199"/>
        <v>2936.94</v>
      </c>
      <c r="L671" s="497"/>
      <c r="M671" s="499"/>
    </row>
    <row r="672" spans="1:13" x14ac:dyDescent="0.25">
      <c r="A672" s="497"/>
      <c r="B672" s="545">
        <v>42599</v>
      </c>
      <c r="C672" s="497">
        <v>36</v>
      </c>
      <c r="D672" s="498">
        <v>14.95</v>
      </c>
      <c r="E672" s="499">
        <v>0</v>
      </c>
      <c r="F672" s="499">
        <f t="shared" si="198"/>
        <v>538.19999999999993</v>
      </c>
      <c r="G672" s="616"/>
      <c r="H672" s="513">
        <v>500</v>
      </c>
      <c r="I672" s="498">
        <v>16.72</v>
      </c>
      <c r="J672" s="499">
        <v>0.18</v>
      </c>
      <c r="K672" s="499">
        <f t="shared" si="199"/>
        <v>8359.82</v>
      </c>
      <c r="L672" s="497"/>
      <c r="M672" s="499"/>
    </row>
    <row r="673" spans="1:13" x14ac:dyDescent="0.25">
      <c r="A673" s="497"/>
      <c r="B673" s="545">
        <v>42599</v>
      </c>
      <c r="C673" s="497">
        <v>22</v>
      </c>
      <c r="D673" s="498">
        <v>14.95</v>
      </c>
      <c r="E673" s="499">
        <v>0</v>
      </c>
      <c r="F673" s="499">
        <f t="shared" si="198"/>
        <v>328.9</v>
      </c>
      <c r="G673" s="496">
        <v>42601</v>
      </c>
      <c r="H673" s="513">
        <v>500</v>
      </c>
      <c r="I673" s="498">
        <v>16.82</v>
      </c>
      <c r="J673" s="499">
        <v>0.18</v>
      </c>
      <c r="K673" s="499">
        <f t="shared" si="199"/>
        <v>8409.82</v>
      </c>
      <c r="L673" s="497"/>
      <c r="M673" s="499"/>
    </row>
    <row r="674" spans="1:13" x14ac:dyDescent="0.25">
      <c r="A674" s="497"/>
      <c r="B674" s="545">
        <v>42604</v>
      </c>
      <c r="C674" s="497">
        <v>1000</v>
      </c>
      <c r="D674" s="498">
        <v>15.68</v>
      </c>
      <c r="E674" s="499">
        <v>0</v>
      </c>
      <c r="F674" s="499">
        <f t="shared" si="198"/>
        <v>15680</v>
      </c>
      <c r="G674" s="496">
        <v>42605</v>
      </c>
      <c r="H674" s="513">
        <v>500</v>
      </c>
      <c r="I674" s="498">
        <v>15.98</v>
      </c>
      <c r="J674" s="499">
        <v>0.17</v>
      </c>
      <c r="K674" s="499">
        <f t="shared" si="199"/>
        <v>7989.83</v>
      </c>
      <c r="L674" s="497"/>
      <c r="M674" s="499"/>
    </row>
    <row r="675" spans="1:13" x14ac:dyDescent="0.25">
      <c r="A675" s="497"/>
      <c r="B675" s="545">
        <v>42604</v>
      </c>
      <c r="C675" s="497">
        <v>500</v>
      </c>
      <c r="D675" s="498">
        <v>15.48</v>
      </c>
      <c r="E675" s="499">
        <v>0</v>
      </c>
      <c r="F675" s="499">
        <f t="shared" si="198"/>
        <v>7740</v>
      </c>
      <c r="G675" s="496">
        <v>42605</v>
      </c>
      <c r="H675" s="513">
        <v>500</v>
      </c>
      <c r="I675" s="498">
        <v>16.25</v>
      </c>
      <c r="J675" s="499">
        <v>0.18</v>
      </c>
      <c r="K675" s="499">
        <f t="shared" si="199"/>
        <v>8124.82</v>
      </c>
      <c r="L675" s="497"/>
      <c r="M675" s="499"/>
    </row>
    <row r="676" spans="1:13" x14ac:dyDescent="0.25">
      <c r="A676" s="497"/>
      <c r="B676" s="545">
        <v>42606</v>
      </c>
      <c r="C676" s="497">
        <v>178</v>
      </c>
      <c r="D676" s="498">
        <v>16.059999999999999</v>
      </c>
      <c r="E676" s="499">
        <v>0</v>
      </c>
      <c r="F676" s="499">
        <f t="shared" si="198"/>
        <v>2858.68</v>
      </c>
      <c r="G676" s="496">
        <v>42605</v>
      </c>
      <c r="H676" s="513">
        <v>500</v>
      </c>
      <c r="I676" s="498">
        <v>16.48</v>
      </c>
      <c r="J676" s="499">
        <v>0.18</v>
      </c>
      <c r="K676" s="499">
        <f t="shared" si="199"/>
        <v>8239.82</v>
      </c>
      <c r="L676" s="497"/>
      <c r="M676" s="499"/>
    </row>
    <row r="677" spans="1:13" x14ac:dyDescent="0.25">
      <c r="A677" s="497"/>
      <c r="B677" s="545">
        <v>42608</v>
      </c>
      <c r="C677" s="497">
        <v>500</v>
      </c>
      <c r="D677" s="498">
        <v>15.98</v>
      </c>
      <c r="E677" s="499">
        <v>0</v>
      </c>
      <c r="F677" s="499">
        <f t="shared" si="198"/>
        <v>7990</v>
      </c>
      <c r="G677" s="496">
        <v>42615</v>
      </c>
      <c r="H677" s="513">
        <v>500</v>
      </c>
      <c r="I677" s="498">
        <v>15.65</v>
      </c>
      <c r="J677" s="499">
        <v>0.17</v>
      </c>
      <c r="K677" s="499">
        <f t="shared" si="199"/>
        <v>7824.83</v>
      </c>
      <c r="L677" s="497"/>
      <c r="M677" s="499"/>
    </row>
    <row r="678" spans="1:13" ht="30" x14ac:dyDescent="0.25">
      <c r="A678" s="497"/>
      <c r="B678" s="545">
        <v>42608</v>
      </c>
      <c r="C678" s="497">
        <v>500</v>
      </c>
      <c r="D678" s="498">
        <v>15.85</v>
      </c>
      <c r="E678" s="499">
        <v>0</v>
      </c>
      <c r="F678" s="499">
        <f t="shared" si="198"/>
        <v>7925</v>
      </c>
      <c r="G678" s="496">
        <v>42621</v>
      </c>
      <c r="H678" s="513">
        <v>500</v>
      </c>
      <c r="I678" s="498">
        <v>16.72</v>
      </c>
      <c r="J678" s="499">
        <v>0.18</v>
      </c>
      <c r="K678" s="499">
        <f t="shared" si="199"/>
        <v>8359.82</v>
      </c>
      <c r="L678" s="617" t="s">
        <v>269</v>
      </c>
      <c r="M678" s="499"/>
    </row>
    <row r="679" spans="1:13" x14ac:dyDescent="0.25">
      <c r="A679" s="497"/>
      <c r="B679" s="545">
        <v>42612</v>
      </c>
      <c r="C679" s="497">
        <v>500</v>
      </c>
      <c r="D679" s="498">
        <v>15.68</v>
      </c>
      <c r="E679" s="499">
        <v>0</v>
      </c>
      <c r="F679" s="499">
        <f t="shared" si="198"/>
        <v>7840</v>
      </c>
      <c r="G679" s="496">
        <v>42621</v>
      </c>
      <c r="H679" s="513">
        <v>500</v>
      </c>
      <c r="I679" s="498">
        <v>16.28</v>
      </c>
      <c r="J679" s="499">
        <v>0.18</v>
      </c>
      <c r="K679" s="499">
        <f t="shared" si="199"/>
        <v>8139.8200000000006</v>
      </c>
      <c r="L679" s="617"/>
      <c r="M679" s="499"/>
    </row>
    <row r="680" spans="1:13" x14ac:dyDescent="0.25">
      <c r="A680" s="497"/>
      <c r="B680" s="545">
        <v>42612</v>
      </c>
      <c r="C680" s="497">
        <v>500</v>
      </c>
      <c r="D680" s="498">
        <v>15.55</v>
      </c>
      <c r="E680" s="499">
        <v>0</v>
      </c>
      <c r="F680" s="499">
        <f t="shared" si="198"/>
        <v>7775</v>
      </c>
      <c r="G680" s="496">
        <v>42621</v>
      </c>
      <c r="H680" s="513">
        <v>220</v>
      </c>
      <c r="I680" s="498">
        <v>16.77</v>
      </c>
      <c r="J680" s="499">
        <v>0.08</v>
      </c>
      <c r="K680" s="499">
        <f t="shared" si="199"/>
        <v>3689.32</v>
      </c>
      <c r="L680" s="617"/>
      <c r="M680" s="499"/>
    </row>
    <row r="681" spans="1:13" x14ac:dyDescent="0.25">
      <c r="A681" s="497"/>
      <c r="B681" s="545">
        <v>42613</v>
      </c>
      <c r="C681" s="497">
        <v>500</v>
      </c>
      <c r="D681" s="498">
        <v>15.244999999999999</v>
      </c>
      <c r="E681" s="499">
        <v>0</v>
      </c>
      <c r="F681" s="499">
        <f t="shared" si="198"/>
        <v>7622.5</v>
      </c>
      <c r="G681" s="496">
        <v>42625</v>
      </c>
      <c r="H681" s="513">
        <v>500</v>
      </c>
      <c r="I681" s="498">
        <v>15.5</v>
      </c>
      <c r="J681" s="499">
        <v>0.17</v>
      </c>
      <c r="K681" s="499">
        <f t="shared" si="199"/>
        <v>7749.83</v>
      </c>
      <c r="L681" s="497"/>
      <c r="M681" s="499"/>
    </row>
    <row r="682" spans="1:13" x14ac:dyDescent="0.25">
      <c r="A682" s="497"/>
      <c r="B682" s="545">
        <v>42613</v>
      </c>
      <c r="C682" s="497">
        <v>500</v>
      </c>
      <c r="D682" s="498">
        <v>15.08</v>
      </c>
      <c r="E682" s="499">
        <v>0</v>
      </c>
      <c r="F682" s="499">
        <f t="shared" si="198"/>
        <v>7540</v>
      </c>
      <c r="G682" s="496">
        <v>42628</v>
      </c>
      <c r="H682" s="513">
        <v>300</v>
      </c>
      <c r="I682" s="498">
        <v>14.46</v>
      </c>
      <c r="J682" s="499">
        <v>0.09</v>
      </c>
      <c r="K682" s="499">
        <f t="shared" si="199"/>
        <v>4337.91</v>
      </c>
      <c r="L682" s="497"/>
      <c r="M682" s="499"/>
    </row>
    <row r="683" spans="1:13" x14ac:dyDescent="0.25">
      <c r="A683" s="497"/>
      <c r="B683" s="545">
        <v>42622</v>
      </c>
      <c r="C683" s="497">
        <v>220</v>
      </c>
      <c r="D683" s="498">
        <v>16.25</v>
      </c>
      <c r="E683" s="499">
        <v>0</v>
      </c>
      <c r="F683" s="499">
        <f t="shared" si="198"/>
        <v>3575</v>
      </c>
      <c r="G683" s="496">
        <v>42634</v>
      </c>
      <c r="H683" s="513">
        <v>322</v>
      </c>
      <c r="I683" s="498">
        <v>14.28</v>
      </c>
      <c r="J683" s="499">
        <v>0.1</v>
      </c>
      <c r="K683" s="499">
        <f t="shared" si="199"/>
        <v>4598.0599999999995</v>
      </c>
      <c r="L683" s="497"/>
      <c r="M683" s="499"/>
    </row>
    <row r="684" spans="1:13" x14ac:dyDescent="0.25">
      <c r="A684" s="497"/>
      <c r="B684" s="545">
        <v>42622</v>
      </c>
      <c r="C684" s="497">
        <v>500</v>
      </c>
      <c r="D684" s="498">
        <v>15.98</v>
      </c>
      <c r="E684" s="499">
        <v>0</v>
      </c>
      <c r="F684" s="499">
        <f t="shared" si="198"/>
        <v>7990</v>
      </c>
      <c r="G684" s="496">
        <v>42634</v>
      </c>
      <c r="H684" s="513">
        <v>400</v>
      </c>
      <c r="I684" s="498">
        <v>14.64</v>
      </c>
      <c r="J684" s="499">
        <v>0.13</v>
      </c>
      <c r="K684" s="499">
        <f t="shared" si="199"/>
        <v>5855.87</v>
      </c>
      <c r="L684" s="497"/>
      <c r="M684" s="499"/>
    </row>
    <row r="685" spans="1:13" x14ac:dyDescent="0.25">
      <c r="A685" s="497"/>
      <c r="B685" s="545">
        <v>42622</v>
      </c>
      <c r="C685" s="497">
        <v>500</v>
      </c>
      <c r="D685" s="498">
        <v>15.75</v>
      </c>
      <c r="E685" s="499">
        <v>0</v>
      </c>
      <c r="F685" s="499">
        <f t="shared" si="198"/>
        <v>7875</v>
      </c>
      <c r="G685" s="496">
        <v>42639</v>
      </c>
      <c r="H685" s="513">
        <v>200</v>
      </c>
      <c r="I685" s="498">
        <v>14.72</v>
      </c>
      <c r="J685" s="499">
        <v>0.06</v>
      </c>
      <c r="K685" s="499">
        <f t="shared" si="199"/>
        <v>2943.94</v>
      </c>
      <c r="L685" s="497"/>
      <c r="M685" s="499"/>
    </row>
    <row r="686" spans="1:13" x14ac:dyDescent="0.25">
      <c r="A686" s="497"/>
      <c r="B686" s="545">
        <v>42625</v>
      </c>
      <c r="C686" s="497">
        <v>500</v>
      </c>
      <c r="D686" s="498">
        <v>15.22</v>
      </c>
      <c r="E686" s="499">
        <v>0</v>
      </c>
      <c r="F686" s="499">
        <f t="shared" si="198"/>
        <v>7610</v>
      </c>
      <c r="G686" s="496">
        <v>42641</v>
      </c>
      <c r="H686" s="513">
        <v>300</v>
      </c>
      <c r="I686" s="498">
        <v>15.28</v>
      </c>
      <c r="J686" s="499">
        <v>0.1</v>
      </c>
      <c r="K686" s="499">
        <f t="shared" si="199"/>
        <v>4583.8999999999996</v>
      </c>
      <c r="L686" s="497"/>
      <c r="M686" s="499"/>
    </row>
    <row r="687" spans="1:13" ht="30" x14ac:dyDescent="0.25">
      <c r="A687" s="599" t="s">
        <v>278</v>
      </c>
      <c r="B687" s="545">
        <v>42626</v>
      </c>
      <c r="C687" s="497">
        <v>600</v>
      </c>
      <c r="D687" s="498">
        <v>14.91</v>
      </c>
      <c r="E687" s="499">
        <v>-3</v>
      </c>
      <c r="F687" s="499">
        <f t="shared" si="198"/>
        <v>8943</v>
      </c>
      <c r="G687" s="496">
        <v>42641</v>
      </c>
      <c r="H687" s="513">
        <v>400</v>
      </c>
      <c r="I687" s="498">
        <v>15.06</v>
      </c>
      <c r="J687" s="499">
        <v>0.13</v>
      </c>
      <c r="K687" s="499">
        <f t="shared" si="199"/>
        <v>6023.87</v>
      </c>
      <c r="L687" s="497"/>
      <c r="M687" s="499"/>
    </row>
    <row r="688" spans="1:13" x14ac:dyDescent="0.25">
      <c r="A688" s="599"/>
      <c r="B688" s="545">
        <v>42626</v>
      </c>
      <c r="C688" s="497">
        <v>400</v>
      </c>
      <c r="D688" s="498">
        <v>14.75</v>
      </c>
      <c r="E688" s="499">
        <v>0</v>
      </c>
      <c r="F688" s="499">
        <f t="shared" si="198"/>
        <v>5900</v>
      </c>
      <c r="G688" s="496">
        <v>42641</v>
      </c>
      <c r="H688" s="513">
        <v>322</v>
      </c>
      <c r="I688" s="498">
        <v>14.39</v>
      </c>
      <c r="J688" s="499">
        <v>0.1</v>
      </c>
      <c r="K688" s="499">
        <f t="shared" si="199"/>
        <v>4633.4799999999996</v>
      </c>
      <c r="L688" s="497"/>
      <c r="M688" s="499"/>
    </row>
    <row r="689" spans="1:13" x14ac:dyDescent="0.25">
      <c r="A689" s="599"/>
      <c r="B689" s="545">
        <v>42626</v>
      </c>
      <c r="C689" s="497">
        <v>300</v>
      </c>
      <c r="D689" s="498">
        <v>14.48</v>
      </c>
      <c r="E689" s="499">
        <v>0</v>
      </c>
      <c r="F689" s="499">
        <f t="shared" si="198"/>
        <v>4344</v>
      </c>
      <c r="G689" s="496">
        <v>42641</v>
      </c>
      <c r="H689" s="513">
        <v>500</v>
      </c>
      <c r="I689" s="498">
        <v>14.26</v>
      </c>
      <c r="J689" s="499">
        <v>0.16</v>
      </c>
      <c r="K689" s="499">
        <f t="shared" si="199"/>
        <v>7129.84</v>
      </c>
      <c r="L689" s="497"/>
      <c r="M689" s="499"/>
    </row>
    <row r="690" spans="1:13" x14ac:dyDescent="0.25">
      <c r="A690" s="599"/>
      <c r="B690" s="545">
        <v>42626</v>
      </c>
      <c r="C690" s="497">
        <v>300</v>
      </c>
      <c r="D690" s="498">
        <v>14.25</v>
      </c>
      <c r="E690" s="499">
        <v>0</v>
      </c>
      <c r="F690" s="499">
        <f t="shared" si="198"/>
        <v>4275</v>
      </c>
      <c r="G690" s="496">
        <v>42642</v>
      </c>
      <c r="H690" s="513">
        <v>300</v>
      </c>
      <c r="I690" s="498">
        <v>15.28</v>
      </c>
      <c r="J690" s="499">
        <v>0.1</v>
      </c>
      <c r="K690" s="499">
        <f t="shared" si="199"/>
        <v>4583.8999999999996</v>
      </c>
      <c r="L690" s="497"/>
      <c r="M690" s="499"/>
    </row>
    <row r="691" spans="1:13" x14ac:dyDescent="0.25">
      <c r="A691" s="599"/>
      <c r="B691" s="545">
        <v>42627</v>
      </c>
      <c r="C691" s="497">
        <v>200</v>
      </c>
      <c r="D691" s="498">
        <v>14.02</v>
      </c>
      <c r="E691" s="499">
        <v>-1</v>
      </c>
      <c r="F691" s="499">
        <f t="shared" si="198"/>
        <v>2803</v>
      </c>
      <c r="G691" s="496">
        <v>42642</v>
      </c>
      <c r="H691" s="513">
        <v>700</v>
      </c>
      <c r="I691" s="498">
        <v>15.78</v>
      </c>
      <c r="J691" s="499">
        <v>0.24</v>
      </c>
      <c r="K691" s="499">
        <f t="shared" si="199"/>
        <v>11045.76</v>
      </c>
      <c r="L691" s="497"/>
      <c r="M691" s="499"/>
    </row>
    <row r="692" spans="1:13" x14ac:dyDescent="0.25">
      <c r="A692" s="497"/>
      <c r="B692" s="545">
        <v>42628</v>
      </c>
      <c r="C692" s="497">
        <v>300</v>
      </c>
      <c r="D692" s="498">
        <v>14.3</v>
      </c>
      <c r="E692" s="499">
        <v>0</v>
      </c>
      <c r="F692" s="499">
        <f t="shared" si="198"/>
        <v>4290</v>
      </c>
      <c r="G692" s="496">
        <v>42642</v>
      </c>
      <c r="H692" s="513">
        <v>214</v>
      </c>
      <c r="I692" s="498">
        <v>15.98</v>
      </c>
      <c r="J692" s="499">
        <v>7.0000000000000007E-2</v>
      </c>
      <c r="K692" s="499">
        <f t="shared" si="199"/>
        <v>3419.65</v>
      </c>
      <c r="L692" s="497"/>
      <c r="M692" s="499"/>
    </row>
    <row r="693" spans="1:13" x14ac:dyDescent="0.25">
      <c r="A693" s="497"/>
      <c r="B693" s="545">
        <v>42632</v>
      </c>
      <c r="C693" s="497">
        <v>200</v>
      </c>
      <c r="D693" s="498">
        <v>14.06</v>
      </c>
      <c r="E693" s="499">
        <v>0</v>
      </c>
      <c r="F693" s="499">
        <f t="shared" si="198"/>
        <v>2812</v>
      </c>
      <c r="G693" s="496">
        <v>42648</v>
      </c>
      <c r="H693" s="513">
        <v>1000</v>
      </c>
      <c r="I693" s="498">
        <v>16.079999999999998</v>
      </c>
      <c r="J693" s="499">
        <v>0.35</v>
      </c>
      <c r="K693" s="499">
        <f t="shared" si="199"/>
        <v>16079.649999999998</v>
      </c>
      <c r="L693" s="497"/>
      <c r="M693" s="499"/>
    </row>
    <row r="694" spans="1:13" x14ac:dyDescent="0.25">
      <c r="A694" s="497"/>
      <c r="B694" s="545">
        <v>42633</v>
      </c>
      <c r="C694" s="497">
        <v>200</v>
      </c>
      <c r="D694" s="498">
        <v>14.11</v>
      </c>
      <c r="E694" s="499">
        <v>0</v>
      </c>
      <c r="F694" s="499">
        <f t="shared" si="198"/>
        <v>2822</v>
      </c>
      <c r="G694" s="496">
        <v>42648</v>
      </c>
      <c r="H694" s="513">
        <v>500</v>
      </c>
      <c r="I694" s="498">
        <v>16.38</v>
      </c>
      <c r="J694" s="499">
        <v>0.18</v>
      </c>
      <c r="K694" s="499">
        <f t="shared" si="199"/>
        <v>8189.8199999999988</v>
      </c>
      <c r="L694" s="497"/>
      <c r="M694" s="499"/>
    </row>
    <row r="695" spans="1:13" x14ac:dyDescent="0.25">
      <c r="A695" s="497"/>
      <c r="B695" s="545">
        <v>42633</v>
      </c>
      <c r="C695" s="497">
        <v>122</v>
      </c>
      <c r="D695" s="498">
        <v>14.1</v>
      </c>
      <c r="E695" s="499">
        <v>0</v>
      </c>
      <c r="F695" s="499">
        <f t="shared" si="198"/>
        <v>1720.2</v>
      </c>
      <c r="G695" s="496">
        <v>42649</v>
      </c>
      <c r="H695" s="513">
        <v>500</v>
      </c>
      <c r="I695" s="498">
        <v>16.16</v>
      </c>
      <c r="J695" s="499">
        <v>0.18</v>
      </c>
      <c r="K695" s="499">
        <f t="shared" si="199"/>
        <v>8079.82</v>
      </c>
      <c r="L695" s="497"/>
      <c r="M695" s="499"/>
    </row>
    <row r="696" spans="1:13" x14ac:dyDescent="0.25">
      <c r="A696" s="497"/>
      <c r="B696" s="545">
        <v>42636</v>
      </c>
      <c r="C696" s="497">
        <v>200</v>
      </c>
      <c r="D696" s="498">
        <v>14.38</v>
      </c>
      <c r="E696" s="499">
        <v>0</v>
      </c>
      <c r="F696" s="499">
        <f t="shared" si="198"/>
        <v>2876</v>
      </c>
      <c r="G696" s="496">
        <v>42671</v>
      </c>
      <c r="H696" s="513">
        <v>1000</v>
      </c>
      <c r="I696" s="498">
        <v>14.22</v>
      </c>
      <c r="J696" s="499">
        <v>0.31</v>
      </c>
      <c r="K696" s="499">
        <f t="shared" si="199"/>
        <v>14219.69</v>
      </c>
      <c r="L696" s="497"/>
      <c r="M696" s="499"/>
    </row>
    <row r="697" spans="1:13" x14ac:dyDescent="0.25">
      <c r="A697" s="497"/>
      <c r="B697" s="545">
        <v>42639</v>
      </c>
      <c r="C697" s="497">
        <v>200</v>
      </c>
      <c r="D697" s="498">
        <v>14.5</v>
      </c>
      <c r="E697" s="499">
        <v>0</v>
      </c>
      <c r="F697" s="499">
        <f t="shared" ref="F697:F711" si="200">C697*D697+E697</f>
        <v>2900</v>
      </c>
      <c r="G697" s="496">
        <v>42674</v>
      </c>
      <c r="H697" s="513">
        <v>300</v>
      </c>
      <c r="I697" s="498">
        <v>13.42</v>
      </c>
      <c r="J697" s="499">
        <v>0.09</v>
      </c>
      <c r="K697" s="499">
        <f t="shared" si="199"/>
        <v>4025.91</v>
      </c>
      <c r="L697" s="497"/>
      <c r="M697" s="499"/>
    </row>
    <row r="698" spans="1:13" x14ac:dyDescent="0.25">
      <c r="A698" s="497"/>
      <c r="B698" s="545">
        <v>42639</v>
      </c>
      <c r="C698" s="497">
        <v>200</v>
      </c>
      <c r="D698" s="498">
        <v>14.38</v>
      </c>
      <c r="E698" s="499">
        <v>0</v>
      </c>
      <c r="F698" s="499">
        <f t="shared" si="200"/>
        <v>2876</v>
      </c>
      <c r="G698" s="496">
        <v>42674</v>
      </c>
      <c r="H698" s="513">
        <v>200</v>
      </c>
      <c r="I698" s="498">
        <v>13.25</v>
      </c>
      <c r="J698" s="499">
        <v>-0.74</v>
      </c>
      <c r="K698" s="499">
        <f t="shared" si="199"/>
        <v>2650.74</v>
      </c>
      <c r="L698" s="497"/>
      <c r="M698" s="499"/>
    </row>
    <row r="699" spans="1:13" x14ac:dyDescent="0.25">
      <c r="A699" s="497"/>
      <c r="B699" s="545">
        <v>42640</v>
      </c>
      <c r="C699" s="497">
        <v>322</v>
      </c>
      <c r="D699" s="498">
        <v>13.97</v>
      </c>
      <c r="E699" s="499">
        <v>0</v>
      </c>
      <c r="F699" s="499">
        <f t="shared" si="200"/>
        <v>4498.34</v>
      </c>
      <c r="G699" s="496">
        <v>42676</v>
      </c>
      <c r="H699" s="513">
        <v>200</v>
      </c>
      <c r="I699" s="498">
        <v>13.05</v>
      </c>
      <c r="J699" s="499">
        <v>0.06</v>
      </c>
      <c r="K699" s="499">
        <f t="shared" si="199"/>
        <v>2609.94</v>
      </c>
      <c r="L699" s="497"/>
      <c r="M699" s="499"/>
    </row>
    <row r="700" spans="1:13" x14ac:dyDescent="0.25">
      <c r="A700" s="497"/>
      <c r="B700" s="545">
        <v>42641</v>
      </c>
      <c r="C700" s="497">
        <v>300</v>
      </c>
      <c r="D700" s="498">
        <v>14.02</v>
      </c>
      <c r="E700" s="499">
        <v>-1.26</v>
      </c>
      <c r="F700" s="499">
        <f t="shared" si="200"/>
        <v>4204.74</v>
      </c>
      <c r="G700" s="496">
        <v>42677</v>
      </c>
      <c r="H700" s="513">
        <v>500</v>
      </c>
      <c r="I700" s="498">
        <v>13.96</v>
      </c>
      <c r="J700" s="499">
        <v>0.15</v>
      </c>
      <c r="K700" s="499">
        <f t="shared" si="199"/>
        <v>6979.85</v>
      </c>
      <c r="L700" s="497"/>
      <c r="M700" s="499"/>
    </row>
    <row r="701" spans="1:13" x14ac:dyDescent="0.25">
      <c r="A701" s="497"/>
      <c r="B701" s="545">
        <v>42641</v>
      </c>
      <c r="C701" s="497">
        <v>200</v>
      </c>
      <c r="D701" s="498">
        <v>14.17</v>
      </c>
      <c r="E701" s="499">
        <v>0</v>
      </c>
      <c r="F701" s="499">
        <f t="shared" si="200"/>
        <v>2834</v>
      </c>
      <c r="G701" s="496">
        <v>42677</v>
      </c>
      <c r="H701" s="513">
        <v>2000</v>
      </c>
      <c r="I701" s="498">
        <v>14.5</v>
      </c>
      <c r="J701" s="499">
        <v>0.63</v>
      </c>
      <c r="K701" s="499">
        <f t="shared" si="199"/>
        <v>28999.37</v>
      </c>
      <c r="L701" s="497"/>
      <c r="M701" s="499"/>
    </row>
    <row r="702" spans="1:13" x14ac:dyDescent="0.25">
      <c r="A702" s="497"/>
      <c r="B702" s="545">
        <v>42642</v>
      </c>
      <c r="C702" s="497">
        <v>414</v>
      </c>
      <c r="D702" s="498">
        <v>15.66</v>
      </c>
      <c r="E702" s="499">
        <v>0</v>
      </c>
      <c r="F702" s="499">
        <f t="shared" si="200"/>
        <v>6483.24</v>
      </c>
      <c r="G702" s="496">
        <v>42682</v>
      </c>
      <c r="H702" s="513">
        <v>1000</v>
      </c>
      <c r="I702" s="498">
        <v>14.28</v>
      </c>
      <c r="J702" s="499">
        <v>0.31</v>
      </c>
      <c r="K702" s="499">
        <f t="shared" si="199"/>
        <v>14279.69</v>
      </c>
      <c r="L702" s="497"/>
      <c r="M702" s="499"/>
    </row>
    <row r="703" spans="1:13" ht="30" x14ac:dyDescent="0.25">
      <c r="A703" s="599" t="s">
        <v>293</v>
      </c>
      <c r="B703" s="545">
        <v>42647</v>
      </c>
      <c r="C703" s="497">
        <v>500</v>
      </c>
      <c r="D703" s="498">
        <v>15.86</v>
      </c>
      <c r="E703" s="499">
        <v>0</v>
      </c>
      <c r="F703" s="499">
        <f t="shared" si="200"/>
        <v>7930</v>
      </c>
      <c r="G703" s="496">
        <v>42685</v>
      </c>
      <c r="H703" s="513">
        <v>500</v>
      </c>
      <c r="I703" s="498">
        <v>15.88</v>
      </c>
      <c r="J703" s="499">
        <v>0.17</v>
      </c>
      <c r="K703" s="499">
        <f t="shared" si="199"/>
        <v>7939.83</v>
      </c>
      <c r="L703" s="497"/>
      <c r="M703" s="499"/>
    </row>
    <row r="704" spans="1:13" x14ac:dyDescent="0.25">
      <c r="A704" s="599"/>
      <c r="B704" s="545">
        <v>42647</v>
      </c>
      <c r="C704" s="497">
        <v>500</v>
      </c>
      <c r="D704" s="498">
        <v>15.62</v>
      </c>
      <c r="E704" s="499">
        <v>0</v>
      </c>
      <c r="F704" s="499">
        <f t="shared" si="200"/>
        <v>7810</v>
      </c>
      <c r="G704" s="496">
        <v>42695</v>
      </c>
      <c r="H704" s="513">
        <v>2272</v>
      </c>
      <c r="I704" s="498">
        <v>16.28</v>
      </c>
      <c r="J704" s="499">
        <v>0.81</v>
      </c>
      <c r="K704" s="499">
        <f t="shared" si="199"/>
        <v>36987.350000000006</v>
      </c>
      <c r="L704" s="497"/>
      <c r="M704" s="499"/>
    </row>
    <row r="705" spans="1:13" x14ac:dyDescent="0.25">
      <c r="A705" s="599"/>
      <c r="B705" s="545">
        <v>42649</v>
      </c>
      <c r="C705" s="497">
        <v>500</v>
      </c>
      <c r="D705" s="498">
        <v>15.97</v>
      </c>
      <c r="E705" s="499">
        <v>0</v>
      </c>
      <c r="F705" s="499">
        <f t="shared" si="200"/>
        <v>7985</v>
      </c>
      <c r="G705" s="496">
        <v>42695</v>
      </c>
      <c r="H705" s="513">
        <v>500</v>
      </c>
      <c r="I705" s="498">
        <v>16.45</v>
      </c>
      <c r="J705" s="499">
        <v>0.18</v>
      </c>
      <c r="K705" s="499">
        <f t="shared" si="199"/>
        <v>8224.82</v>
      </c>
      <c r="L705" s="497"/>
      <c r="M705" s="499"/>
    </row>
    <row r="706" spans="1:13" x14ac:dyDescent="0.25">
      <c r="A706" s="599"/>
      <c r="B706" s="545">
        <v>42649</v>
      </c>
      <c r="C706" s="497">
        <v>500</v>
      </c>
      <c r="D706" s="498">
        <v>15.84</v>
      </c>
      <c r="E706" s="499">
        <v>0</v>
      </c>
      <c r="F706" s="499">
        <f t="shared" si="200"/>
        <v>7920</v>
      </c>
      <c r="G706" s="496">
        <v>42696</v>
      </c>
      <c r="H706" s="513">
        <v>500</v>
      </c>
      <c r="I706" s="498">
        <v>16.54</v>
      </c>
      <c r="J706" s="499">
        <v>0.18</v>
      </c>
      <c r="K706" s="499">
        <f t="shared" si="199"/>
        <v>8269.82</v>
      </c>
      <c r="L706" s="497"/>
      <c r="M706" s="499"/>
    </row>
    <row r="707" spans="1:13" x14ac:dyDescent="0.25">
      <c r="A707" s="497"/>
      <c r="B707" s="545">
        <v>42649</v>
      </c>
      <c r="C707" s="497">
        <v>500</v>
      </c>
      <c r="D707" s="498">
        <v>16.079999999999998</v>
      </c>
      <c r="E707" s="499">
        <v>0</v>
      </c>
      <c r="F707" s="499">
        <f t="shared" si="200"/>
        <v>8039.9999999999991</v>
      </c>
      <c r="G707" s="496">
        <v>42697</v>
      </c>
      <c r="H707" s="513">
        <v>200</v>
      </c>
      <c r="I707" s="498">
        <v>16.79</v>
      </c>
      <c r="J707" s="499">
        <v>7.0000000000000007E-2</v>
      </c>
      <c r="K707" s="499">
        <f t="shared" si="199"/>
        <v>3357.93</v>
      </c>
      <c r="L707" s="497"/>
      <c r="M707" s="499"/>
    </row>
    <row r="708" spans="1:13" x14ac:dyDescent="0.25">
      <c r="A708" s="497"/>
      <c r="B708" s="545">
        <v>42650</v>
      </c>
      <c r="C708" s="497">
        <v>300</v>
      </c>
      <c r="D708" s="498">
        <v>15.75</v>
      </c>
      <c r="E708" s="499">
        <v>0</v>
      </c>
      <c r="F708" s="499">
        <f t="shared" si="200"/>
        <v>4725</v>
      </c>
      <c r="G708" s="496">
        <v>42697</v>
      </c>
      <c r="H708" s="513">
        <v>500</v>
      </c>
      <c r="I708" s="498">
        <v>16.59</v>
      </c>
      <c r="J708" s="499">
        <v>0.18</v>
      </c>
      <c r="K708" s="499">
        <f t="shared" si="199"/>
        <v>8294.82</v>
      </c>
      <c r="L708" s="497"/>
      <c r="M708" s="499"/>
    </row>
    <row r="709" spans="1:13" x14ac:dyDescent="0.25">
      <c r="A709" s="497"/>
      <c r="B709" s="545">
        <v>42650</v>
      </c>
      <c r="C709" s="497">
        <v>300</v>
      </c>
      <c r="D709" s="498">
        <v>15.58</v>
      </c>
      <c r="E709" s="499">
        <v>0</v>
      </c>
      <c r="F709" s="499">
        <f t="shared" si="200"/>
        <v>4674</v>
      </c>
      <c r="G709" s="496">
        <v>42704</v>
      </c>
      <c r="H709" s="513">
        <v>1000</v>
      </c>
      <c r="I709" s="498">
        <v>16.420000000000002</v>
      </c>
      <c r="J709" s="499">
        <v>0.36</v>
      </c>
      <c r="K709" s="499">
        <f t="shared" si="199"/>
        <v>16419.64</v>
      </c>
      <c r="L709" s="497"/>
      <c r="M709" s="499"/>
    </row>
    <row r="710" spans="1:13" x14ac:dyDescent="0.25">
      <c r="A710" s="497"/>
      <c r="B710" s="545">
        <v>42653</v>
      </c>
      <c r="C710" s="497">
        <v>394</v>
      </c>
      <c r="D710" s="498">
        <v>15.72</v>
      </c>
      <c r="E710" s="499">
        <v>0</v>
      </c>
      <c r="F710" s="499">
        <f t="shared" si="200"/>
        <v>6193.68</v>
      </c>
      <c r="G710" s="496">
        <v>42704</v>
      </c>
      <c r="H710" s="513">
        <v>300</v>
      </c>
      <c r="I710" s="498">
        <v>16.78</v>
      </c>
      <c r="J710" s="499">
        <v>1.61</v>
      </c>
      <c r="K710" s="499">
        <f t="shared" si="199"/>
        <v>5032.3900000000003</v>
      </c>
      <c r="L710" s="497"/>
      <c r="M710" s="499"/>
    </row>
    <row r="711" spans="1:13" x14ac:dyDescent="0.25">
      <c r="A711" s="497"/>
      <c r="B711" s="545">
        <v>42653</v>
      </c>
      <c r="C711" s="497">
        <v>6</v>
      </c>
      <c r="D711" s="498">
        <v>15.72</v>
      </c>
      <c r="E711" s="499">
        <v>0</v>
      </c>
      <c r="F711" s="499">
        <f t="shared" si="200"/>
        <v>94.320000000000007</v>
      </c>
      <c r="G711" s="496">
        <v>42704</v>
      </c>
      <c r="H711" s="513">
        <v>1000</v>
      </c>
      <c r="I711" s="498">
        <v>17.079999999999998</v>
      </c>
      <c r="J711" s="499">
        <v>0.37</v>
      </c>
      <c r="K711" s="499">
        <f t="shared" si="199"/>
        <v>17079.63</v>
      </c>
      <c r="L711" s="497"/>
      <c r="M711" s="499"/>
    </row>
    <row r="712" spans="1:13" x14ac:dyDescent="0.25">
      <c r="A712" s="497"/>
      <c r="B712" s="545">
        <v>42655</v>
      </c>
      <c r="C712" s="497">
        <v>22</v>
      </c>
      <c r="D712" s="498">
        <v>15.48</v>
      </c>
      <c r="E712" s="499">
        <v>0</v>
      </c>
      <c r="F712" s="499">
        <f>C712*D712+E712</f>
        <v>340.56</v>
      </c>
      <c r="G712" s="496">
        <v>42704</v>
      </c>
      <c r="H712" s="513">
        <v>1000</v>
      </c>
      <c r="I712" s="498">
        <v>17.32</v>
      </c>
      <c r="J712" s="499">
        <v>0.38</v>
      </c>
      <c r="K712" s="499">
        <f t="shared" si="199"/>
        <v>17319.62</v>
      </c>
      <c r="L712" s="497"/>
      <c r="M712" s="499"/>
    </row>
    <row r="713" spans="1:13" x14ac:dyDescent="0.25">
      <c r="A713" s="497"/>
      <c r="B713" s="545">
        <v>42655</v>
      </c>
      <c r="C713" s="497">
        <v>300</v>
      </c>
      <c r="D713" s="498">
        <v>15.48</v>
      </c>
      <c r="E713" s="499">
        <v>0</v>
      </c>
      <c r="F713" s="499">
        <f>C713*D713+E713</f>
        <v>4644</v>
      </c>
      <c r="G713" s="496">
        <v>42704</v>
      </c>
      <c r="H713" s="513">
        <v>500</v>
      </c>
      <c r="I713" s="498">
        <v>17.64</v>
      </c>
      <c r="J713" s="499">
        <v>0.19</v>
      </c>
      <c r="K713" s="499">
        <f t="shared" si="199"/>
        <v>8819.81</v>
      </c>
      <c r="L713" s="497"/>
      <c r="M713" s="499"/>
    </row>
    <row r="714" spans="1:13" x14ac:dyDescent="0.25">
      <c r="A714" s="600"/>
      <c r="B714" s="545">
        <v>42668</v>
      </c>
      <c r="C714" s="497">
        <v>500</v>
      </c>
      <c r="D714" s="498">
        <v>14.26</v>
      </c>
      <c r="E714" s="499">
        <v>-2.5</v>
      </c>
      <c r="F714" s="499">
        <f t="shared" ref="F714:F723" si="201">C714*D714+E714</f>
        <v>7127.5</v>
      </c>
      <c r="G714" s="496">
        <v>42705</v>
      </c>
      <c r="H714" s="513">
        <v>528</v>
      </c>
      <c r="I714" s="498">
        <v>18.7</v>
      </c>
      <c r="J714" s="499">
        <v>0.22</v>
      </c>
      <c r="K714" s="499">
        <f t="shared" si="199"/>
        <v>9873.380000000001</v>
      </c>
      <c r="L714" s="497"/>
      <c r="M714" s="499"/>
    </row>
    <row r="715" spans="1:13" x14ac:dyDescent="0.25">
      <c r="A715" s="600"/>
      <c r="B715" s="545">
        <v>42668</v>
      </c>
      <c r="C715" s="497">
        <v>500</v>
      </c>
      <c r="D715" s="498">
        <v>14.16</v>
      </c>
      <c r="E715" s="499">
        <v>0</v>
      </c>
      <c r="F715" s="499">
        <f t="shared" si="201"/>
        <v>7080</v>
      </c>
      <c r="G715" s="496">
        <v>42711</v>
      </c>
      <c r="H715" s="513">
        <v>500</v>
      </c>
      <c r="I715" s="498">
        <v>18.329999999999998</v>
      </c>
      <c r="J715" s="499">
        <v>0.2</v>
      </c>
      <c r="K715" s="499">
        <f t="shared" si="199"/>
        <v>9164.7999999999993</v>
      </c>
      <c r="L715" s="497"/>
      <c r="M715" s="499"/>
    </row>
    <row r="716" spans="1:13" x14ac:dyDescent="0.25">
      <c r="A716" s="600"/>
      <c r="B716" s="545">
        <v>42670</v>
      </c>
      <c r="C716" s="497">
        <v>500</v>
      </c>
      <c r="D716" s="498">
        <v>14.18</v>
      </c>
      <c r="E716" s="499">
        <v>0</v>
      </c>
      <c r="F716" s="499">
        <f t="shared" si="201"/>
        <v>7090</v>
      </c>
      <c r="G716" s="496">
        <v>42713</v>
      </c>
      <c r="H716" s="513">
        <v>500</v>
      </c>
      <c r="I716" s="498">
        <v>18.28</v>
      </c>
      <c r="J716" s="499">
        <v>0.2</v>
      </c>
      <c r="K716" s="499">
        <f t="shared" si="199"/>
        <v>9139.7999999999993</v>
      </c>
      <c r="L716" s="497"/>
      <c r="M716" s="499"/>
    </row>
    <row r="717" spans="1:13" x14ac:dyDescent="0.25">
      <c r="A717" s="600"/>
      <c r="B717" s="545">
        <v>42670</v>
      </c>
      <c r="C717" s="497">
        <v>500</v>
      </c>
      <c r="D717" s="498">
        <v>14.05</v>
      </c>
      <c r="E717" s="499">
        <v>0</v>
      </c>
      <c r="F717" s="499">
        <f t="shared" si="201"/>
        <v>7025</v>
      </c>
      <c r="G717" s="496">
        <v>42718</v>
      </c>
      <c r="H717" s="513">
        <v>200</v>
      </c>
      <c r="I717" s="498">
        <v>18.78</v>
      </c>
      <c r="J717" s="499">
        <v>0.08</v>
      </c>
      <c r="K717" s="499">
        <f t="shared" si="199"/>
        <v>3755.92</v>
      </c>
      <c r="L717" s="497"/>
      <c r="M717" s="499"/>
    </row>
    <row r="718" spans="1:13" x14ac:dyDescent="0.25">
      <c r="A718" s="600"/>
      <c r="B718" s="545">
        <v>42670</v>
      </c>
      <c r="C718" s="497">
        <v>500</v>
      </c>
      <c r="D718" s="498">
        <v>13.88</v>
      </c>
      <c r="E718" s="499">
        <v>0</v>
      </c>
      <c r="F718" s="499">
        <f t="shared" si="201"/>
        <v>6940</v>
      </c>
      <c r="G718" s="496">
        <v>42734</v>
      </c>
      <c r="H718" s="513">
        <v>1000</v>
      </c>
      <c r="I718" s="498">
        <v>17.72</v>
      </c>
      <c r="J718" s="499">
        <v>0.39</v>
      </c>
      <c r="K718" s="499">
        <f t="shared" si="199"/>
        <v>17719.61</v>
      </c>
      <c r="L718" s="497"/>
      <c r="M718" s="499"/>
    </row>
    <row r="719" spans="1:13" x14ac:dyDescent="0.25">
      <c r="A719" s="497"/>
      <c r="B719" s="545">
        <v>42671</v>
      </c>
      <c r="C719" s="497">
        <v>1000</v>
      </c>
      <c r="D719" s="498">
        <v>14.15</v>
      </c>
      <c r="E719" s="499">
        <v>0</v>
      </c>
      <c r="F719" s="499">
        <f t="shared" si="201"/>
        <v>14150</v>
      </c>
      <c r="G719" s="496">
        <v>42739</v>
      </c>
      <c r="H719" s="513">
        <v>500</v>
      </c>
      <c r="I719" s="498">
        <v>18.079999999999998</v>
      </c>
      <c r="J719" s="499">
        <v>0.2</v>
      </c>
      <c r="K719" s="499">
        <f t="shared" si="199"/>
        <v>9039.7999999999993</v>
      </c>
      <c r="L719" s="497"/>
      <c r="M719" s="499"/>
    </row>
    <row r="720" spans="1:13" x14ac:dyDescent="0.25">
      <c r="A720" s="497"/>
      <c r="B720" s="545">
        <v>42674</v>
      </c>
      <c r="C720" s="497">
        <v>300</v>
      </c>
      <c r="D720" s="498">
        <v>13.28</v>
      </c>
      <c r="E720" s="499">
        <v>-1.5</v>
      </c>
      <c r="F720" s="499">
        <f t="shared" si="201"/>
        <v>3982.5</v>
      </c>
      <c r="G720" s="496">
        <v>42748</v>
      </c>
      <c r="H720" s="513">
        <v>500</v>
      </c>
      <c r="I720" s="498">
        <v>17.48</v>
      </c>
      <c r="J720" s="499">
        <v>0.19</v>
      </c>
      <c r="K720" s="499">
        <f t="shared" si="199"/>
        <v>8739.81</v>
      </c>
      <c r="L720" s="497"/>
      <c r="M720" s="499"/>
    </row>
    <row r="721" spans="1:13" x14ac:dyDescent="0.25">
      <c r="A721" s="497"/>
      <c r="B721" s="545">
        <v>42674</v>
      </c>
      <c r="C721" s="497">
        <v>200</v>
      </c>
      <c r="D721" s="498">
        <v>13.15</v>
      </c>
      <c r="E721" s="499">
        <v>0.02</v>
      </c>
      <c r="F721" s="499">
        <f t="shared" si="201"/>
        <v>2630.02</v>
      </c>
      <c r="G721" s="496">
        <v>42761</v>
      </c>
      <c r="H721" s="513">
        <v>1000</v>
      </c>
      <c r="I721" s="498">
        <v>17.899999999999999</v>
      </c>
      <c r="J721" s="499">
        <v>0.39</v>
      </c>
      <c r="K721" s="499">
        <f t="shared" si="199"/>
        <v>17899.61</v>
      </c>
      <c r="L721" s="497"/>
      <c r="M721" s="499"/>
    </row>
    <row r="722" spans="1:13" x14ac:dyDescent="0.25">
      <c r="A722" s="497"/>
      <c r="B722" s="545">
        <v>42676</v>
      </c>
      <c r="C722" s="497">
        <v>200</v>
      </c>
      <c r="D722" s="498">
        <v>12.89</v>
      </c>
      <c r="E722" s="499">
        <v>0</v>
      </c>
      <c r="F722" s="499">
        <f t="shared" si="201"/>
        <v>2578</v>
      </c>
      <c r="G722" s="496">
        <v>42766</v>
      </c>
      <c r="H722" s="513">
        <v>300</v>
      </c>
      <c r="I722" s="498">
        <v>16.649999999999999</v>
      </c>
      <c r="J722" s="499">
        <v>0.11</v>
      </c>
      <c r="K722" s="499">
        <f t="shared" si="199"/>
        <v>4994.8900000000003</v>
      </c>
      <c r="L722" s="497"/>
      <c r="M722" s="499"/>
    </row>
    <row r="723" spans="1:13" x14ac:dyDescent="0.25">
      <c r="A723" s="497"/>
      <c r="B723" s="545">
        <v>42678</v>
      </c>
      <c r="C723" s="497">
        <v>500</v>
      </c>
      <c r="D723" s="498">
        <v>13.69</v>
      </c>
      <c r="E723" s="499">
        <v>0</v>
      </c>
      <c r="F723" s="499">
        <f t="shared" si="201"/>
        <v>6845</v>
      </c>
      <c r="G723" s="496">
        <v>42767</v>
      </c>
      <c r="H723" s="513">
        <v>612</v>
      </c>
      <c r="I723" s="498">
        <v>17.03</v>
      </c>
      <c r="J723" s="499">
        <v>0.23</v>
      </c>
      <c r="K723" s="499">
        <f t="shared" si="199"/>
        <v>10422.130000000001</v>
      </c>
      <c r="L723" s="497"/>
      <c r="M723" s="499"/>
    </row>
    <row r="724" spans="1:13" x14ac:dyDescent="0.25">
      <c r="A724" s="497"/>
      <c r="B724" s="545">
        <v>42678</v>
      </c>
      <c r="C724" s="497">
        <v>500</v>
      </c>
      <c r="D724" s="498">
        <v>13.69</v>
      </c>
      <c r="E724" s="499">
        <v>0</v>
      </c>
      <c r="F724" s="499">
        <f>C724*D724+E724</f>
        <v>6845</v>
      </c>
      <c r="G724" s="496">
        <v>42767</v>
      </c>
      <c r="H724" s="513">
        <v>288</v>
      </c>
      <c r="I724" s="498">
        <v>17.12</v>
      </c>
      <c r="J724" s="499">
        <v>0.11</v>
      </c>
      <c r="K724" s="499">
        <f t="shared" si="199"/>
        <v>4930.4500000000007</v>
      </c>
      <c r="L724" s="497"/>
      <c r="M724" s="499"/>
    </row>
    <row r="725" spans="1:13" x14ac:dyDescent="0.25">
      <c r="A725" s="497"/>
      <c r="B725" s="545">
        <v>42691</v>
      </c>
      <c r="C725" s="497">
        <v>150</v>
      </c>
      <c r="D725" s="498">
        <v>15.48</v>
      </c>
      <c r="E725" s="499">
        <v>0</v>
      </c>
      <c r="F725" s="499">
        <f t="shared" ref="F725:F741" si="202">C725*D725+E725</f>
        <v>2322</v>
      </c>
      <c r="G725" s="496">
        <v>42767</v>
      </c>
      <c r="H725" s="513">
        <v>700</v>
      </c>
      <c r="I725" s="498">
        <v>16.57</v>
      </c>
      <c r="J725" s="499">
        <v>0.25</v>
      </c>
      <c r="K725" s="499">
        <f t="shared" si="199"/>
        <v>11598.75</v>
      </c>
      <c r="L725" s="497"/>
      <c r="M725" s="499"/>
    </row>
    <row r="726" spans="1:13" x14ac:dyDescent="0.25">
      <c r="A726" s="497"/>
      <c r="B726" s="545">
        <v>42691</v>
      </c>
      <c r="C726" s="497">
        <v>300</v>
      </c>
      <c r="D726" s="498">
        <v>15.48</v>
      </c>
      <c r="E726" s="499">
        <v>0</v>
      </c>
      <c r="F726" s="499">
        <f t="shared" si="202"/>
        <v>4644</v>
      </c>
      <c r="G726" s="496">
        <v>42768</v>
      </c>
      <c r="H726" s="513">
        <v>200</v>
      </c>
      <c r="I726" s="498">
        <v>16.7</v>
      </c>
      <c r="J726" s="499">
        <v>7.0000000000000007E-2</v>
      </c>
      <c r="K726" s="499">
        <f t="shared" si="199"/>
        <v>3339.93</v>
      </c>
      <c r="L726" s="497"/>
      <c r="M726" s="499"/>
    </row>
    <row r="727" spans="1:13" x14ac:dyDescent="0.25">
      <c r="A727" s="497"/>
      <c r="B727" s="545">
        <v>42696</v>
      </c>
      <c r="C727" s="497">
        <v>1000</v>
      </c>
      <c r="D727" s="498">
        <v>16.12</v>
      </c>
      <c r="E727" s="499">
        <v>0</v>
      </c>
      <c r="F727" s="499">
        <f t="shared" si="202"/>
        <v>16120.000000000002</v>
      </c>
      <c r="G727" s="496">
        <v>42768</v>
      </c>
      <c r="H727" s="513">
        <v>500</v>
      </c>
      <c r="I727" s="498">
        <v>16.600000000000001</v>
      </c>
      <c r="J727" s="499">
        <v>-1.82</v>
      </c>
      <c r="K727" s="499">
        <f t="shared" si="199"/>
        <v>8301.82</v>
      </c>
      <c r="L727" s="497"/>
      <c r="M727" s="499"/>
    </row>
    <row r="728" spans="1:13" x14ac:dyDescent="0.25">
      <c r="A728" s="497"/>
      <c r="B728" s="545">
        <v>42699</v>
      </c>
      <c r="C728" s="497">
        <v>200</v>
      </c>
      <c r="D728" s="498">
        <v>16.28</v>
      </c>
      <c r="E728" s="499">
        <v>0</v>
      </c>
      <c r="F728" s="499">
        <f t="shared" si="202"/>
        <v>3256</v>
      </c>
      <c r="G728" s="496">
        <v>42768</v>
      </c>
      <c r="H728" s="513">
        <v>500</v>
      </c>
      <c r="I728" s="498">
        <v>16.75</v>
      </c>
      <c r="J728" s="499">
        <v>0.18</v>
      </c>
      <c r="K728" s="499">
        <f t="shared" si="199"/>
        <v>8374.82</v>
      </c>
      <c r="L728" s="497"/>
      <c r="M728" s="499"/>
    </row>
    <row r="729" spans="1:13" x14ac:dyDescent="0.25">
      <c r="A729" s="600"/>
      <c r="B729" s="545">
        <v>42699</v>
      </c>
      <c r="C729" s="497">
        <v>500</v>
      </c>
      <c r="D729" s="498">
        <v>16.16</v>
      </c>
      <c r="E729" s="499">
        <v>0</v>
      </c>
      <c r="F729" s="499">
        <f t="shared" si="202"/>
        <v>8080</v>
      </c>
      <c r="G729" s="496">
        <v>42769</v>
      </c>
      <c r="H729" s="601">
        <v>400</v>
      </c>
      <c r="I729" s="602">
        <v>16.95</v>
      </c>
      <c r="J729" s="603">
        <v>0.15</v>
      </c>
      <c r="K729" s="603">
        <f t="shared" si="199"/>
        <v>6779.85</v>
      </c>
      <c r="L729" s="497"/>
      <c r="M729" s="499"/>
    </row>
    <row r="730" spans="1:13" x14ac:dyDescent="0.25">
      <c r="A730" s="600"/>
      <c r="B730" s="545">
        <v>42702</v>
      </c>
      <c r="C730" s="497">
        <v>500</v>
      </c>
      <c r="D730" s="498">
        <v>16.059999999999999</v>
      </c>
      <c r="E730" s="499">
        <v>0</v>
      </c>
      <c r="F730" s="499">
        <f t="shared" si="202"/>
        <v>8029.9999999999991</v>
      </c>
      <c r="G730" s="496">
        <v>42769</v>
      </c>
      <c r="H730" s="601">
        <v>300</v>
      </c>
      <c r="I730" s="602">
        <v>17.32</v>
      </c>
      <c r="J730" s="603">
        <v>0.11</v>
      </c>
      <c r="K730" s="603">
        <f t="shared" si="199"/>
        <v>5195.8900000000003</v>
      </c>
      <c r="L730" s="497"/>
      <c r="M730" s="499"/>
    </row>
    <row r="731" spans="1:13" x14ac:dyDescent="0.25">
      <c r="A731" s="600"/>
      <c r="B731" s="545">
        <v>42702</v>
      </c>
      <c r="C731" s="497">
        <v>200</v>
      </c>
      <c r="D731" s="498">
        <v>15.8</v>
      </c>
      <c r="E731" s="499">
        <v>0</v>
      </c>
      <c r="F731" s="499">
        <f t="shared" si="202"/>
        <v>3160</v>
      </c>
      <c r="G731" s="496">
        <v>42781</v>
      </c>
      <c r="H731" s="513">
        <v>600</v>
      </c>
      <c r="I731" s="498">
        <v>16.52</v>
      </c>
      <c r="J731" s="499">
        <v>0.22</v>
      </c>
      <c r="K731" s="499">
        <f t="shared" si="199"/>
        <v>9911.7800000000007</v>
      </c>
      <c r="L731" s="497"/>
      <c r="M731" s="499"/>
    </row>
    <row r="732" spans="1:13" x14ac:dyDescent="0.25">
      <c r="A732" s="600"/>
      <c r="B732" s="545">
        <v>42702</v>
      </c>
      <c r="C732" s="497">
        <v>300</v>
      </c>
      <c r="D732" s="498">
        <v>15.65</v>
      </c>
      <c r="E732" s="499">
        <v>0</v>
      </c>
      <c r="F732" s="499">
        <f t="shared" si="202"/>
        <v>4695</v>
      </c>
      <c r="G732" s="496">
        <v>42781</v>
      </c>
      <c r="H732" s="513">
        <v>300</v>
      </c>
      <c r="I732" s="498">
        <v>16.440000000000001</v>
      </c>
      <c r="J732" s="499">
        <v>0.11</v>
      </c>
      <c r="K732" s="499">
        <f t="shared" si="199"/>
        <v>4931.8900000000003</v>
      </c>
      <c r="L732" s="497"/>
      <c r="M732" s="499"/>
    </row>
    <row r="733" spans="1:13" x14ac:dyDescent="0.25">
      <c r="A733" s="497"/>
      <c r="B733" s="545">
        <v>42703</v>
      </c>
      <c r="C733" s="497">
        <v>300</v>
      </c>
      <c r="D733" s="498">
        <v>14.78</v>
      </c>
      <c r="E733" s="499">
        <v>0</v>
      </c>
      <c r="F733" s="499">
        <f t="shared" si="202"/>
        <v>4434</v>
      </c>
      <c r="G733" s="496">
        <v>42782</v>
      </c>
      <c r="H733" s="513">
        <v>300</v>
      </c>
      <c r="I733" s="498">
        <v>17</v>
      </c>
      <c r="J733" s="499">
        <v>0.11</v>
      </c>
      <c r="K733" s="499">
        <f t="shared" si="199"/>
        <v>5099.8900000000003</v>
      </c>
      <c r="L733" s="497"/>
      <c r="M733" s="499"/>
    </row>
    <row r="734" spans="1:13" x14ac:dyDescent="0.25">
      <c r="A734" s="497"/>
      <c r="B734" s="545">
        <v>42705</v>
      </c>
      <c r="C734" s="497">
        <v>350</v>
      </c>
      <c r="D734" s="498">
        <v>17.600000000000001</v>
      </c>
      <c r="E734" s="499">
        <v>0</v>
      </c>
      <c r="F734" s="499">
        <f t="shared" si="202"/>
        <v>6160.0000000000009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42711</v>
      </c>
      <c r="C735" s="497">
        <v>500</v>
      </c>
      <c r="D735" s="498">
        <v>18.12</v>
      </c>
      <c r="E735" s="499">
        <v>0</v>
      </c>
      <c r="F735" s="499">
        <f t="shared" si="202"/>
        <v>9060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42713</v>
      </c>
      <c r="C736" s="497">
        <v>500</v>
      </c>
      <c r="D736" s="498">
        <v>18.12</v>
      </c>
      <c r="E736" s="499">
        <v>0</v>
      </c>
      <c r="F736" s="499">
        <f t="shared" si="202"/>
        <v>9060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42718</v>
      </c>
      <c r="C737" s="497">
        <v>200</v>
      </c>
      <c r="D737" s="498">
        <v>18.73</v>
      </c>
      <c r="E737" s="499">
        <v>-1</v>
      </c>
      <c r="F737" s="499">
        <f t="shared" si="202"/>
        <v>3745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>
        <v>42733</v>
      </c>
      <c r="C738" s="497">
        <v>1000</v>
      </c>
      <c r="D738" s="498">
        <v>17.64</v>
      </c>
      <c r="E738" s="499">
        <v>-1.5</v>
      </c>
      <c r="F738" s="499">
        <f t="shared" si="202"/>
        <v>17638.5</v>
      </c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>
        <v>42734</v>
      </c>
      <c r="C739" s="497">
        <v>1000</v>
      </c>
      <c r="D739" s="498">
        <v>17.329999999999998</v>
      </c>
      <c r="E739" s="499">
        <v>0</v>
      </c>
      <c r="F739" s="499">
        <f t="shared" si="202"/>
        <v>17330</v>
      </c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497"/>
      <c r="B740" s="545">
        <v>42741</v>
      </c>
      <c r="C740" s="497">
        <v>500</v>
      </c>
      <c r="D740" s="498">
        <v>17.88</v>
      </c>
      <c r="E740" s="499">
        <v>0</v>
      </c>
      <c r="F740" s="499">
        <f t="shared" si="202"/>
        <v>8940</v>
      </c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497"/>
      <c r="B741" s="545">
        <v>42748</v>
      </c>
      <c r="C741" s="497">
        <v>500</v>
      </c>
      <c r="D741" s="498">
        <v>17.260000000000002</v>
      </c>
      <c r="E741" s="499">
        <v>0</v>
      </c>
      <c r="F741" s="499">
        <f t="shared" si="202"/>
        <v>8630</v>
      </c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497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497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599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599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599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599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/>
      <c r="C761" s="497"/>
      <c r="D761" s="498"/>
      <c r="E761" s="499"/>
      <c r="F761" s="499"/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/>
      <c r="C762" s="497"/>
      <c r="D762" s="498"/>
      <c r="E762" s="499"/>
      <c r="F762" s="499"/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/>
      <c r="C764" s="497"/>
      <c r="D764" s="498"/>
      <c r="E764" s="499"/>
      <c r="F764" s="499"/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515" t="s">
        <v>81</v>
      </c>
      <c r="B765" s="604"/>
      <c r="C765" s="538">
        <f>SUM(C504:C764)</f>
        <v>133812</v>
      </c>
      <c r="D765" s="517"/>
      <c r="E765" s="517"/>
      <c r="F765" s="517">
        <f>SUM(F504:F764)</f>
        <v>1899450.8389999999</v>
      </c>
      <c r="G765" s="516"/>
      <c r="H765" s="538">
        <f>SUM(H504:H764)</f>
        <v>133812</v>
      </c>
      <c r="I765" s="605"/>
      <c r="J765" s="517"/>
      <c r="K765" s="517">
        <f>SUM(K504:K764)</f>
        <v>1911314.2100000016</v>
      </c>
      <c r="L765" s="516"/>
      <c r="M765" s="517">
        <f>SUM(M504:M514)</f>
        <v>2752.2000000000003</v>
      </c>
    </row>
    <row r="766" spans="1:13" ht="15.75" thickBot="1" x14ac:dyDescent="0.3">
      <c r="A766" s="518" t="s">
        <v>193</v>
      </c>
      <c r="B766" s="606"/>
      <c r="C766" s="520">
        <f>SumByColor($A$91, C504:C764)</f>
        <v>0</v>
      </c>
      <c r="D766" s="520"/>
      <c r="E766" s="520"/>
      <c r="F766" s="521">
        <f>SumByColor($A$91, F504:F764)</f>
        <v>0</v>
      </c>
      <c r="G766" s="520"/>
      <c r="H766" s="520">
        <f>SumByColor($A$91, H504:H764)</f>
        <v>0</v>
      </c>
      <c r="I766" s="520"/>
      <c r="J766" s="521"/>
      <c r="K766" s="521">
        <f>SumByColor($A$91, K504:K764)</f>
        <v>0</v>
      </c>
      <c r="L766" s="520"/>
      <c r="M766" s="521">
        <f>SumByColor($A$91, M504:M764)</f>
        <v>0</v>
      </c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</sheetData>
  <mergeCells count="2">
    <mergeCell ref="O23:P23"/>
    <mergeCell ref="A80:A82"/>
  </mergeCells>
  <conditionalFormatting sqref="F250:F268 H250:H268 H403 F403 H474:H498 F474:F498 K103:K201 F113:F202 H113:H202 K210 K239:K240 H239:H240 F239:F240">
    <cfRule type="expression" dxfId="2117" priority="145">
      <formula>F103&gt;0</formula>
    </cfRule>
    <cfRule type="expression" dxfId="2116" priority="146">
      <formula>F103&lt;0</formula>
    </cfRule>
  </conditionalFormatting>
  <conditionalFormatting sqref="O24:O61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40">
      <iconSet iconSet="3Arrows">
        <cfvo type="percent" val="0"/>
        <cfvo type="num" val="0"/>
        <cfvo type="num" val="0"/>
      </iconSet>
    </cfRule>
  </conditionalFormatting>
  <conditionalFormatting sqref="F243:F249">
    <cfRule type="expression" dxfId="2115" priority="138">
      <formula>F243&gt;0</formula>
    </cfRule>
    <cfRule type="expression" dxfId="2114" priority="139">
      <formula>F243&lt;0</formula>
    </cfRule>
  </conditionalFormatting>
  <conditionalFormatting sqref="H243:H249">
    <cfRule type="expression" dxfId="2113" priority="134">
      <formula>H243&gt;0</formula>
    </cfRule>
    <cfRule type="expression" dxfId="2112" priority="135">
      <formula>H243&lt;0</formula>
    </cfRule>
  </conditionalFormatting>
  <conditionalFormatting sqref="Q8">
    <cfRule type="expression" dxfId="2111" priority="120">
      <formula>Q8&gt;0</formula>
    </cfRule>
    <cfRule type="expression" dxfId="2110" priority="121">
      <formula>Q8&lt;0</formula>
    </cfRule>
  </conditionalFormatting>
  <conditionalFormatting sqref="Q7">
    <cfRule type="expression" dxfId="2109" priority="122">
      <formula>Q7&gt;0</formula>
    </cfRule>
    <cfRule type="expression" dxfId="2108" priority="123">
      <formula>Q7&lt;0</formula>
    </cfRule>
  </conditionalFormatting>
  <conditionalFormatting sqref="F351:F357">
    <cfRule type="expression" dxfId="2107" priority="94">
      <formula>F351&gt;0</formula>
    </cfRule>
    <cfRule type="expression" dxfId="2106" priority="95">
      <formula>F351&lt;0</formula>
    </cfRule>
  </conditionalFormatting>
  <conditionalFormatting sqref="F276:F294 H276:H294">
    <cfRule type="expression" dxfId="2105" priority="116">
      <formula>F276&gt;0</formula>
    </cfRule>
    <cfRule type="expression" dxfId="2104" priority="117">
      <formula>F276&lt;0</formula>
    </cfRule>
  </conditionalFormatting>
  <conditionalFormatting sqref="F269:F275">
    <cfRule type="expression" dxfId="2103" priority="114">
      <formula>F269&gt;0</formula>
    </cfRule>
    <cfRule type="expression" dxfId="2102" priority="115">
      <formula>F269&lt;0</formula>
    </cfRule>
  </conditionalFormatting>
  <conditionalFormatting sqref="H269:H275">
    <cfRule type="expression" dxfId="2101" priority="112">
      <formula>H269&gt;0</formula>
    </cfRule>
    <cfRule type="expression" dxfId="2100" priority="113">
      <formula>H269&lt;0</formula>
    </cfRule>
  </conditionalFormatting>
  <conditionalFormatting sqref="F302:F320 H302:H320">
    <cfRule type="expression" dxfId="2099" priority="110">
      <formula>F302&gt;0</formula>
    </cfRule>
    <cfRule type="expression" dxfId="2098" priority="111">
      <formula>F302&lt;0</formula>
    </cfRule>
  </conditionalFormatting>
  <conditionalFormatting sqref="F295:F301">
    <cfRule type="expression" dxfId="2097" priority="108">
      <formula>F295&gt;0</formula>
    </cfRule>
    <cfRule type="expression" dxfId="2096" priority="109">
      <formula>F295&lt;0</formula>
    </cfRule>
  </conditionalFormatting>
  <conditionalFormatting sqref="H295:H301">
    <cfRule type="expression" dxfId="2095" priority="106">
      <formula>H295&gt;0</formula>
    </cfRule>
    <cfRule type="expression" dxfId="2094" priority="107">
      <formula>H295&lt;0</formula>
    </cfRule>
  </conditionalFormatting>
  <conditionalFormatting sqref="F328:F345 H328:H345">
    <cfRule type="expression" dxfId="2093" priority="104">
      <formula>F328&gt;0</formula>
    </cfRule>
    <cfRule type="expression" dxfId="2092" priority="105">
      <formula>F328&lt;0</formula>
    </cfRule>
  </conditionalFormatting>
  <conditionalFormatting sqref="F321:F327">
    <cfRule type="expression" dxfId="2091" priority="102">
      <formula>F321&gt;0</formula>
    </cfRule>
    <cfRule type="expression" dxfId="2090" priority="103">
      <formula>F321&lt;0</formula>
    </cfRule>
  </conditionalFormatting>
  <conditionalFormatting sqref="H321:H327">
    <cfRule type="expression" dxfId="2089" priority="100">
      <formula>H321&gt;0</formula>
    </cfRule>
    <cfRule type="expression" dxfId="2088" priority="101">
      <formula>H321&lt;0</formula>
    </cfRule>
  </conditionalFormatting>
  <conditionalFormatting sqref="F346:F350 H346:H350">
    <cfRule type="expression" dxfId="2087" priority="98">
      <formula>F346&gt;0</formula>
    </cfRule>
    <cfRule type="expression" dxfId="2086" priority="99">
      <formula>F346&lt;0</formula>
    </cfRule>
  </conditionalFormatting>
  <conditionalFormatting sqref="F358:F373 H358:H373">
    <cfRule type="expression" dxfId="2085" priority="96">
      <formula>F358&gt;0</formula>
    </cfRule>
    <cfRule type="expression" dxfId="2084" priority="97">
      <formula>F358&lt;0</formula>
    </cfRule>
  </conditionalFormatting>
  <conditionalFormatting sqref="H351:H357">
    <cfRule type="expression" dxfId="2083" priority="92">
      <formula>H351&gt;0</formula>
    </cfRule>
    <cfRule type="expression" dxfId="2082" priority="93">
      <formula>H351&lt;0</formula>
    </cfRule>
  </conditionalFormatting>
  <conditionalFormatting sqref="F374 H374">
    <cfRule type="expression" dxfId="2081" priority="90">
      <formula>F374&gt;0</formula>
    </cfRule>
    <cfRule type="expression" dxfId="2080" priority="91">
      <formula>F374&lt;0</formula>
    </cfRule>
  </conditionalFormatting>
  <conditionalFormatting sqref="F375:F379 H375:H379">
    <cfRule type="expression" dxfId="2079" priority="88">
      <formula>F375&gt;0</formula>
    </cfRule>
    <cfRule type="expression" dxfId="2078" priority="89">
      <formula>F375&lt;0</formula>
    </cfRule>
  </conditionalFormatting>
  <conditionalFormatting sqref="F387:F402 H387:H402">
    <cfRule type="expression" dxfId="2077" priority="86">
      <formula>F387&gt;0</formula>
    </cfRule>
    <cfRule type="expression" dxfId="2076" priority="87">
      <formula>F387&lt;0</formula>
    </cfRule>
  </conditionalFormatting>
  <conditionalFormatting sqref="F380:F386">
    <cfRule type="expression" dxfId="2075" priority="84">
      <formula>F380&gt;0</formula>
    </cfRule>
    <cfRule type="expression" dxfId="2074" priority="85">
      <formula>F380&lt;0</formula>
    </cfRule>
  </conditionalFormatting>
  <conditionalFormatting sqref="H380:H386">
    <cfRule type="expression" dxfId="2073" priority="82">
      <formula>H380&gt;0</formula>
    </cfRule>
    <cfRule type="expression" dxfId="2072" priority="83">
      <formula>H380&lt;0</formula>
    </cfRule>
  </conditionalFormatting>
  <conditionalFormatting sqref="F404:F409 H404:H409">
    <cfRule type="expression" dxfId="2071" priority="80">
      <formula>F404&gt;0</formula>
    </cfRule>
    <cfRule type="expression" dxfId="2070" priority="81">
      <formula>F404&lt;0</formula>
    </cfRule>
  </conditionalFormatting>
  <conditionalFormatting sqref="F410 H410">
    <cfRule type="expression" dxfId="2069" priority="78">
      <formula>F410&gt;0</formula>
    </cfRule>
    <cfRule type="expression" dxfId="2068" priority="79">
      <formula>F410&lt;0</formula>
    </cfRule>
  </conditionalFormatting>
  <conditionalFormatting sqref="F411:F415 H411:H415">
    <cfRule type="expression" dxfId="2067" priority="76">
      <formula>F411&gt;0</formula>
    </cfRule>
    <cfRule type="expression" dxfId="2066" priority="77">
      <formula>F411&lt;0</formula>
    </cfRule>
  </conditionalFormatting>
  <conditionalFormatting sqref="F423:F438 H423:H438">
    <cfRule type="expression" dxfId="2065" priority="74">
      <formula>F423&gt;0</formula>
    </cfRule>
    <cfRule type="expression" dxfId="2064" priority="75">
      <formula>F423&lt;0</formula>
    </cfRule>
  </conditionalFormatting>
  <conditionalFormatting sqref="F416:F422">
    <cfRule type="expression" dxfId="2063" priority="72">
      <formula>F416&gt;0</formula>
    </cfRule>
    <cfRule type="expression" dxfId="2062" priority="73">
      <formula>F416&lt;0</formula>
    </cfRule>
  </conditionalFormatting>
  <conditionalFormatting sqref="H416:H422">
    <cfRule type="expression" dxfId="2061" priority="70">
      <formula>H416&gt;0</formula>
    </cfRule>
    <cfRule type="expression" dxfId="2060" priority="71">
      <formula>H416&lt;0</formula>
    </cfRule>
  </conditionalFormatting>
  <conditionalFormatting sqref="F439:F444 H439:H444">
    <cfRule type="expression" dxfId="2059" priority="68">
      <formula>F439&gt;0</formula>
    </cfRule>
    <cfRule type="expression" dxfId="2058" priority="69">
      <formula>F439&lt;0</formula>
    </cfRule>
  </conditionalFormatting>
  <conditionalFormatting sqref="F445 H445">
    <cfRule type="expression" dxfId="2057" priority="66">
      <formula>F445&gt;0</formula>
    </cfRule>
    <cfRule type="expression" dxfId="2056" priority="67">
      <formula>F445&lt;0</formula>
    </cfRule>
  </conditionalFormatting>
  <conditionalFormatting sqref="F446:F450 H446:H450">
    <cfRule type="expression" dxfId="2055" priority="64">
      <formula>F446&gt;0</formula>
    </cfRule>
    <cfRule type="expression" dxfId="2054" priority="65">
      <formula>F446&lt;0</formula>
    </cfRule>
  </conditionalFormatting>
  <conditionalFormatting sqref="F458:F473 H458:H473">
    <cfRule type="expression" dxfId="2053" priority="62">
      <formula>F458&gt;0</formula>
    </cfRule>
    <cfRule type="expression" dxfId="2052" priority="63">
      <formula>F458&lt;0</formula>
    </cfRule>
  </conditionalFormatting>
  <conditionalFormatting sqref="F451:F457">
    <cfRule type="expression" dxfId="2051" priority="60">
      <formula>F451&gt;0</formula>
    </cfRule>
    <cfRule type="expression" dxfId="2050" priority="61">
      <formula>F451&lt;0</formula>
    </cfRule>
  </conditionalFormatting>
  <conditionalFormatting sqref="H451:H457">
    <cfRule type="expression" dxfId="2049" priority="58">
      <formula>H451&gt;0</formula>
    </cfRule>
    <cfRule type="expression" dxfId="2048" priority="59">
      <formula>H451&lt;0</formula>
    </cfRule>
  </conditionalFormatting>
  <conditionalFormatting sqref="M502">
    <cfRule type="expression" dxfId="2047" priority="56">
      <formula>M502&gt;0</formula>
    </cfRule>
    <cfRule type="expression" dxfId="2046" priority="57">
      <formula>M502&lt;0</formula>
    </cfRule>
  </conditionalFormatting>
  <conditionalFormatting sqref="F101:F112">
    <cfRule type="expression" dxfId="2045" priority="52">
      <formula>F101&gt;0</formula>
    </cfRule>
    <cfRule type="expression" dxfId="2044" priority="53">
      <formula>F101&lt;0</formula>
    </cfRule>
  </conditionalFormatting>
  <conditionalFormatting sqref="H101:H112">
    <cfRule type="expression" dxfId="2043" priority="50">
      <formula>H101&gt;0</formula>
    </cfRule>
    <cfRule type="expression" dxfId="2042" priority="51">
      <formula>H101&lt;0</formula>
    </cfRule>
  </conditionalFormatting>
  <conditionalFormatting sqref="F95:F100 H95:H100">
    <cfRule type="expression" dxfId="2041" priority="48">
      <formula>F95&gt;0</formula>
    </cfRule>
    <cfRule type="expression" dxfId="2040" priority="49">
      <formula>F95&lt;0</formula>
    </cfRule>
  </conditionalFormatting>
  <conditionalFormatting sqref="J97:K97">
    <cfRule type="expression" dxfId="2039" priority="46">
      <formula>J97&gt;0</formula>
    </cfRule>
    <cfRule type="expression" dxfId="2038" priority="47">
      <formula>J97&lt;0</formula>
    </cfRule>
  </conditionalFormatting>
  <conditionalFormatting sqref="J98:K104">
    <cfRule type="expression" dxfId="2037" priority="44">
      <formula>J98&gt;0</formula>
    </cfRule>
    <cfRule type="expression" dxfId="2036" priority="45">
      <formula>J98&lt;0</formula>
    </cfRule>
  </conditionalFormatting>
  <conditionalFormatting sqref="L97:L179 L186 L188">
    <cfRule type="expression" dxfId="2035" priority="40">
      <formula>L97&gt;0</formula>
    </cfRule>
    <cfRule type="expression" dxfId="2034" priority="41">
      <formula>L97&lt;0</formula>
    </cfRule>
  </conditionalFormatting>
  <conditionalFormatting sqref="Q10">
    <cfRule type="expression" dxfId="2033" priority="38">
      <formula>Q10&gt;0</formula>
    </cfRule>
    <cfRule type="expression" dxfId="2032" priority="39">
      <formula>Q10&lt;0</formula>
    </cfRule>
  </conditionalFormatting>
  <conditionalFormatting sqref="K208:K209 H208:H210 F208:F210">
    <cfRule type="expression" dxfId="2031" priority="35">
      <formula>F208&gt;0</formula>
    </cfRule>
    <cfRule type="expression" dxfId="2030" priority="36">
      <formula>F208&lt;0</formula>
    </cfRule>
  </conditionalFormatting>
  <conditionalFormatting sqref="K204:K206 H204:H206 F204:F206">
    <cfRule type="expression" dxfId="2029" priority="33">
      <formula>F204&gt;0</formula>
    </cfRule>
    <cfRule type="expression" dxfId="2028" priority="34">
      <formula>F204&lt;0</formula>
    </cfRule>
  </conditionalFormatting>
  <conditionalFormatting sqref="K202:K203 H203 F203">
    <cfRule type="expression" dxfId="2027" priority="31">
      <formula>F202&gt;0</formula>
    </cfRule>
    <cfRule type="expression" dxfId="2026" priority="32">
      <formula>F202&lt;0</formula>
    </cfRule>
  </conditionalFormatting>
  <conditionalFormatting sqref="K207 H207 F207">
    <cfRule type="expression" dxfId="2025" priority="29">
      <formula>F207&gt;0</formula>
    </cfRule>
    <cfRule type="expression" dxfId="2024" priority="30">
      <formula>F207&lt;0</formula>
    </cfRule>
  </conditionalFormatting>
  <conditionalFormatting sqref="K215:K216">
    <cfRule type="expression" dxfId="2023" priority="27">
      <formula>K215&gt;0</formula>
    </cfRule>
    <cfRule type="expression" dxfId="2022" priority="28">
      <formula>K215&lt;0</formula>
    </cfRule>
  </conditionalFormatting>
  <conditionalFormatting sqref="K213:K214 H213:H216 F213:F216">
    <cfRule type="expression" dxfId="2021" priority="25">
      <formula>F213&gt;0</formula>
    </cfRule>
    <cfRule type="expression" dxfId="2020" priority="26">
      <formula>F213&lt;0</formula>
    </cfRule>
  </conditionalFormatting>
  <conditionalFormatting sqref="H211:H212 F211:F212 K211:K212">
    <cfRule type="expression" dxfId="2019" priority="23">
      <formula>F211&gt;0</formula>
    </cfRule>
    <cfRule type="expression" dxfId="2018" priority="24">
      <formula>F211&lt;0</formula>
    </cfRule>
  </conditionalFormatting>
  <conditionalFormatting sqref="K237:K238 H237:H238 F237:F238">
    <cfRule type="expression" dxfId="2017" priority="21">
      <formula>F237&gt;0</formula>
    </cfRule>
    <cfRule type="expression" dxfId="2016" priority="22">
      <formula>F237&lt;0</formula>
    </cfRule>
  </conditionalFormatting>
  <conditionalFormatting sqref="K219:K220 H219:H221 F219:F221">
    <cfRule type="expression" dxfId="2015" priority="19">
      <formula>F219&gt;0</formula>
    </cfRule>
    <cfRule type="expression" dxfId="2014" priority="20">
      <formula>F219&lt;0</formula>
    </cfRule>
  </conditionalFormatting>
  <conditionalFormatting sqref="K217:K218 H217:H218 F217:F218">
    <cfRule type="expression" dxfId="2013" priority="17">
      <formula>F217&gt;0</formula>
    </cfRule>
    <cfRule type="expression" dxfId="2012" priority="18">
      <formula>F217&lt;0</formula>
    </cfRule>
  </conditionalFormatting>
  <conditionalFormatting sqref="K231:K232 H231:H232 F231:F232">
    <cfRule type="expression" dxfId="2011" priority="15">
      <formula>F231&gt;0</formula>
    </cfRule>
    <cfRule type="expression" dxfId="2010" priority="16">
      <formula>F231&lt;0</formula>
    </cfRule>
  </conditionalFormatting>
  <conditionalFormatting sqref="K229:K230 H230 F230">
    <cfRule type="expression" dxfId="2009" priority="13">
      <formula>F229&gt;0</formula>
    </cfRule>
    <cfRule type="expression" dxfId="2008" priority="14">
      <formula>F229&lt;0</formula>
    </cfRule>
  </conditionalFormatting>
  <conditionalFormatting sqref="K227:K228 H227:H229 F227:F229">
    <cfRule type="expression" dxfId="2007" priority="11">
      <formula>F227&gt;0</formula>
    </cfRule>
    <cfRule type="expression" dxfId="2006" priority="12">
      <formula>F227&lt;0</formula>
    </cfRule>
  </conditionalFormatting>
  <conditionalFormatting sqref="K225:K226 H226 F226">
    <cfRule type="expression" dxfId="2005" priority="9">
      <formula>F225&gt;0</formula>
    </cfRule>
    <cfRule type="expression" dxfId="2004" priority="10">
      <formula>F225&lt;0</formula>
    </cfRule>
  </conditionalFormatting>
  <conditionalFormatting sqref="K223:K224 H223:H225 F223:F225">
    <cfRule type="expression" dxfId="2003" priority="7">
      <formula>F223&gt;0</formula>
    </cfRule>
    <cfRule type="expression" dxfId="2002" priority="8">
      <formula>F223&lt;0</formula>
    </cfRule>
  </conditionalFormatting>
  <conditionalFormatting sqref="K221:K222 H222 F222">
    <cfRule type="expression" dxfId="2001" priority="5">
      <formula>F221&gt;0</formula>
    </cfRule>
    <cfRule type="expression" dxfId="2000" priority="6">
      <formula>F221&lt;0</formula>
    </cfRule>
  </conditionalFormatting>
  <conditionalFormatting sqref="K235:K236 H235:H236 F235:F236">
    <cfRule type="expression" dxfId="1999" priority="3">
      <formula>F235&gt;0</formula>
    </cfRule>
    <cfRule type="expression" dxfId="1998" priority="4">
      <formula>F235&lt;0</formula>
    </cfRule>
  </conditionalFormatting>
  <conditionalFormatting sqref="K233:K234 H233:H234 F233:F234">
    <cfRule type="expression" dxfId="1997" priority="1">
      <formula>F233&gt;0</formula>
    </cfRule>
    <cfRule type="expression" dxfId="1996" priority="2">
      <formula>F233&lt;0</formula>
    </cfRule>
  </conditionalFormatting>
  <hyperlinks>
    <hyperlink ref="A3" location="ACTIVE!A1" display="Back"/>
    <hyperlink ref="A50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186</v>
      </c>
      <c r="AJ2">
        <f>$Q$2*$Q$4</f>
        <v>5444</v>
      </c>
      <c r="AK2">
        <f ca="1">AJ2*EXP(-$X$2 * AI2/365.25)</f>
        <v>5444</v>
      </c>
      <c r="AM2" s="2">
        <f>Q10</f>
        <v>0</v>
      </c>
      <c r="AO2">
        <f ca="1" xml:space="preserve"> (SUM(AB:AB) - SUM(AE:AE) - SUM(AH:AH) - SUM(AK:AK))/SUM(AB:AB)</f>
        <v>5.7547778859455855E-2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13.61</v>
      </c>
      <c r="R4" s="495">
        <v>-9.2999999999999992E-3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5444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-561.57999999999993</v>
      </c>
      <c r="R7">
        <v>300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-561.57999999999993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-9.3509702643208473E-2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3.526818515797208E-2</v>
      </c>
      <c r="R11">
        <f>0.12</f>
        <v>0.12</v>
      </c>
      <c r="T11" s="817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14.326315789473684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14.971</v>
      </c>
      <c r="W21" s="134"/>
    </row>
    <row r="22" spans="1:34" x14ac:dyDescent="0.25">
      <c r="O22" s="81">
        <v>1.0900000000000001</v>
      </c>
      <c r="P22" s="81">
        <f t="shared" ref="P22:P41" si="10">O22*$Q$4</f>
        <v>14.834900000000001</v>
      </c>
      <c r="W22" s="134"/>
    </row>
    <row r="23" spans="1:34" x14ac:dyDescent="0.25">
      <c r="O23" s="81">
        <v>1.08</v>
      </c>
      <c r="P23" s="81">
        <f t="shared" si="10"/>
        <v>14.6988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14.5627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14.426600000000001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14.2905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14.154400000000001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14.0183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13.882199999999999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13.7461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13.61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13.473899999999999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13.3378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13.201699999999999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13.065599999999998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12.929499999999999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12.793399999999998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12.657299999999999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12.5212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12.3851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12.249000000000001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5" priority="25">
      <formula>F47&gt;0</formula>
    </cfRule>
    <cfRule type="expression" dxfId="1994" priority="26">
      <formula>F47&lt;0</formula>
    </cfRule>
  </conditionalFormatting>
  <conditionalFormatting sqref="Q7">
    <cfRule type="expression" dxfId="1993" priority="23">
      <formula>Q7&gt;0</formula>
    </cfRule>
    <cfRule type="expression" dxfId="1992" priority="24">
      <formula>Q7&lt;0</formula>
    </cfRule>
  </conditionalFormatting>
  <conditionalFormatting sqref="Q8">
    <cfRule type="expression" dxfId="1991" priority="21">
      <formula>Q8&gt;0</formula>
    </cfRule>
    <cfRule type="expression" dxfId="1990" priority="22">
      <formula>Q8&lt;0</formula>
    </cfRule>
  </conditionalFormatting>
  <conditionalFormatting sqref="F25:F30 F34:F46">
    <cfRule type="expression" dxfId="1989" priority="19">
      <formula>F25&gt;0</formula>
    </cfRule>
    <cfRule type="expression" dxfId="1988" priority="20">
      <formula>F25&lt;0</formula>
    </cfRule>
  </conditionalFormatting>
  <conditionalFormatting sqref="H25:H30 H34:H46">
    <cfRule type="expression" dxfId="1987" priority="17">
      <formula>H25&gt;0</formula>
    </cfRule>
    <cfRule type="expression" dxfId="1986" priority="18">
      <formula>H25&lt;0</formula>
    </cfRule>
  </conditionalFormatting>
  <conditionalFormatting sqref="F89:F110">
    <cfRule type="expression" dxfId="1985" priority="15">
      <formula>F89&gt;0</formula>
    </cfRule>
    <cfRule type="expression" dxfId="1984" priority="16">
      <formula>F89&lt;0</formula>
    </cfRule>
  </conditionalFormatting>
  <conditionalFormatting sqref="H89:H110">
    <cfRule type="expression" dxfId="1983" priority="13">
      <formula>H89&gt;0</formula>
    </cfRule>
    <cfRule type="expression" dxfId="1982" priority="14">
      <formula>H89&lt;0</formula>
    </cfRule>
  </conditionalFormatting>
  <conditionalFormatting sqref="Q10">
    <cfRule type="expression" dxfId="1981" priority="11">
      <formula>Q10&gt;0</formula>
    </cfRule>
    <cfRule type="expression" dxfId="1980" priority="12">
      <formula>Q10&lt;0</formula>
    </cfRule>
  </conditionalFormatting>
  <conditionalFormatting sqref="J25:J38">
    <cfRule type="expression" dxfId="1979" priority="9">
      <formula>J25&gt;0</formula>
    </cfRule>
    <cfRule type="expression" dxfId="1978" priority="10">
      <formula>J25&lt;0</formula>
    </cfRule>
  </conditionalFormatting>
  <conditionalFormatting sqref="K25:K38">
    <cfRule type="expression" dxfId="1977" priority="7">
      <formula>K25&gt;0</formula>
    </cfRule>
    <cfRule type="expression" dxfId="1976" priority="8">
      <formula>K25&lt;0</formula>
    </cfRule>
  </conditionalFormatting>
  <conditionalFormatting sqref="L25:L38">
    <cfRule type="expression" dxfId="1975" priority="5">
      <formula>L25&gt;0</formula>
    </cfRule>
    <cfRule type="expression" dxfId="197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3" priority="3">
      <formula>F31&gt;0</formula>
    </cfRule>
    <cfRule type="expression" dxfId="1972" priority="4">
      <formula>F31&lt;0</formula>
    </cfRule>
  </conditionalFormatting>
  <conditionalFormatting sqref="H31:H33">
    <cfRule type="expression" dxfId="1971" priority="1">
      <formula>H31&gt;0</formula>
    </cfRule>
    <cfRule type="expression" dxfId="197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43.77</v>
      </c>
      <c r="R4" s="495">
        <v>-7.3000000000000001E-3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8754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-1125.25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-1125.25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-0.1139003466862363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16.834615384615386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48.147000000000006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47.709300000000006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47.271600000000007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46.833900000000007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46.396200000000007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45.958500000000008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45.520800000000001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5" si="14">C30*(E30-D30)</f>
        <v>-347.24999999999966</v>
      </c>
      <c r="G30" s="39">
        <f t="shared" ref="G30:G35" si="15">D30*C30</f>
        <v>5271.25</v>
      </c>
      <c r="H30" s="222">
        <f t="shared" ref="H30:H35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45.083100000000002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44.645400000000002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44.207700000000003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43.77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43.332300000000004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4"/>
        <v>-1087.2599999999991</v>
      </c>
      <c r="G35" s="39">
        <f t="shared" si="15"/>
        <v>9879.2599999999984</v>
      </c>
      <c r="H35" s="222">
        <f t="shared" si="16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42.894600000000004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42.456900000000005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42.019200000000005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41.581499999999998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41.143799999999999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40.706100000000006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40.268400000000007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39.830700000000007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39.393000000000001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9" priority="31">
      <formula>F47&gt;0</formula>
    </cfRule>
    <cfRule type="expression" dxfId="1968" priority="32">
      <formula>F47&lt;0</formula>
    </cfRule>
  </conditionalFormatting>
  <conditionalFormatting sqref="Q7">
    <cfRule type="expression" dxfId="1967" priority="29">
      <formula>Q7&gt;0</formula>
    </cfRule>
    <cfRule type="expression" dxfId="1966" priority="30">
      <formula>Q7&lt;0</formula>
    </cfRule>
  </conditionalFormatting>
  <conditionalFormatting sqref="Q8">
    <cfRule type="expression" dxfId="1965" priority="27">
      <formula>Q8&gt;0</formula>
    </cfRule>
    <cfRule type="expression" dxfId="1964" priority="28">
      <formula>Q8&lt;0</formula>
    </cfRule>
  </conditionalFormatting>
  <conditionalFormatting sqref="F31:F46">
    <cfRule type="expression" dxfId="1963" priority="25">
      <formula>F31&gt;0</formula>
    </cfRule>
    <cfRule type="expression" dxfId="1962" priority="26">
      <formula>F31&lt;0</formula>
    </cfRule>
  </conditionalFormatting>
  <conditionalFormatting sqref="H31:H46">
    <cfRule type="expression" dxfId="1961" priority="23">
      <formula>H31&gt;0</formula>
    </cfRule>
    <cfRule type="expression" dxfId="1960" priority="24">
      <formula>H31&lt;0</formula>
    </cfRule>
  </conditionalFormatting>
  <conditionalFormatting sqref="Q10">
    <cfRule type="expression" dxfId="1959" priority="21">
      <formula>Q10&gt;0</formula>
    </cfRule>
    <cfRule type="expression" dxfId="1958" priority="22">
      <formula>Q10&lt;0</formula>
    </cfRule>
  </conditionalFormatting>
  <conditionalFormatting sqref="J25:J38">
    <cfRule type="expression" dxfId="1957" priority="19">
      <formula>J25&gt;0</formula>
    </cfRule>
    <cfRule type="expression" dxfId="1956" priority="20">
      <formula>J25&lt;0</formula>
    </cfRule>
  </conditionalFormatting>
  <conditionalFormatting sqref="K36:K38">
    <cfRule type="expression" dxfId="1955" priority="17">
      <formula>K36&gt;0</formula>
    </cfRule>
    <cfRule type="expression" dxfId="1954" priority="18">
      <formula>K36&lt;0</formula>
    </cfRule>
  </conditionalFormatting>
  <conditionalFormatting sqref="L25:L38">
    <cfRule type="expression" dxfId="1953" priority="15">
      <formula>L25&gt;0</formula>
    </cfRule>
    <cfRule type="expression" dxfId="1952" priority="16">
      <formula>L25&lt;0</formula>
    </cfRule>
  </conditionalFormatting>
  <conditionalFormatting sqref="F89:F110">
    <cfRule type="expression" dxfId="1951" priority="13">
      <formula>F89&gt;0</formula>
    </cfRule>
    <cfRule type="expression" dxfId="1950" priority="14">
      <formula>F89&lt;0</formula>
    </cfRule>
  </conditionalFormatting>
  <conditionalFormatting sqref="H89:H110">
    <cfRule type="expression" dxfId="1949" priority="11">
      <formula>H89&gt;0</formula>
    </cfRule>
    <cfRule type="expression" dxfId="1948" priority="12">
      <formula>H89&lt;0</formula>
    </cfRule>
  </conditionalFormatting>
  <conditionalFormatting sqref="J89:J102">
    <cfRule type="expression" dxfId="1947" priority="9">
      <formula>J89&gt;0</formula>
    </cfRule>
    <cfRule type="expression" dxfId="1946" priority="10">
      <formula>J89&lt;0</formula>
    </cfRule>
  </conditionalFormatting>
  <conditionalFormatting sqref="K89:K102">
    <cfRule type="expression" dxfId="1945" priority="7">
      <formula>K89&gt;0</formula>
    </cfRule>
    <cfRule type="expression" dxfId="1944" priority="8">
      <formula>K89&lt;0</formula>
    </cfRule>
  </conditionalFormatting>
  <conditionalFormatting sqref="L89:L102">
    <cfRule type="expression" dxfId="1943" priority="5">
      <formula>L89&gt;0</formula>
    </cfRule>
    <cfRule type="expression" dxfId="1942" priority="6">
      <formula>L89&lt;0</formula>
    </cfRule>
  </conditionalFormatting>
  <conditionalFormatting sqref="F25:F30">
    <cfRule type="expression" dxfId="1941" priority="3">
      <formula>F25&gt;0</formula>
    </cfRule>
    <cfRule type="expression" dxfId="1940" priority="4">
      <formula>F25&lt;0</formula>
    </cfRule>
  </conditionalFormatting>
  <conditionalFormatting sqref="H25:H30">
    <cfRule type="expression" dxfId="1939" priority="1">
      <formula>H25&gt;0</formula>
    </cfRule>
    <cfRule type="expression" dxfId="19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51.53</v>
      </c>
      <c r="R4" s="495">
        <v>0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5153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348.51000000000022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348.51000000000022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7.2538396375057546E-2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2.9109256743644479E-2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56.683000000000007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56.167700000000004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55.652400000000007</v>
      </c>
    </row>
    <row r="20" spans="1:21" x14ac:dyDescent="0.25">
      <c r="O20" s="81">
        <v>1.07</v>
      </c>
      <c r="P20" s="81">
        <f t="shared" si="2"/>
        <v>55.137100000000004</v>
      </c>
    </row>
    <row r="21" spans="1:21" x14ac:dyDescent="0.25">
      <c r="O21" s="81">
        <v>1.06</v>
      </c>
      <c r="P21" s="81">
        <f t="shared" si="2"/>
        <v>54.621800000000007</v>
      </c>
    </row>
    <row r="22" spans="1:21" x14ac:dyDescent="0.25">
      <c r="O22" s="81">
        <v>1.05</v>
      </c>
      <c r="P22" s="81">
        <f t="shared" si="2"/>
        <v>54.106500000000004</v>
      </c>
    </row>
    <row r="23" spans="1:21" x14ac:dyDescent="0.25">
      <c r="O23" s="81">
        <v>1.04</v>
      </c>
      <c r="P23" s="81">
        <f t="shared" si="2"/>
        <v>53.591200000000001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53.075900000000004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52.560600000000001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52.045300000000005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51.53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51.014699999999998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50.499400000000001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49.984099999999998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49.468800000000002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48.953499999999998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48.438199999999995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47.922900000000006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47.407600000000002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46.892300000000006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46.377000000000002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7" priority="35">
      <formula>F47&gt;0</formula>
    </cfRule>
    <cfRule type="expression" dxfId="1936" priority="36">
      <formula>F47&lt;0</formula>
    </cfRule>
  </conditionalFormatting>
  <conditionalFormatting sqref="Q7">
    <cfRule type="expression" dxfId="1935" priority="33">
      <formula>Q7&gt;0</formula>
    </cfRule>
    <cfRule type="expression" dxfId="1934" priority="34">
      <formula>Q7&lt;0</formula>
    </cfRule>
  </conditionalFormatting>
  <conditionalFormatting sqref="Q8">
    <cfRule type="expression" dxfId="1933" priority="31">
      <formula>Q8&gt;0</formula>
    </cfRule>
    <cfRule type="expression" dxfId="1932" priority="32">
      <formula>Q8&lt;0</formula>
    </cfRule>
  </conditionalFormatting>
  <conditionalFormatting sqref="F30:F46">
    <cfRule type="expression" dxfId="1931" priority="29">
      <formula>F30&gt;0</formula>
    </cfRule>
    <cfRule type="expression" dxfId="1930" priority="30">
      <formula>F30&lt;0</formula>
    </cfRule>
  </conditionalFormatting>
  <conditionalFormatting sqref="H30:H46">
    <cfRule type="expression" dxfId="1929" priority="27">
      <formula>H30&gt;0</formula>
    </cfRule>
    <cfRule type="expression" dxfId="1928" priority="28">
      <formula>H30&lt;0</formula>
    </cfRule>
  </conditionalFormatting>
  <conditionalFormatting sqref="Q10">
    <cfRule type="expression" dxfId="1927" priority="25">
      <formula>Q10&gt;0</formula>
    </cfRule>
    <cfRule type="expression" dxfId="1926" priority="26">
      <formula>Q10&lt;0</formula>
    </cfRule>
  </conditionalFormatting>
  <conditionalFormatting sqref="J25:J38">
    <cfRule type="expression" dxfId="1925" priority="23">
      <formula>J25&gt;0</formula>
    </cfRule>
    <cfRule type="expression" dxfId="1924" priority="24">
      <formula>J25&lt;0</formula>
    </cfRule>
  </conditionalFormatting>
  <conditionalFormatting sqref="K25:K38">
    <cfRule type="expression" dxfId="1923" priority="21">
      <formula>K25&gt;0</formula>
    </cfRule>
    <cfRule type="expression" dxfId="1922" priority="22">
      <formula>K25&lt;0</formula>
    </cfRule>
  </conditionalFormatting>
  <conditionalFormatting sqref="L25 L38">
    <cfRule type="expression" dxfId="1921" priority="19">
      <formula>L25&gt;0</formula>
    </cfRule>
    <cfRule type="expression" dxfId="1920" priority="20">
      <formula>L25&lt;0</formula>
    </cfRule>
  </conditionalFormatting>
  <conditionalFormatting sqref="F89:F110">
    <cfRule type="expression" dxfId="1919" priority="17">
      <formula>F89&gt;0</formula>
    </cfRule>
    <cfRule type="expression" dxfId="1918" priority="18">
      <formula>F89&lt;0</formula>
    </cfRule>
  </conditionalFormatting>
  <conditionalFormatting sqref="H89:H110">
    <cfRule type="expression" dxfId="1917" priority="15">
      <formula>H89&gt;0</formula>
    </cfRule>
    <cfRule type="expression" dxfId="1916" priority="16">
      <formula>H89&lt;0</formula>
    </cfRule>
  </conditionalFormatting>
  <conditionalFormatting sqref="J89:J102">
    <cfRule type="expression" dxfId="1915" priority="13">
      <formula>J89&gt;0</formula>
    </cfRule>
    <cfRule type="expression" dxfId="1914" priority="14">
      <formula>J89&lt;0</formula>
    </cfRule>
  </conditionalFormatting>
  <conditionalFormatting sqref="K89:K102">
    <cfRule type="expression" dxfId="1913" priority="11">
      <formula>K89&gt;0</formula>
    </cfRule>
    <cfRule type="expression" dxfId="1912" priority="12">
      <formula>K89&lt;0</formula>
    </cfRule>
  </conditionalFormatting>
  <conditionalFormatting sqref="L89:L102">
    <cfRule type="expression" dxfId="1911" priority="9">
      <formula>L89&gt;0</formula>
    </cfRule>
    <cfRule type="expression" dxfId="1910" priority="10">
      <formula>L89&lt;0</formula>
    </cfRule>
  </conditionalFormatting>
  <conditionalFormatting sqref="F25 F29">
    <cfRule type="expression" dxfId="1909" priority="7">
      <formula>F25&gt;0</formula>
    </cfRule>
    <cfRule type="expression" dxfId="1908" priority="8">
      <formula>F25&lt;0</formula>
    </cfRule>
  </conditionalFormatting>
  <conditionalFormatting sqref="H29 H25:H27">
    <cfRule type="expression" dxfId="1907" priority="5">
      <formula>H25&gt;0</formula>
    </cfRule>
    <cfRule type="expression" dxfId="1906" priority="6">
      <formula>H25&lt;0</formula>
    </cfRule>
  </conditionalFormatting>
  <conditionalFormatting sqref="F26:F28">
    <cfRule type="expression" dxfId="1905" priority="3">
      <formula>F26&gt;0</formula>
    </cfRule>
    <cfRule type="expression" dxfId="1904" priority="4">
      <formula>F26&lt;0</formula>
    </cfRule>
  </conditionalFormatting>
  <conditionalFormatting sqref="H28">
    <cfRule type="expression" dxfId="1903" priority="1">
      <formula>H28&gt;0</formula>
    </cfRule>
    <cfRule type="expression" dxfId="190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131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348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460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28.45</v>
      </c>
      <c r="R4" s="222">
        <v>-0.02</v>
      </c>
      <c r="T4" s="34" t="s">
        <v>672</v>
      </c>
      <c r="U4" s="22" t="s">
        <v>671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42675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1016</v>
      </c>
      <c r="U6" t="s">
        <v>1018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2849.2199999999648</v>
      </c>
      <c r="R7" s="29">
        <v>43297</v>
      </c>
      <c r="T7" s="813" t="s">
        <v>1152</v>
      </c>
      <c r="U7" t="s">
        <v>1153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1101.2499999999709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2.6489070627498609E-2</v>
      </c>
      <c r="T9" s="813" t="s">
        <v>517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1.9683655536028122E-2</v>
      </c>
      <c r="R11">
        <v>0.14000000000000001</v>
      </c>
      <c r="T11" s="813">
        <v>43095</v>
      </c>
      <c r="U11" t="s">
        <v>785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/>
      <c r="U12" t="s">
        <v>791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13.878048780487806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848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846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852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860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861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31.295000000000002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31.0105</v>
      </c>
      <c r="Q24" s="2"/>
      <c r="T24" s="813">
        <v>43126</v>
      </c>
      <c r="U24" t="s">
        <v>912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30.726000000000003</v>
      </c>
      <c r="Q25" s="2"/>
      <c r="U25" t="s">
        <v>913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30.441500000000001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30.157</v>
      </c>
      <c r="Q27" s="2"/>
      <c r="T27" s="814">
        <v>43153</v>
      </c>
      <c r="U27" t="s">
        <v>952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29.872500000000002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29.588000000000001</v>
      </c>
      <c r="Q29" s="2"/>
      <c r="T29" s="814">
        <v>43161</v>
      </c>
      <c r="U29" t="s">
        <v>951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29.3035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29.018999999999998</v>
      </c>
      <c r="Q31" s="2"/>
      <c r="T31" s="814">
        <v>43167</v>
      </c>
      <c r="U31" t="s">
        <v>978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28.734500000000001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28.45</v>
      </c>
      <c r="Q33" s="2"/>
      <c r="T33" s="813">
        <v>43196</v>
      </c>
      <c r="U33" t="s">
        <v>971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28.165499999999998</v>
      </c>
      <c r="Q34" s="2"/>
      <c r="U34" t="s">
        <v>993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27.881</v>
      </c>
      <c r="Q35" s="2"/>
      <c r="T35" s="813">
        <v>43200</v>
      </c>
      <c r="U35" t="s">
        <v>1008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27.596499999999999</v>
      </c>
      <c r="T36" s="813">
        <v>43203</v>
      </c>
      <c r="U36" t="s">
        <v>1007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27.311999999999998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" si="3">D38*C38+E38</f>
        <v>1942.4</v>
      </c>
      <c r="G38" s="29"/>
      <c r="O38" s="81">
        <v>0.95</v>
      </c>
      <c r="P38" s="81">
        <f t="shared" si="2"/>
        <v>27.027499999999996</v>
      </c>
      <c r="T38" s="813">
        <v>43210</v>
      </c>
      <c r="U38" t="s">
        <v>1013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ref="F39:F43" si="4">D39*C39+E39</f>
        <v>4856</v>
      </c>
      <c r="G39" s="29"/>
      <c r="O39" s="81">
        <v>0.94</v>
      </c>
      <c r="P39" s="81">
        <f t="shared" si="2"/>
        <v>26.742999999999999</v>
      </c>
      <c r="U39" t="s">
        <v>1014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4"/>
        <v>5080</v>
      </c>
      <c r="G40" s="29"/>
      <c r="O40" s="81">
        <v>0.93</v>
      </c>
      <c r="P40" s="81">
        <f t="shared" si="2"/>
        <v>26.458500000000001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4"/>
        <v>7395</v>
      </c>
      <c r="G41" s="477"/>
      <c r="O41" s="81">
        <v>0.92</v>
      </c>
      <c r="P41" s="81">
        <f t="shared" si="2"/>
        <v>26.173999999999999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4"/>
        <v>7581</v>
      </c>
      <c r="G42" s="477"/>
      <c r="O42" s="81">
        <v>0.91</v>
      </c>
      <c r="P42" s="81">
        <f t="shared" si="2"/>
        <v>25.889500000000002</v>
      </c>
      <c r="T42" s="813">
        <v>43214</v>
      </c>
      <c r="U42" t="s">
        <v>1019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4"/>
        <v>4914</v>
      </c>
      <c r="G43" s="29"/>
      <c r="O43" s="81">
        <v>0.9</v>
      </c>
      <c r="P43" s="81">
        <f t="shared" si="2"/>
        <v>25.605</v>
      </c>
      <c r="T43" s="813">
        <v>43221</v>
      </c>
      <c r="U43" t="s">
        <v>1060</v>
      </c>
      <c r="W43" s="134"/>
      <c r="AA43" s="2"/>
      <c r="AD43" s="2"/>
      <c r="AG43" s="2"/>
      <c r="AI43" s="2"/>
    </row>
    <row r="44" spans="1:39" x14ac:dyDescent="0.25">
      <c r="A44" t="s">
        <v>1146</v>
      </c>
      <c r="B44" s="476">
        <v>43266</v>
      </c>
      <c r="C44" s="7">
        <v>20</v>
      </c>
      <c r="D44" s="43">
        <v>25.78</v>
      </c>
      <c r="E44" s="43">
        <v>0</v>
      </c>
      <c r="F44" s="43">
        <f>D44*C44+E44</f>
        <v>515.6</v>
      </c>
      <c r="G44" s="29"/>
      <c r="T44" s="814">
        <v>43223</v>
      </c>
      <c r="U44" t="s">
        <v>1058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>D45*C45+E45</f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>D46*C46+E46</f>
        <v>8394</v>
      </c>
      <c r="G46" s="29"/>
      <c r="T46" s="813">
        <v>43224</v>
      </c>
      <c r="U46" s="475" t="s">
        <v>1059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>D47*C47+E47</f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D48" s="78"/>
      <c r="G48" s="29"/>
      <c r="T48" s="813">
        <v>43236</v>
      </c>
      <c r="U48" t="s">
        <v>1084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4">
        <v>43237</v>
      </c>
      <c r="U49" t="s">
        <v>1015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1086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1099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27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1145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1147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1148</v>
      </c>
      <c r="AA61" s="2"/>
      <c r="AD61" s="2"/>
      <c r="AG61" s="2"/>
      <c r="AI61" s="2"/>
    </row>
    <row r="62" spans="1:39" x14ac:dyDescent="0.25">
      <c r="U62" t="s">
        <v>1149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8">C71*(E71-D71)</f>
        <v>-217.15200000000294</v>
      </c>
      <c r="G71" s="39">
        <f t="shared" ref="G71" si="9">D71*C71</f>
        <v>20155.152000000002</v>
      </c>
      <c r="H71" s="222">
        <f t="shared" ref="H71" si="10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1">C72*(E72-D72)</f>
        <v>-815.12000000000171</v>
      </c>
      <c r="G72" s="39">
        <f t="shared" ref="G72" si="12">D72*C72</f>
        <v>26591.120000000003</v>
      </c>
      <c r="H72" s="222">
        <f t="shared" ref="H72" si="13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4">C73*(E73-D73)</f>
        <v>-1989.12</v>
      </c>
      <c r="G73" s="39">
        <f t="shared" ref="G73" si="15">D73*C73</f>
        <v>44927.12</v>
      </c>
      <c r="H73" s="222">
        <f t="shared" ref="H73" si="16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7">C74*(E74-D74)</f>
        <v>-3487.4999999999991</v>
      </c>
      <c r="G74" s="39">
        <f t="shared" ref="G74" si="18">D74*C74</f>
        <v>47932.5</v>
      </c>
      <c r="H74" s="222">
        <f t="shared" ref="H74" si="19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0">C75*(E75-D75)</f>
        <v>-4805.9000000000033</v>
      </c>
      <c r="G75" s="39">
        <f t="shared" ref="G75" si="21">D75*C75</f>
        <v>53595.9</v>
      </c>
      <c r="H75" s="222">
        <f t="shared" ref="H75" si="22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3">C76*(E76-D76)</f>
        <v>-4532.9999999999973</v>
      </c>
      <c r="G76" s="39">
        <f t="shared" ref="G76" si="24">D76*C76</f>
        <v>47793</v>
      </c>
      <c r="H76" s="222">
        <f t="shared" ref="H76" si="25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6">C77*(E77-D77)</f>
        <v>-4142.9999999999955</v>
      </c>
      <c r="G77" s="39">
        <f t="shared" ref="G77" si="27">D77*C77</f>
        <v>47793</v>
      </c>
      <c r="H77" s="222">
        <f t="shared" ref="H77" si="28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9">C78*(E78-D78)</f>
        <v>-3764.9999999999968</v>
      </c>
      <c r="G78" s="39">
        <f t="shared" ref="G78" si="30">D78*C78</f>
        <v>47790</v>
      </c>
      <c r="H78" s="222">
        <f t="shared" ref="H78" si="31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2">C79*(E79-D79)</f>
        <v>-3944.9999999999986</v>
      </c>
      <c r="G79" s="39">
        <f t="shared" ref="G79:G80" si="33">D79*C79</f>
        <v>47790</v>
      </c>
      <c r="H79" s="222">
        <f t="shared" ref="H79:H80" si="34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2"/>
        <v>-11658.96</v>
      </c>
      <c r="G80" s="39">
        <f t="shared" si="33"/>
        <v>55182.96</v>
      </c>
      <c r="H80" s="222">
        <f t="shared" si="34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5">C81*(E81-D81)</f>
        <v>-14922.88</v>
      </c>
      <c r="G81" s="39">
        <f t="shared" ref="G81" si="36">D81*C81</f>
        <v>59502.879999999997</v>
      </c>
      <c r="H81" s="222">
        <f t="shared" ref="H81" si="37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8">C82*(E82-D82)</f>
        <v>-12982.879999999994</v>
      </c>
      <c r="G82" s="39">
        <f t="shared" ref="G82" si="39">D82*C82</f>
        <v>59502.879999999997</v>
      </c>
      <c r="H82" s="222">
        <f t="shared" ref="H82" si="40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1">C83*(E83-D83)</f>
        <v>-10943.942999999997</v>
      </c>
      <c r="G83" s="39">
        <f t="shared" ref="G83" si="42">D83*C83</f>
        <v>57075.942999999999</v>
      </c>
      <c r="H83" s="222">
        <f t="shared" ref="H83" si="43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4">C84*(E84-D84)</f>
        <v>-8839.9999999999964</v>
      </c>
      <c r="G84" s="39">
        <f t="shared" ref="G84" si="45">D84*C84</f>
        <v>59400</v>
      </c>
      <c r="H84" s="222">
        <f t="shared" ref="H84" si="46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7">C85*(E85-D85)</f>
        <v>-14325.999999999993</v>
      </c>
      <c r="G85" s="39">
        <f t="shared" ref="G85" si="48">D85*C85</f>
        <v>59166</v>
      </c>
      <c r="H85" s="222">
        <f t="shared" ref="H85" si="49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0">C86*(E86-D86)</f>
        <v>-16722.480000000003</v>
      </c>
      <c r="G86" s="39">
        <f t="shared" ref="G86" si="51">D86*C86</f>
        <v>67314.48</v>
      </c>
      <c r="H86" s="222">
        <f t="shared" ref="H86" si="52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3">C87*(E87-D87)</f>
        <v>-16623.999999999996</v>
      </c>
      <c r="G87" s="39">
        <f t="shared" ref="G87" si="54">D87*C87</f>
        <v>58894</v>
      </c>
      <c r="H87" s="222">
        <f t="shared" ref="H87" si="55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6">C88*(E88-D88)</f>
        <v>-16013.999999999996</v>
      </c>
      <c r="G88" s="39">
        <f t="shared" ref="G88" si="57">D88*C88</f>
        <v>58894</v>
      </c>
      <c r="H88" s="222">
        <f t="shared" ref="H88" si="58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9">C89*(E89-D89)</f>
        <v>-18460.640000000003</v>
      </c>
      <c r="G89" s="39">
        <f t="shared" ref="G89:G90" si="60">D89*C89</f>
        <v>62944.639999999999</v>
      </c>
      <c r="H89" s="222">
        <f t="shared" ref="H89:H90" si="61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9"/>
        <v>-17704</v>
      </c>
      <c r="G90" s="39">
        <f t="shared" si="60"/>
        <v>58824</v>
      </c>
      <c r="H90" s="222">
        <f t="shared" si="61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2">C91*(E91-D91)</f>
        <v>-16223.999999999996</v>
      </c>
      <c r="G91" s="39">
        <f t="shared" ref="G91" si="63">D91*C91</f>
        <v>58824</v>
      </c>
      <c r="H91" s="222">
        <f t="shared" ref="H91" si="64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5">C92*(E92-D92)</f>
        <v>-16123.999999999995</v>
      </c>
      <c r="G92" s="39">
        <f t="shared" ref="G92" si="66">D92*C92</f>
        <v>58824</v>
      </c>
      <c r="H92" s="222">
        <f t="shared" ref="H92" si="67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8">C93*(E93-D93)</f>
        <v>-14664.000000000002</v>
      </c>
      <c r="G93" s="39">
        <f t="shared" ref="G93" si="69">D93*C93</f>
        <v>58824</v>
      </c>
      <c r="H93" s="222">
        <f t="shared" ref="H93" si="70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1">C94*(E94-D94)</f>
        <v>-12171.6</v>
      </c>
      <c r="G94" s="39">
        <f t="shared" ref="G94" si="72">D94*C94</f>
        <v>54309.599999999999</v>
      </c>
      <c r="H94" s="222">
        <f t="shared" ref="H94" si="73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4">C95*(E95-D95)</f>
        <v>-6716.6999999999953</v>
      </c>
      <c r="G95" s="39">
        <f t="shared" ref="G95" si="75">D95*C95</f>
        <v>51664.7</v>
      </c>
      <c r="H95" s="222">
        <f t="shared" ref="H95" si="76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7">C96*(E96-D96)</f>
        <v>-5628.8000000000011</v>
      </c>
      <c r="G96" s="39">
        <f t="shared" ref="G96" si="78">D96*C96</f>
        <v>48956.799999999996</v>
      </c>
      <c r="H96" s="222">
        <f t="shared" ref="H96" si="79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0">C97*(E97-D97)</f>
        <v>-7635.0399999999981</v>
      </c>
      <c r="G97" s="39">
        <f t="shared" ref="G97" si="81">D97*C97</f>
        <v>48707.040000000001</v>
      </c>
      <c r="H97" s="222">
        <f t="shared" ref="H97" si="82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3">C98*(E98-D98)</f>
        <v>-6019.0400000000009</v>
      </c>
      <c r="G98" s="39">
        <f t="shared" ref="G98" si="84">D98*C98</f>
        <v>48707.040000000001</v>
      </c>
      <c r="H98" s="222">
        <f t="shared" ref="H98" si="85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6">C99*(E99-D99)</f>
        <v>-5426.9999999999982</v>
      </c>
      <c r="G99" s="39">
        <f t="shared" ref="G99" si="87">D99*C99</f>
        <v>46002</v>
      </c>
      <c r="H99" s="222">
        <f t="shared" ref="H99" si="88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9">C100*(E100-D100)</f>
        <v>-5021.7999999999993</v>
      </c>
      <c r="G100" s="39">
        <f t="shared" ref="G100" si="90">D100*C100</f>
        <v>43269.8</v>
      </c>
      <c r="H100" s="222">
        <f t="shared" ref="H100" si="91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2">C101*(E101-D101)</f>
        <v>-3724.4999999999982</v>
      </c>
      <c r="G101" s="39">
        <f t="shared" ref="G101" si="93">D101*C101</f>
        <v>40449.5</v>
      </c>
      <c r="H101" s="222">
        <f t="shared" ref="H101" si="94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5">C102*(E102-D102)</f>
        <v>-4290.9999999999964</v>
      </c>
      <c r="G102" s="39">
        <f t="shared" ref="G102" si="96">D102*C102</f>
        <v>43211</v>
      </c>
      <c r="H102" s="222">
        <f t="shared" ref="H102" si="97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8">C103*(E103-D103)</f>
        <v>-3612.7</v>
      </c>
      <c r="G103" s="39">
        <f t="shared" ref="G103" si="99">D103*C103</f>
        <v>40402.700000000004</v>
      </c>
      <c r="H103" s="222">
        <f t="shared" ref="H103" si="100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1">C104*(E104-D104)</f>
        <v>-4197.6999999999989</v>
      </c>
      <c r="G104" s="39">
        <f t="shared" ref="G104" si="102">D104*C104</f>
        <v>40402.700000000004</v>
      </c>
      <c r="H104" s="222">
        <f t="shared" ref="H104" si="103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4">C105*(E105-D105)</f>
        <v>-5158.5</v>
      </c>
      <c r="G105" s="39">
        <f t="shared" ref="G105" si="105">D105*C105</f>
        <v>45823.5</v>
      </c>
      <c r="H105" s="222">
        <f t="shared" ref="H105" si="106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7">C106*(E106-D106)</f>
        <v>-5729.0000000000018</v>
      </c>
      <c r="G106" s="39">
        <f t="shared" ref="G106" si="108">D106*C106</f>
        <v>51170</v>
      </c>
      <c r="H106" s="222">
        <f t="shared" ref="H106" si="109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0">C107*(E107-D107)</f>
        <v>-4686.5000000000009</v>
      </c>
      <c r="G107" s="39">
        <f t="shared" ref="G107" si="111">D107*C107</f>
        <v>40202.5</v>
      </c>
      <c r="H107" s="222">
        <f t="shared" ref="H107" si="112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3">C108*(E108-D108)</f>
        <v>-3841.5000000000023</v>
      </c>
      <c r="G108" s="39">
        <f t="shared" ref="G108" si="114">D108*C108</f>
        <v>40202.5</v>
      </c>
      <c r="H108" s="222">
        <f t="shared" ref="H108" si="115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6">C109*(E109-D109)</f>
        <v>-3578.9</v>
      </c>
      <c r="G109" s="39">
        <f t="shared" ref="G109" si="117">D109*C109</f>
        <v>40160.9</v>
      </c>
      <c r="H109" s="222">
        <f t="shared" ref="H109" si="118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9">C110*(E110-D110)</f>
        <v>-2889.8999999999987</v>
      </c>
      <c r="G110" s="39">
        <f t="shared" ref="G110" si="120">D110*C110</f>
        <v>40160.9</v>
      </c>
      <c r="H110" s="222">
        <f t="shared" ref="H110" si="121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2">C111*(E111-D111)</f>
        <v>-1500</v>
      </c>
      <c r="G111" s="39">
        <f t="shared" ref="G111" si="123">D111*C111</f>
        <v>31220</v>
      </c>
      <c r="H111" s="222">
        <f t="shared" ref="H111" si="124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5">C112*(E112-D112)</f>
        <v>-1485.6400000000015</v>
      </c>
      <c r="G112" s="39">
        <f t="shared" ref="G112" si="126">D112*C112</f>
        <v>40004.639999999999</v>
      </c>
      <c r="H112" s="222">
        <f t="shared" ref="H112" si="127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8">C113*(E113-D113)</f>
        <v>-1901.6400000000019</v>
      </c>
      <c r="G113" s="39">
        <f t="shared" ref="G113:G114" si="129">D113*C113</f>
        <v>40004.639999999999</v>
      </c>
      <c r="H113" s="222">
        <f t="shared" ref="H113:H114" si="130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8"/>
        <v>-594.99999999999886</v>
      </c>
      <c r="G114" s="39">
        <f t="shared" si="129"/>
        <v>30855</v>
      </c>
      <c r="H114" s="222">
        <f t="shared" si="130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1">C115*(E115-D115)</f>
        <v>9.055999999998221</v>
      </c>
      <c r="G115" s="39">
        <f t="shared" ref="G115" si="132">D115*C115</f>
        <v>24694.944</v>
      </c>
      <c r="H115" s="222">
        <f t="shared" ref="H115" si="133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4">C116*(E116-D116)</f>
        <v>-350.99999999999943</v>
      </c>
      <c r="G116" s="39">
        <f t="shared" ref="G116" si="135">D116*C116</f>
        <v>39819</v>
      </c>
      <c r="H116" s="222">
        <f t="shared" ref="H116" si="136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7">C117*(E117-D117)</f>
        <v>-1669.4999999999993</v>
      </c>
      <c r="G117" s="39">
        <f t="shared" ref="G117" si="138">D117*C117</f>
        <v>45679.5</v>
      </c>
      <c r="H117" s="222">
        <f t="shared" ref="H117" si="139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0">C118*(E118-D118)</f>
        <v>-1602.0000000000009</v>
      </c>
      <c r="G118" s="39">
        <f t="shared" ref="G118" si="141">D118*C118</f>
        <v>53928</v>
      </c>
      <c r="H118" s="222">
        <f t="shared" ref="H118" si="142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3">C119*(E119-D119)</f>
        <v>-4302.0000000000009</v>
      </c>
      <c r="G119" s="39">
        <f t="shared" ref="G119" si="144">D119*C119</f>
        <v>53928</v>
      </c>
      <c r="H119" s="222">
        <f t="shared" ref="H119" si="145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6">C120*(E120-D120)</f>
        <v>-2106.0000000000032</v>
      </c>
      <c r="G120" s="39">
        <f t="shared" ref="G120" si="147">D120*C120</f>
        <v>53928</v>
      </c>
      <c r="H120" s="222">
        <f t="shared" ref="H120" si="148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9">C121*(E121-D121)</f>
        <v>-4446.0000000000045</v>
      </c>
      <c r="G121" s="39">
        <f t="shared" ref="G121" si="150">D121*C121</f>
        <v>53928</v>
      </c>
      <c r="H121" s="222">
        <f t="shared" ref="H121" si="151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2">C122*(E122-D122)</f>
        <v>-3286.7999999999947</v>
      </c>
      <c r="G122" s="39">
        <f t="shared" ref="G122" si="153">D122*C122</f>
        <v>53704.799999999996</v>
      </c>
      <c r="H122" s="222">
        <f t="shared" ref="H122" si="154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5">C123*(E123-D123)</f>
        <v>-5780.0000000000009</v>
      </c>
      <c r="G123" s="39">
        <f t="shared" ref="G123" si="156">D123*C123</f>
        <v>58960</v>
      </c>
      <c r="H123" s="222">
        <f t="shared" ref="H123" si="157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8">C124*(E124-D124)</f>
        <v>-13344.599999999999</v>
      </c>
      <c r="G124" s="39">
        <f t="shared" ref="G124" si="159">D124*C124</f>
        <v>66198.600000000006</v>
      </c>
      <c r="H124" s="222">
        <f t="shared" ref="H124" si="160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1">C125*(E125-D125)</f>
        <v>-13365</v>
      </c>
      <c r="G125" s="39">
        <f t="shared" ref="G125" si="162">D125*C125</f>
        <v>70815</v>
      </c>
      <c r="H125" s="222">
        <f t="shared" ref="H125" si="163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4">C126*(E126-D126)</f>
        <v>-13349.999999999998</v>
      </c>
      <c r="G126" s="39">
        <f t="shared" ref="G126" si="165">D126*C126</f>
        <v>82290</v>
      </c>
      <c r="H126" s="222">
        <f t="shared" ref="H126" si="166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7">C127*(E127-D127)</f>
        <v>-10050.000000000004</v>
      </c>
      <c r="G127" s="39">
        <f t="shared" ref="G127" si="168">D127*C127</f>
        <v>82290</v>
      </c>
      <c r="H127" s="222">
        <f t="shared" ref="H127" si="169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0">C128*(E128-D128)</f>
        <v>-11618.999999999993</v>
      </c>
      <c r="G128" s="39">
        <f t="shared" ref="G128" si="171">D128*C128</f>
        <v>81459</v>
      </c>
      <c r="H128" s="222">
        <f t="shared" ref="H128" si="172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3">C129*(E129-D129)</f>
        <v>-9646</v>
      </c>
      <c r="G129" s="39">
        <f t="shared" ref="G129" si="174">D129*C129</f>
        <v>76678</v>
      </c>
      <c r="H129" s="222">
        <f t="shared" ref="H129" si="175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6">C130*(E130-D130)</f>
        <v>-9250.0000000000073</v>
      </c>
      <c r="G130" s="39">
        <f t="shared" ref="G130" si="177">D130*C130</f>
        <v>69450</v>
      </c>
      <c r="H130" s="222">
        <f t="shared" ref="H130" si="178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9">C131*(E131-D131)</f>
        <v>-10025.000000000004</v>
      </c>
      <c r="G131" s="39">
        <f t="shared" ref="G131" si="180">D131*C131</f>
        <v>69450</v>
      </c>
      <c r="H131" s="222">
        <f t="shared" ref="H131" si="181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2">C132*(E132-D132)</f>
        <v>-7954.0000000000009</v>
      </c>
      <c r="G132" s="39">
        <f t="shared" ref="G132" si="183">D132*C132</f>
        <v>57114</v>
      </c>
      <c r="H132" s="222">
        <f t="shared" ref="H132" si="184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5">C133*(E133-D133)</f>
        <v>-8754.9999999999964</v>
      </c>
      <c r="G133" s="39">
        <f t="shared" ref="G133" si="186">D133*C133</f>
        <v>69205</v>
      </c>
      <c r="H133" s="222">
        <f t="shared" ref="H133" si="187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8">C134*(E134-D134)</f>
        <v>-7005.2000000000025</v>
      </c>
      <c r="G134" s="39">
        <f t="shared" ref="G134" si="189">D134*C134</f>
        <v>56765.2</v>
      </c>
      <c r="H134" s="222">
        <f t="shared" ref="H134" si="190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1">C135*(E135-D135)</f>
        <v>-8205</v>
      </c>
      <c r="G135" s="39">
        <f t="shared" ref="G135" si="192">D135*C135</f>
        <v>68905</v>
      </c>
      <c r="H135" s="222">
        <f t="shared" ref="H135" si="193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4">C136*(E136-D136)</f>
        <v>-6930.0000000000045</v>
      </c>
      <c r="G136" s="39">
        <f t="shared" ref="G136" si="195">D136*C136</f>
        <v>61468</v>
      </c>
      <c r="H136" s="222">
        <f t="shared" ref="H136" si="196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7">C137*(E137-D137)</f>
        <v>-5678</v>
      </c>
      <c r="G137" s="39">
        <f t="shared" ref="G137" si="198">D137*C137</f>
        <v>48824</v>
      </c>
      <c r="H137" s="222">
        <f t="shared" ref="H137" si="199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0">C138*(E138-D138)</f>
        <v>-5867.9999999999982</v>
      </c>
      <c r="G138" s="39">
        <f t="shared" ref="G138" si="201">D138*C138</f>
        <v>43653</v>
      </c>
      <c r="H138" s="222">
        <f t="shared" ref="H138" si="202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3">C139*(E139-D139)</f>
        <v>-5909.1999999999989</v>
      </c>
      <c r="G139" s="39">
        <f t="shared" ref="G139" si="204">D139*C139</f>
        <v>48732.2</v>
      </c>
      <c r="H139" s="222">
        <f t="shared" ref="H139" si="205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6">C140*(E140-D140)</f>
        <v>-6607.9999999999973</v>
      </c>
      <c r="G140" s="39">
        <f t="shared" ref="G140" si="207">D140*C140</f>
        <v>56128</v>
      </c>
      <c r="H140" s="222">
        <f t="shared" ref="H140" si="208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9">C141*(E141-D141)</f>
        <v>-7839.9999999999964</v>
      </c>
      <c r="G141" s="39">
        <f t="shared" ref="G141" si="210">D141*C141</f>
        <v>56120</v>
      </c>
      <c r="H141" s="222">
        <f t="shared" ref="H141" si="211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2">C142*(E142-D142)</f>
        <v>-6979.9999999999973</v>
      </c>
      <c r="G142" s="39">
        <f t="shared" ref="G142:G143" si="213">D142*C142</f>
        <v>56120</v>
      </c>
      <c r="H142" s="222">
        <f t="shared" ref="H142:H143" si="214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2"/>
        <v>-5384</v>
      </c>
      <c r="G143" s="39">
        <f t="shared" si="213"/>
        <v>55984</v>
      </c>
      <c r="H143" s="222">
        <f t="shared" si="214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5">C144*(E144-D144)</f>
        <v>-6204.0000000000009</v>
      </c>
      <c r="G144" s="39">
        <f t="shared" ref="G144" si="216">D144*C144</f>
        <v>55984</v>
      </c>
      <c r="H144" s="222">
        <f t="shared" ref="H144" si="217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8">C145*(E145-D145)</f>
        <v>-6444.0000000000027</v>
      </c>
      <c r="G145" s="39">
        <f t="shared" ref="G145:G146" si="219">D145*C145</f>
        <v>55984</v>
      </c>
      <c r="H145" s="222">
        <f t="shared" ref="H145:H146" si="220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8"/>
        <v>-6841.9999999999991</v>
      </c>
      <c r="G146" s="39">
        <f t="shared" si="219"/>
        <v>60896</v>
      </c>
      <c r="H146" s="222">
        <f t="shared" si="220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1">C147*(E147-D147)</f>
        <v>-6923.3999999999969</v>
      </c>
      <c r="G147" s="39">
        <f t="shared" ref="G147:G150" si="222">D147*C147</f>
        <v>60647.4</v>
      </c>
      <c r="H147" s="222">
        <f t="shared" ref="H147:H150" si="223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1"/>
        <v>-4856.0000000000018</v>
      </c>
      <c r="G148" s="39">
        <f t="shared" si="222"/>
        <v>55576</v>
      </c>
      <c r="H148" s="222">
        <f t="shared" si="223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1"/>
        <v>-3471</v>
      </c>
      <c r="G149" s="39">
        <f t="shared" si="222"/>
        <v>42486</v>
      </c>
      <c r="H149" s="222">
        <f t="shared" si="223"/>
        <v>-8.1697500353057478E-2</v>
      </c>
      <c r="I149" s="841" t="s">
        <v>1134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1"/>
        <v>-3644.1640000000007</v>
      </c>
      <c r="G150" s="39">
        <f t="shared" si="222"/>
        <v>48157.763999999996</v>
      </c>
      <c r="H150" s="222">
        <f t="shared" si="223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24">C151*(E151-D151)</f>
        <v>-3383.4000000000019</v>
      </c>
      <c r="G151" s="39">
        <f t="shared" ref="G151" si="225">D151*C151</f>
        <v>42398.25</v>
      </c>
      <c r="H151" s="222">
        <f t="shared" ref="H151" si="226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:F154" si="227">C152*(E152-D152)</f>
        <v>1001.100000000001</v>
      </c>
      <c r="G152" s="39">
        <f t="shared" ref="G152:G154" si="228">D152*C152</f>
        <v>42093.9</v>
      </c>
      <c r="H152" s="222">
        <f t="shared" ref="H152:H154" si="229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227"/>
        <v>2961.2550000000015</v>
      </c>
      <c r="G153" s="39">
        <f t="shared" si="228"/>
        <v>41573.745000000003</v>
      </c>
      <c r="H153" s="222">
        <f t="shared" si="229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227"/>
        <v>1935.0000000000041</v>
      </c>
      <c r="G154" s="39">
        <f t="shared" si="228"/>
        <v>41580</v>
      </c>
      <c r="H154" s="222">
        <f t="shared" si="229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0">C169*(E169-D169)</f>
        <v>-33.800000000000097</v>
      </c>
      <c r="G169" s="363">
        <f t="shared" ref="G169:G182" si="231">D169*C169</f>
        <v>3591.7999999999997</v>
      </c>
      <c r="H169" s="364">
        <f t="shared" ref="H169:H182" si="232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0"/>
        <v>85.200000000000387</v>
      </c>
      <c r="G170" s="363">
        <f t="shared" si="231"/>
        <v>3591.7999999999997</v>
      </c>
      <c r="H170" s="364">
        <f t="shared" si="232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0"/>
        <v>-136.80000000000021</v>
      </c>
      <c r="G171" s="363">
        <f t="shared" si="231"/>
        <v>3591.7999999999997</v>
      </c>
      <c r="H171" s="364">
        <f t="shared" si="232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0"/>
        <v>-147.56000000000029</v>
      </c>
      <c r="G172" s="363">
        <f t="shared" si="231"/>
        <v>4959.3599999999997</v>
      </c>
      <c r="H172" s="364">
        <f t="shared" si="232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0"/>
        <v>-49.199999999999591</v>
      </c>
      <c r="G173" s="363">
        <f t="shared" si="231"/>
        <v>8408.4</v>
      </c>
      <c r="H173" s="364">
        <f t="shared" si="232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0"/>
        <v>109.60000000000036</v>
      </c>
      <c r="G174" s="363">
        <f t="shared" si="231"/>
        <v>6994.4000000000005</v>
      </c>
      <c r="H174" s="364">
        <f t="shared" si="232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0"/>
        <v>-6.4000000000007162</v>
      </c>
      <c r="G175" s="363">
        <f t="shared" si="231"/>
        <v>6994.4000000000005</v>
      </c>
      <c r="H175" s="364">
        <f t="shared" si="232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0"/>
        <v>166.71999999999912</v>
      </c>
      <c r="G176" s="363">
        <f t="shared" si="231"/>
        <v>5554.880000000001</v>
      </c>
      <c r="H176" s="364">
        <f t="shared" si="232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0"/>
        <v>218.88000000000034</v>
      </c>
      <c r="G177" s="363">
        <f t="shared" si="231"/>
        <v>5544.32</v>
      </c>
      <c r="H177" s="364">
        <f t="shared" si="232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0"/>
        <v>298.88000000000034</v>
      </c>
      <c r="G178" s="363">
        <f t="shared" si="231"/>
        <v>5544.32</v>
      </c>
      <c r="H178" s="364">
        <f t="shared" si="232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0"/>
        <v>363.18000000000006</v>
      </c>
      <c r="G179" s="363">
        <f t="shared" si="231"/>
        <v>1845.42</v>
      </c>
      <c r="H179" s="364">
        <f t="shared" si="232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0"/>
        <v>329.12000000000035</v>
      </c>
      <c r="G180" s="363">
        <f t="shared" si="231"/>
        <v>5384.48</v>
      </c>
      <c r="H180" s="364">
        <f t="shared" si="232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0"/>
        <v>169.60000000000036</v>
      </c>
      <c r="G181" s="363">
        <f t="shared" si="231"/>
        <v>5384</v>
      </c>
      <c r="H181" s="364">
        <f t="shared" si="232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0"/>
        <v>474.7199999999998</v>
      </c>
      <c r="G182" s="363">
        <f t="shared" si="231"/>
        <v>5384.48</v>
      </c>
      <c r="H182" s="364">
        <f t="shared" si="232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3">C183*(E183-D183)</f>
        <v>588.31999999999994</v>
      </c>
      <c r="G183" s="363">
        <f t="shared" ref="G183:G196" si="234">D183*C183</f>
        <v>5384.48</v>
      </c>
      <c r="H183" s="364">
        <f t="shared" ref="H183:H225" si="235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3"/>
        <v>673.12000000000012</v>
      </c>
      <c r="G184" s="363">
        <f t="shared" si="234"/>
        <v>5384.48</v>
      </c>
      <c r="H184" s="364">
        <f t="shared" si="235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3"/>
        <v>597.9200000000003</v>
      </c>
      <c r="G185" s="363">
        <f t="shared" si="234"/>
        <v>5384.48</v>
      </c>
      <c r="H185" s="364">
        <f t="shared" si="235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3"/>
        <v>489.12000000000035</v>
      </c>
      <c r="G186" s="363">
        <f t="shared" si="234"/>
        <v>5384.48</v>
      </c>
      <c r="H186" s="364">
        <f t="shared" si="235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3"/>
        <v>409.12000000000035</v>
      </c>
      <c r="G187" s="363">
        <f t="shared" si="234"/>
        <v>5384.48</v>
      </c>
      <c r="H187" s="364">
        <f t="shared" si="235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3"/>
        <v>439.52</v>
      </c>
      <c r="G188" s="363">
        <f t="shared" si="234"/>
        <v>5384.48</v>
      </c>
      <c r="H188" s="364">
        <f t="shared" si="235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3"/>
        <v>369.12000000000035</v>
      </c>
      <c r="G189" s="363">
        <f t="shared" si="234"/>
        <v>5384.48</v>
      </c>
      <c r="H189" s="364">
        <f t="shared" si="235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3"/>
        <v>341.92000000000007</v>
      </c>
      <c r="G190" s="363">
        <f t="shared" si="234"/>
        <v>5384.48</v>
      </c>
      <c r="H190" s="364">
        <f t="shared" si="235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3"/>
        <v>442.72000000000048</v>
      </c>
      <c r="G191" s="363">
        <f t="shared" si="234"/>
        <v>5384.48</v>
      </c>
      <c r="H191" s="364">
        <f t="shared" si="235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3"/>
        <v>90.619999999999621</v>
      </c>
      <c r="G192" s="363">
        <f t="shared" si="234"/>
        <v>7821.38</v>
      </c>
      <c r="H192" s="364">
        <f t="shared" si="235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3"/>
        <v>51.480000000000103</v>
      </c>
      <c r="G193" s="363">
        <f t="shared" si="234"/>
        <v>8837.92</v>
      </c>
      <c r="H193" s="364">
        <f t="shared" si="235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3"/>
        <v>-376.80000000000007</v>
      </c>
      <c r="G194" s="363">
        <f t="shared" si="234"/>
        <v>10159.799999999999</v>
      </c>
      <c r="H194" s="364">
        <f t="shared" si="235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3"/>
        <v>-388.00000000000239</v>
      </c>
      <c r="G195" s="363">
        <f t="shared" si="234"/>
        <v>13408.000000000002</v>
      </c>
      <c r="H195" s="364">
        <f t="shared" si="235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3"/>
        <v>-262.9400000000004</v>
      </c>
      <c r="G196" s="363">
        <f t="shared" si="234"/>
        <v>13354.939999999999</v>
      </c>
      <c r="H196" s="364">
        <f t="shared" si="235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3"/>
        <v>-514.93999999999858</v>
      </c>
      <c r="G197" s="363">
        <f t="shared" ref="G197:G202" si="236">D197*C197</f>
        <v>13354.939999999999</v>
      </c>
      <c r="H197" s="364">
        <f t="shared" si="235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3"/>
        <v>-582.93999999999892</v>
      </c>
      <c r="G198" s="363">
        <f t="shared" si="236"/>
        <v>16522.939999999999</v>
      </c>
      <c r="H198" s="364">
        <f t="shared" si="235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3"/>
        <v>-292.93999999999801</v>
      </c>
      <c r="G199" s="363">
        <f t="shared" si="236"/>
        <v>16522.939999999999</v>
      </c>
      <c r="H199" s="364">
        <f t="shared" si="235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3"/>
        <v>-217.93999999999869</v>
      </c>
      <c r="G200" s="363">
        <f t="shared" si="236"/>
        <v>16522.939999999999</v>
      </c>
      <c r="H200" s="364">
        <f t="shared" si="235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3"/>
        <v>-92.93999999999869</v>
      </c>
      <c r="G201" s="363">
        <f t="shared" si="236"/>
        <v>16522.939999999999</v>
      </c>
      <c r="H201" s="364">
        <f t="shared" si="235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3"/>
        <v>-397.93999999999841</v>
      </c>
      <c r="G202" s="363">
        <f t="shared" si="236"/>
        <v>16522.939999999999</v>
      </c>
      <c r="H202" s="364">
        <f t="shared" si="235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3"/>
        <v>-27.939999999997411</v>
      </c>
      <c r="G203" s="363">
        <f t="shared" ref="G203:G225" si="237">D203*C203</f>
        <v>16522.939999999999</v>
      </c>
      <c r="H203" s="364">
        <f t="shared" si="235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3"/>
        <v>-142.9399999999994</v>
      </c>
      <c r="G204" s="363">
        <f t="shared" si="237"/>
        <v>16522.939999999999</v>
      </c>
      <c r="H204" s="364">
        <f t="shared" si="235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3"/>
        <v>-357.93999999999926</v>
      </c>
      <c r="G205" s="363">
        <f t="shared" si="237"/>
        <v>16522.939999999999</v>
      </c>
      <c r="H205" s="364">
        <f t="shared" si="235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3"/>
        <v>-442.94000000000011</v>
      </c>
      <c r="G206" s="363">
        <f t="shared" si="237"/>
        <v>16522.939999999999</v>
      </c>
      <c r="H206" s="364">
        <f t="shared" si="235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3"/>
        <v>-542.93999999999801</v>
      </c>
      <c r="G207" s="363">
        <f t="shared" si="237"/>
        <v>16522.939999999999</v>
      </c>
      <c r="H207" s="364">
        <f t="shared" si="235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3"/>
        <v>-224.94000000000014</v>
      </c>
      <c r="G208" s="363">
        <f t="shared" si="237"/>
        <v>16474.939999999999</v>
      </c>
      <c r="H208" s="364">
        <f t="shared" si="235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3"/>
        <v>-139.93999999999929</v>
      </c>
      <c r="G209" s="363">
        <f t="shared" si="237"/>
        <v>16474.939999999999</v>
      </c>
      <c r="H209" s="364">
        <f t="shared" si="235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3"/>
        <v>-847.93799999999919</v>
      </c>
      <c r="G210" s="363">
        <f t="shared" si="237"/>
        <v>19639.937999999998</v>
      </c>
      <c r="H210" s="364">
        <f t="shared" si="235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3"/>
        <v>-833.93799999999771</v>
      </c>
      <c r="G211" s="363">
        <f t="shared" si="237"/>
        <v>22757.937999999998</v>
      </c>
      <c r="H211" s="364">
        <f t="shared" si="235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3"/>
        <v>-840.93799999999885</v>
      </c>
      <c r="G212" s="363">
        <f t="shared" si="237"/>
        <v>22757.937999999998</v>
      </c>
      <c r="H212" s="364">
        <f t="shared" si="235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3"/>
        <v>-700.9379999999968</v>
      </c>
      <c r="G213" s="363">
        <f t="shared" si="237"/>
        <v>22757.937999999998</v>
      </c>
      <c r="H213" s="364">
        <f t="shared" si="235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3"/>
        <v>-1125.9439999999984</v>
      </c>
      <c r="G214" s="363">
        <f t="shared" si="237"/>
        <v>25837.944</v>
      </c>
      <c r="H214" s="364">
        <f t="shared" si="235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3"/>
        <v>-1205.9439999999995</v>
      </c>
      <c r="G215" s="363">
        <f t="shared" si="237"/>
        <v>25837.944</v>
      </c>
      <c r="H215" s="364">
        <f t="shared" si="235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3"/>
        <v>-965.94399999999894</v>
      </c>
      <c r="G216" s="363">
        <f t="shared" si="237"/>
        <v>25837.944</v>
      </c>
      <c r="H216" s="364">
        <f t="shared" si="235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3"/>
        <v>-1477.9439999999995</v>
      </c>
      <c r="G217" s="363">
        <f t="shared" si="237"/>
        <v>25837.944</v>
      </c>
      <c r="H217" s="364">
        <f t="shared" si="235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3"/>
        <v>-1773.936000000002</v>
      </c>
      <c r="G218" s="363">
        <f t="shared" si="237"/>
        <v>28845.936000000002</v>
      </c>
      <c r="H218" s="364">
        <f t="shared" si="235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3"/>
        <v>-1935.9360000000017</v>
      </c>
      <c r="G219" s="363">
        <f t="shared" si="237"/>
        <v>28845.936000000002</v>
      </c>
      <c r="H219" s="364">
        <f t="shared" si="235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3"/>
        <v>-1989.9360000000006</v>
      </c>
      <c r="G220" s="363">
        <f t="shared" si="237"/>
        <v>28845.936000000002</v>
      </c>
      <c r="H220" s="364">
        <f t="shared" si="235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3"/>
        <v>-2133.9360000000006</v>
      </c>
      <c r="G221" s="363">
        <f t="shared" si="237"/>
        <v>28845.936000000002</v>
      </c>
      <c r="H221" s="364">
        <f t="shared" si="235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3"/>
        <v>-2505.9399999999991</v>
      </c>
      <c r="G222" s="363">
        <f t="shared" si="237"/>
        <v>31785.94</v>
      </c>
      <c r="H222" s="364">
        <f t="shared" si="235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3"/>
        <v>-2945.94</v>
      </c>
      <c r="G223" s="363">
        <f t="shared" si="237"/>
        <v>31785.94</v>
      </c>
      <c r="H223" s="364">
        <f t="shared" si="235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3"/>
        <v>-2415.9399999999991</v>
      </c>
      <c r="G224" s="363">
        <f t="shared" si="237"/>
        <v>31785.94</v>
      </c>
      <c r="H224" s="364">
        <f t="shared" si="235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3"/>
        <v>-2785.94</v>
      </c>
      <c r="G225" s="363">
        <f t="shared" si="237"/>
        <v>31785.94</v>
      </c>
      <c r="H225" s="364">
        <f t="shared" si="235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38">C226*(E226-D226)</f>
        <v>-1145.9399999999996</v>
      </c>
      <c r="G226" s="363">
        <f t="shared" ref="G226:G231" si="239">D226*C226</f>
        <v>31785.94</v>
      </c>
      <c r="H226" s="364">
        <f t="shared" ref="H226:H231" si="240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38"/>
        <v>-520.01099999999701</v>
      </c>
      <c r="G227" s="363">
        <f t="shared" si="239"/>
        <v>28654.010999999999</v>
      </c>
      <c r="H227" s="364">
        <f t="shared" si="240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38"/>
        <v>-783.99999999999886</v>
      </c>
      <c r="G228" s="363">
        <f t="shared" si="239"/>
        <v>31764</v>
      </c>
      <c r="H228" s="364">
        <f t="shared" si="240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38"/>
        <v>350.64000000000027</v>
      </c>
      <c r="G229" s="363">
        <f t="shared" si="239"/>
        <v>15759.359999999999</v>
      </c>
      <c r="H229" s="364">
        <f t="shared" si="240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38"/>
        <v>-398.86400000000037</v>
      </c>
      <c r="G230" s="363">
        <f t="shared" si="239"/>
        <v>25214.864000000001</v>
      </c>
      <c r="H230" s="364">
        <f t="shared" si="240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38"/>
        <v>1280.8600000000013</v>
      </c>
      <c r="G231" s="363">
        <f t="shared" si="239"/>
        <v>12271.14</v>
      </c>
      <c r="H231" s="364">
        <f t="shared" si="240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1">C232*(E232-D232)</f>
        <v>648.8599999999991</v>
      </c>
      <c r="G232" s="363">
        <f t="shared" ref="G232:G238" si="242">D232*C232</f>
        <v>12271.14</v>
      </c>
      <c r="H232" s="364">
        <f t="shared" ref="H232:H238" si="243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1"/>
        <v>1108.8599999999985</v>
      </c>
      <c r="G233" s="363">
        <f t="shared" si="242"/>
        <v>12211.14</v>
      </c>
      <c r="H233" s="364">
        <f t="shared" si="243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1"/>
        <v>1467.7889999999991</v>
      </c>
      <c r="G234" s="363">
        <f t="shared" si="242"/>
        <v>8789.2109999999993</v>
      </c>
      <c r="H234" s="364">
        <f t="shared" si="243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1"/>
        <v>1645.7100000000005</v>
      </c>
      <c r="G235" s="363">
        <f t="shared" si="242"/>
        <v>5310.29</v>
      </c>
      <c r="H235" s="364">
        <f t="shared" si="243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1"/>
        <v>1537.7099999999996</v>
      </c>
      <c r="G236" s="363">
        <f t="shared" si="242"/>
        <v>8728.2900000000009</v>
      </c>
      <c r="H236" s="364">
        <f t="shared" si="243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1"/>
        <v>1754.0499999999997</v>
      </c>
      <c r="G237" s="363">
        <f t="shared" si="242"/>
        <v>1717.95</v>
      </c>
      <c r="H237" s="364">
        <f t="shared" si="243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1"/>
        <v>1742.0399999999997</v>
      </c>
      <c r="G238" s="363">
        <f t="shared" si="242"/>
        <v>8673.9599999999991</v>
      </c>
      <c r="H238" s="364">
        <f t="shared" si="243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44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44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44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45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44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45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44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45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44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45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44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45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44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45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44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45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44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45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44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45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44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45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44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45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44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45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44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45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44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45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44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45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44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45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44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44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44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01" priority="107">
      <formula>F94&gt;0</formula>
    </cfRule>
    <cfRule type="expression" dxfId="1900" priority="108">
      <formula>F94&lt;0</formula>
    </cfRule>
  </conditionalFormatting>
  <conditionalFormatting sqref="F178:F191 F194:F238 F241:F242">
    <cfRule type="expression" dxfId="1899" priority="103">
      <formula>F178&gt;0</formula>
    </cfRule>
    <cfRule type="expression" dxfId="1898" priority="104">
      <formula>F178&lt;0</formula>
    </cfRule>
  </conditionalFormatting>
  <conditionalFormatting sqref="F178:F191 F194:F238 F241:F242">
    <cfRule type="expression" dxfId="1897" priority="105">
      <formula>F178&gt;0</formula>
    </cfRule>
    <cfRule type="expression" dxfId="1896" priority="106">
      <formula>F178&lt;0</formula>
    </cfRule>
  </conditionalFormatting>
  <conditionalFormatting sqref="H173:H191 H194:H238 H241:H242">
    <cfRule type="expression" dxfId="1895" priority="101">
      <formula>H173&gt;0</formula>
    </cfRule>
    <cfRule type="expression" dxfId="1894" priority="102">
      <formula>H173&lt;0</formula>
    </cfRule>
  </conditionalFormatting>
  <conditionalFormatting sqref="F169:F172">
    <cfRule type="expression" dxfId="1893" priority="95">
      <formula>F169&gt;0</formula>
    </cfRule>
    <cfRule type="expression" dxfId="1892" priority="96">
      <formula>F169&lt;0</formula>
    </cfRule>
  </conditionalFormatting>
  <conditionalFormatting sqref="H169:H172">
    <cfRule type="expression" dxfId="1891" priority="93">
      <formula>H169&gt;0</formula>
    </cfRule>
    <cfRule type="expression" dxfId="1890" priority="94">
      <formula>H169&lt;0</formula>
    </cfRule>
  </conditionalFormatting>
  <conditionalFormatting sqref="Q8">
    <cfRule type="expression" dxfId="1889" priority="89">
      <formula>Q8&gt;0</formula>
    </cfRule>
    <cfRule type="expression" dxfId="1888" priority="90">
      <formula>Q8&lt;0</formula>
    </cfRule>
  </conditionalFormatting>
  <conditionalFormatting sqref="Q7">
    <cfRule type="expression" dxfId="1887" priority="91">
      <formula>Q7&gt;0</formula>
    </cfRule>
    <cfRule type="expression" dxfId="1886" priority="92">
      <formula>Q7&lt;0</formula>
    </cfRule>
  </conditionalFormatting>
  <conditionalFormatting sqref="F192">
    <cfRule type="expression" dxfId="1885" priority="85">
      <formula>F192&gt;0</formula>
    </cfRule>
    <cfRule type="expression" dxfId="1884" priority="86">
      <formula>F192&lt;0</formula>
    </cfRule>
  </conditionalFormatting>
  <conditionalFormatting sqref="F192">
    <cfRule type="expression" dxfId="1883" priority="87">
      <formula>F192&gt;0</formula>
    </cfRule>
    <cfRule type="expression" dxfId="1882" priority="88">
      <formula>F192&lt;0</formula>
    </cfRule>
  </conditionalFormatting>
  <conditionalFormatting sqref="H192">
    <cfRule type="expression" dxfId="1881" priority="83">
      <formula>H192&gt;0</formula>
    </cfRule>
    <cfRule type="expression" dxfId="1880" priority="84">
      <formula>H192&lt;0</formula>
    </cfRule>
  </conditionalFormatting>
  <conditionalFormatting sqref="F193">
    <cfRule type="expression" dxfId="1879" priority="79">
      <formula>F193&gt;0</formula>
    </cfRule>
    <cfRule type="expression" dxfId="1878" priority="80">
      <formula>F193&lt;0</formula>
    </cfRule>
  </conditionalFormatting>
  <conditionalFormatting sqref="F193">
    <cfRule type="expression" dxfId="1877" priority="81">
      <formula>F193&gt;0</formula>
    </cfRule>
    <cfRule type="expression" dxfId="1876" priority="82">
      <formula>F193&lt;0</formula>
    </cfRule>
  </conditionalFormatting>
  <conditionalFormatting sqref="H193">
    <cfRule type="expression" dxfId="1875" priority="77">
      <formula>H193&gt;0</formula>
    </cfRule>
    <cfRule type="expression" dxfId="1874" priority="78">
      <formula>H193&lt;0</formula>
    </cfRule>
  </conditionalFormatting>
  <conditionalFormatting sqref="F239:F240">
    <cfRule type="expression" dxfId="1873" priority="73">
      <formula>F239&gt;0</formula>
    </cfRule>
    <cfRule type="expression" dxfId="1872" priority="74">
      <formula>F239&lt;0</formula>
    </cfRule>
  </conditionalFormatting>
  <conditionalFormatting sqref="F239:F240">
    <cfRule type="expression" dxfId="1871" priority="75">
      <formula>F239&gt;0</formula>
    </cfRule>
    <cfRule type="expression" dxfId="1870" priority="76">
      <formula>F239&lt;0</formula>
    </cfRule>
  </conditionalFormatting>
  <conditionalFormatting sqref="H239:H240">
    <cfRule type="expression" dxfId="1869" priority="71">
      <formula>H239&gt;0</formula>
    </cfRule>
    <cfRule type="expression" dxfId="1868" priority="72">
      <formula>H239&lt;0</formula>
    </cfRule>
  </conditionalFormatting>
  <conditionalFormatting sqref="F64:F79">
    <cfRule type="expression" dxfId="1867" priority="69">
      <formula>F64&gt;0</formula>
    </cfRule>
    <cfRule type="expression" dxfId="1866" priority="70">
      <formula>F64&lt;0</formula>
    </cfRule>
  </conditionalFormatting>
  <conditionalFormatting sqref="H64:H79">
    <cfRule type="expression" dxfId="1865" priority="67">
      <formula>H64&gt;0</formula>
    </cfRule>
    <cfRule type="expression" dxfId="1864" priority="68">
      <formula>H64&lt;0</formula>
    </cfRule>
  </conditionalFormatting>
  <conditionalFormatting sqref="Q10">
    <cfRule type="expression" dxfId="1863" priority="65">
      <formula>Q10&gt;0</formula>
    </cfRule>
    <cfRule type="expression" dxfId="1862" priority="66">
      <formula>Q10&lt;0</formula>
    </cfRule>
  </conditionalFormatting>
  <conditionalFormatting sqref="J74:K74">
    <cfRule type="expression" dxfId="1861" priority="63">
      <formula>J74&gt;0</formula>
    </cfRule>
    <cfRule type="expression" dxfId="1860" priority="64">
      <formula>J74&lt;0</formula>
    </cfRule>
  </conditionalFormatting>
  <conditionalFormatting sqref="K75">
    <cfRule type="expression" dxfId="1859" priority="61">
      <formula>K75&gt;0</formula>
    </cfRule>
    <cfRule type="expression" dxfId="1858" priority="62">
      <formula>K75&lt;0</formula>
    </cfRule>
  </conditionalFormatting>
  <conditionalFormatting sqref="K76:K89">
    <cfRule type="expression" dxfId="1857" priority="59">
      <formula>K76&gt;0</formula>
    </cfRule>
    <cfRule type="expression" dxfId="1856" priority="60">
      <formula>K76&lt;0</formula>
    </cfRule>
  </conditionalFormatting>
  <conditionalFormatting sqref="F81:F89">
    <cfRule type="expression" dxfId="1855" priority="57">
      <formula>F81&gt;0</formula>
    </cfRule>
    <cfRule type="expression" dxfId="1854" priority="58">
      <formula>F81&lt;0</formula>
    </cfRule>
  </conditionalFormatting>
  <conditionalFormatting sqref="H81:H89">
    <cfRule type="expression" dxfId="1853" priority="55">
      <formula>H81&gt;0</formula>
    </cfRule>
    <cfRule type="expression" dxfId="1852" priority="56">
      <formula>H81&lt;0</formula>
    </cfRule>
  </conditionalFormatting>
  <conditionalFormatting sqref="R4">
    <cfRule type="expression" dxfId="1851" priority="53">
      <formula>R4&gt;0</formula>
    </cfRule>
    <cfRule type="expression" dxfId="1850" priority="54">
      <formula>R4&lt;0</formula>
    </cfRule>
  </conditionalFormatting>
  <conditionalFormatting sqref="Q9">
    <cfRule type="expression" dxfId="1849" priority="51">
      <formula>Q9&gt;0</formula>
    </cfRule>
    <cfRule type="expression" dxfId="1848" priority="52">
      <formula>Q9&lt;0</formula>
    </cfRule>
  </conditionalFormatting>
  <conditionalFormatting sqref="K90:K93">
    <cfRule type="expression" dxfId="1847" priority="49">
      <formula>K90&gt;0</formula>
    </cfRule>
    <cfRule type="expression" dxfId="1846" priority="50">
      <formula>K90&lt;0</formula>
    </cfRule>
  </conditionalFormatting>
  <conditionalFormatting sqref="F90:F113">
    <cfRule type="expression" dxfId="1845" priority="47">
      <formula>F90&gt;0</formula>
    </cfRule>
    <cfRule type="expression" dxfId="1844" priority="48">
      <formula>F90&lt;0</formula>
    </cfRule>
  </conditionalFormatting>
  <conditionalFormatting sqref="H90:H113">
    <cfRule type="expression" dxfId="1843" priority="45">
      <formula>H90&gt;0</formula>
    </cfRule>
    <cfRule type="expression" dxfId="1842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41" priority="41">
      <formula>F114&gt;0</formula>
    </cfRule>
    <cfRule type="expression" dxfId="1840" priority="42">
      <formula>F114&lt;0</formula>
    </cfRule>
  </conditionalFormatting>
  <conditionalFormatting sqref="H114:H138">
    <cfRule type="expression" dxfId="1839" priority="39">
      <formula>H114&gt;0</formula>
    </cfRule>
    <cfRule type="expression" dxfId="1838" priority="40">
      <formula>H114&lt;0</formula>
    </cfRule>
  </conditionalFormatting>
  <conditionalFormatting sqref="K129:K131">
    <cfRule type="expression" dxfId="1837" priority="37">
      <formula>K129&gt;0</formula>
    </cfRule>
    <cfRule type="expression" dxfId="1836" priority="38">
      <formula>K129&lt;0</formula>
    </cfRule>
  </conditionalFormatting>
  <conditionalFormatting sqref="K133:K135">
    <cfRule type="expression" dxfId="1835" priority="35">
      <formula>K133&gt;0</formula>
    </cfRule>
    <cfRule type="expression" dxfId="1834" priority="36">
      <formula>K133&lt;0</formula>
    </cfRule>
  </conditionalFormatting>
  <conditionalFormatting sqref="K140">
    <cfRule type="expression" dxfId="1833" priority="31">
      <formula>K140&gt;0</formula>
    </cfRule>
    <cfRule type="expression" dxfId="1832" priority="32">
      <formula>K140&lt;0</formula>
    </cfRule>
  </conditionalFormatting>
  <conditionalFormatting sqref="K136:K138">
    <cfRule type="expression" dxfId="1831" priority="29">
      <formula>K136&gt;0</formula>
    </cfRule>
    <cfRule type="expression" dxfId="1830" priority="30">
      <formula>K136&lt;0</formula>
    </cfRule>
  </conditionalFormatting>
  <conditionalFormatting sqref="K139">
    <cfRule type="expression" dxfId="1829" priority="23">
      <formula>K139&gt;0</formula>
    </cfRule>
    <cfRule type="expression" dxfId="1828" priority="24">
      <formula>K139&lt;0</formula>
    </cfRule>
  </conditionalFormatting>
  <conditionalFormatting sqref="H148:H149 F148:F149 K148:K149">
    <cfRule type="expression" dxfId="1827" priority="21">
      <formula>F148&gt;0</formula>
    </cfRule>
    <cfRule type="expression" dxfId="1826" priority="22">
      <formula>F148&lt;0</formula>
    </cfRule>
  </conditionalFormatting>
  <conditionalFormatting sqref="H143:H147 F143:F147 K143:K147">
    <cfRule type="expression" dxfId="1825" priority="19">
      <formula>F143&gt;0</formula>
    </cfRule>
    <cfRule type="expression" dxfId="1824" priority="20">
      <formula>F143&lt;0</formula>
    </cfRule>
  </conditionalFormatting>
  <conditionalFormatting sqref="F80">
    <cfRule type="expression" dxfId="1823" priority="17">
      <formula>F80&gt;0</formula>
    </cfRule>
    <cfRule type="expression" dxfId="1822" priority="18">
      <formula>F80&lt;0</formula>
    </cfRule>
  </conditionalFormatting>
  <conditionalFormatting sqref="H80">
    <cfRule type="expression" dxfId="1821" priority="15">
      <formula>H80&gt;0</formula>
    </cfRule>
    <cfRule type="expression" dxfId="1820" priority="16">
      <formula>H80&lt;0</formula>
    </cfRule>
  </conditionalFormatting>
  <conditionalFormatting sqref="F164:F165 H164:H165 K164:K165">
    <cfRule type="expression" dxfId="1819" priority="13">
      <formula>F164&gt;0</formula>
    </cfRule>
    <cfRule type="expression" dxfId="1818" priority="14">
      <formula>F164&lt;0</formula>
    </cfRule>
  </conditionalFormatting>
  <conditionalFormatting sqref="F162:F163 H162:H163 K162:K163">
    <cfRule type="expression" dxfId="1817" priority="11">
      <formula>F162&gt;0</formula>
    </cfRule>
    <cfRule type="expression" dxfId="1816" priority="12">
      <formula>F162&lt;0</formula>
    </cfRule>
  </conditionalFormatting>
  <conditionalFormatting sqref="F160:F161 H160:H161 K160:K161">
    <cfRule type="expression" dxfId="1815" priority="9">
      <formula>F160&gt;0</formula>
    </cfRule>
    <cfRule type="expression" dxfId="1814" priority="10">
      <formula>F160&lt;0</formula>
    </cfRule>
  </conditionalFormatting>
  <conditionalFormatting sqref="F158:F159 H158:H159 K158:K159">
    <cfRule type="expression" dxfId="1813" priority="7">
      <formula>F158&gt;0</formula>
    </cfRule>
    <cfRule type="expression" dxfId="1812" priority="8">
      <formula>F158&lt;0</formula>
    </cfRule>
  </conditionalFormatting>
  <conditionalFormatting sqref="F156:F157 H156:H157 K156:K157">
    <cfRule type="expression" dxfId="1811" priority="5">
      <formula>F156&gt;0</formula>
    </cfRule>
    <cfRule type="expression" dxfId="1810" priority="6">
      <formula>F156&lt;0</formula>
    </cfRule>
  </conditionalFormatting>
  <conditionalFormatting sqref="F154:F155 H154:H155 K154:K155">
    <cfRule type="expression" dxfId="1809" priority="3">
      <formula>F154&gt;0</formula>
    </cfRule>
    <cfRule type="expression" dxfId="1808" priority="4">
      <formula>F154&lt;0</formula>
    </cfRule>
  </conditionalFormatting>
  <conditionalFormatting sqref="F153 H153 K152:K153">
    <cfRule type="expression" dxfId="1807" priority="1">
      <formula>F152&gt;0</formula>
    </cfRule>
    <cfRule type="expression" dxfId="1806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11.52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11.52</v>
      </c>
      <c r="R4" s="475">
        <v>1.6999999999999999E-3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12.672000000000001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12.556800000000001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12.441600000000001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12.3264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12.2112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12.096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11.9808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11.865600000000001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11.750399999999999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11.635199999999999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11.52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11.4048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11.2896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11.174399999999999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11.059199999999999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10.943999999999999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10.828799999999999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10.7136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10.5984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10.4832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10.368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05" priority="31">
      <formula>Q7&gt;0</formula>
    </cfRule>
    <cfRule type="expression" dxfId="1804" priority="32">
      <formula>Q7&lt;0</formula>
    </cfRule>
  </conditionalFormatting>
  <conditionalFormatting sqref="Q8">
    <cfRule type="expression" dxfId="1803" priority="29">
      <formula>Q8&gt;0</formula>
    </cfRule>
    <cfRule type="expression" dxfId="1802" priority="30">
      <formula>Q8&lt;0</formula>
    </cfRule>
  </conditionalFormatting>
  <conditionalFormatting sqref="F62:F65">
    <cfRule type="expression" dxfId="1801" priority="21">
      <formula>F62&gt;0</formula>
    </cfRule>
    <cfRule type="expression" dxfId="1800" priority="22">
      <formula>F62&lt;0</formula>
    </cfRule>
  </conditionalFormatting>
  <conditionalFormatting sqref="F66:F74 F78:F98 F102:F106">
    <cfRule type="expression" dxfId="1799" priority="17">
      <formula>F66&gt;0</formula>
    </cfRule>
    <cfRule type="expression" dxfId="1798" priority="18">
      <formula>F66&lt;0</formula>
    </cfRule>
  </conditionalFormatting>
  <conditionalFormatting sqref="F66:F74 F78:F98 F102:F106">
    <cfRule type="expression" dxfId="1797" priority="19">
      <formula>F66&gt;0</formula>
    </cfRule>
    <cfRule type="expression" dxfId="1796" priority="20">
      <formula>F66&lt;0</formula>
    </cfRule>
  </conditionalFormatting>
  <conditionalFormatting sqref="H62:H74 H78:H98 H102:H106">
    <cfRule type="expression" dxfId="1795" priority="15">
      <formula>H62&gt;0</formula>
    </cfRule>
    <cfRule type="expression" dxfId="1794" priority="16">
      <formula>H62&lt;0</formula>
    </cfRule>
  </conditionalFormatting>
  <conditionalFormatting sqref="F57:F61">
    <cfRule type="expression" dxfId="1793" priority="13">
      <formula>F57&gt;0</formula>
    </cfRule>
    <cfRule type="expression" dxfId="1792" priority="14">
      <formula>F57&lt;0</formula>
    </cfRule>
  </conditionalFormatting>
  <conditionalFormatting sqref="H57:H61">
    <cfRule type="expression" dxfId="1791" priority="11">
      <formula>H57&gt;0</formula>
    </cfRule>
    <cfRule type="expression" dxfId="1790" priority="12">
      <formula>H57&lt;0</formula>
    </cfRule>
  </conditionalFormatting>
  <conditionalFormatting sqref="F75:F77">
    <cfRule type="expression" dxfId="1789" priority="7">
      <formula>F75&gt;0</formula>
    </cfRule>
    <cfRule type="expression" dxfId="1788" priority="8">
      <formula>F75&lt;0</formula>
    </cfRule>
  </conditionalFormatting>
  <conditionalFormatting sqref="F75:F77">
    <cfRule type="expression" dxfId="1787" priority="9">
      <formula>F75&gt;0</formula>
    </cfRule>
    <cfRule type="expression" dxfId="1786" priority="10">
      <formula>F75&lt;0</formula>
    </cfRule>
  </conditionalFormatting>
  <conditionalFormatting sqref="H75:H77">
    <cfRule type="expression" dxfId="1785" priority="5">
      <formula>H75&gt;0</formula>
    </cfRule>
    <cfRule type="expression" dxfId="1784" priority="6">
      <formula>H75&lt;0</formula>
    </cfRule>
  </conditionalFormatting>
  <conditionalFormatting sqref="F22:F30">
    <cfRule type="expression" dxfId="1783" priority="3">
      <formula>F22&gt;0</formula>
    </cfRule>
    <cfRule type="expression" dxfId="1782" priority="4">
      <formula>F22&lt;0</formula>
    </cfRule>
  </conditionalFormatting>
  <conditionalFormatting sqref="F99:F101">
    <cfRule type="expression" dxfId="1781" priority="1">
      <formula>F99&gt;0</formula>
    </cfRule>
    <cfRule type="expression" dxfId="178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7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121.34</v>
      </c>
      <c r="R4" s="475">
        <v>3.2000000000000002E-3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6067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227.77999999999975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1.2178845512178845E-2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133.47400000000002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132.26060000000001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131.0472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129.83380000000002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128.62040000000002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127.40700000000001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126.1936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124.98020000000001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123.7668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122.55340000000001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121.34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120.1266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118.9132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117.6998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116.4864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115.273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114.0596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112.84620000000001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111.6328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110.41940000000001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109.206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79" priority="19">
      <formula>F25&gt;0</formula>
    </cfRule>
    <cfRule type="expression" dxfId="1778" priority="20">
      <formula>F25&lt;0</formula>
    </cfRule>
  </conditionalFormatting>
  <conditionalFormatting sqref="Q7">
    <cfRule type="expression" dxfId="1777" priority="17">
      <formula>Q7&gt;0</formula>
    </cfRule>
    <cfRule type="expression" dxfId="1776" priority="18">
      <formula>Q7&lt;0</formula>
    </cfRule>
  </conditionalFormatting>
  <conditionalFormatting sqref="Q8">
    <cfRule type="expression" dxfId="1775" priority="15">
      <formula>Q8&gt;0</formula>
    </cfRule>
    <cfRule type="expression" dxfId="1774" priority="16">
      <formula>Q8&lt;0</formula>
    </cfRule>
  </conditionalFormatting>
  <conditionalFormatting sqref="M74">
    <cfRule type="expression" dxfId="1773" priority="9">
      <formula>M74&gt;0</formula>
    </cfRule>
    <cfRule type="expression" dxfId="1772" priority="10">
      <formula>M74&lt;0</formula>
    </cfRule>
  </conditionalFormatting>
  <conditionalFormatting sqref="F113:F149 H113:H149">
    <cfRule type="expression" dxfId="1771" priority="7">
      <formula>F113&gt;0</formula>
    </cfRule>
    <cfRule type="expression" dxfId="1770" priority="8">
      <formula>F113&lt;0</formula>
    </cfRule>
  </conditionalFormatting>
  <conditionalFormatting sqref="F105:F112">
    <cfRule type="expression" dxfId="1769" priority="5">
      <formula>F105&gt;0</formula>
    </cfRule>
    <cfRule type="expression" dxfId="1768" priority="6">
      <formula>F105&lt;0</formula>
    </cfRule>
  </conditionalFormatting>
  <conditionalFormatting sqref="H105:H112">
    <cfRule type="expression" dxfId="1767" priority="3">
      <formula>H105&gt;0</formula>
    </cfRule>
    <cfRule type="expression" dxfId="1766" priority="4">
      <formula>H105&lt;0</formula>
    </cfRule>
  </conditionalFormatting>
  <conditionalFormatting sqref="Q10">
    <cfRule type="expression" dxfId="1765" priority="1">
      <formula>Q10&gt;0</formula>
    </cfRule>
    <cfRule type="expression" dxfId="176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4"/>
  <sheetViews>
    <sheetView workbookViewId="0">
      <pane ySplit="1" topLeftCell="A5" activePane="bottomLeft" state="frozen"/>
      <selection activeCell="A2" sqref="A2"/>
      <selection pane="bottomLeft" activeCell="P29" sqref="P2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3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156.16555555555581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233.46</v>
      </c>
      <c r="R4" s="495">
        <v>1.5299999999999999E-2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10505.7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7027.4500000000116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3703.0199999999895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3478.2499999999891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0.49495193846985513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M80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975</v>
      </c>
      <c r="Q13" s="2">
        <f>Q4/(8.16*1.2)</f>
        <v>23.841911764705884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256.80600000000004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254.47140000000002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252.13680000000002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>C20*D20+E20</f>
        <v>3630</v>
      </c>
      <c r="O20" s="81">
        <v>1.07</v>
      </c>
      <c r="P20" s="81">
        <f t="shared" si="4"/>
        <v>249.80220000000003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247.46760000000003</v>
      </c>
    </row>
    <row r="22" spans="1:21" x14ac:dyDescent="0.25">
      <c r="O22" s="81">
        <v>1.05</v>
      </c>
      <c r="P22" s="81">
        <f t="shared" si="4"/>
        <v>245.13300000000001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242.79840000000002</v>
      </c>
    </row>
    <row r="24" spans="1:21" x14ac:dyDescent="0.25">
      <c r="O24" s="81">
        <v>1.03</v>
      </c>
      <c r="P24" s="81">
        <f t="shared" si="4"/>
        <v>240.46380000000002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238.12920000000003</v>
      </c>
    </row>
    <row r="26" spans="1:21" x14ac:dyDescent="0.25">
      <c r="O26" s="81">
        <v>1.01</v>
      </c>
      <c r="P26" s="81">
        <f t="shared" si="4"/>
        <v>235.7946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233.46</v>
      </c>
    </row>
    <row r="28" spans="1:21" x14ac:dyDescent="0.25">
      <c r="O28" s="81">
        <v>0.99</v>
      </c>
      <c r="P28" s="81">
        <f t="shared" si="4"/>
        <v>231.12540000000001</v>
      </c>
    </row>
    <row r="29" spans="1:21" x14ac:dyDescent="0.25">
      <c r="A29" s="31" t="s">
        <v>81</v>
      </c>
      <c r="B29" s="14"/>
      <c r="C29" s="14">
        <f>SUM(C2:C27)</f>
        <v>340</v>
      </c>
      <c r="D29" s="18"/>
      <c r="E29" s="18"/>
      <c r="F29" s="18">
        <f>SUM(F2:F27)</f>
        <v>72143.600000000006</v>
      </c>
      <c r="G29" s="14"/>
      <c r="H29" s="71">
        <f>SUM(H2:H28)</f>
        <v>295</v>
      </c>
      <c r="I29" s="18"/>
      <c r="J29" s="18"/>
      <c r="K29" s="18">
        <f>SUM(K2:K28)</f>
        <v>65116.149999999994</v>
      </c>
      <c r="L29" s="14"/>
      <c r="M29" s="18">
        <f>SUM(M2:M10)</f>
        <v>0</v>
      </c>
      <c r="O29" s="81">
        <v>0.98</v>
      </c>
      <c r="P29" s="81">
        <f t="shared" si="4"/>
        <v>228.79079999999999</v>
      </c>
    </row>
    <row r="30" spans="1:21" ht="15.75" thickBot="1" x14ac:dyDescent="0.3">
      <c r="A30" s="341" t="s">
        <v>193</v>
      </c>
      <c r="B30" s="342"/>
      <c r="C30" s="343">
        <f>SumByColor($A$30,C2:C28)</f>
        <v>295</v>
      </c>
      <c r="D30" s="343"/>
      <c r="E30" s="343"/>
      <c r="F30" s="344">
        <f>SumByColor($A$30,F2:F28)</f>
        <v>62283</v>
      </c>
      <c r="G30" s="343"/>
      <c r="H30" s="343">
        <f>SumByColor($A$30,H2:H28)</f>
        <v>295</v>
      </c>
      <c r="I30" s="343"/>
      <c r="J30" s="343"/>
      <c r="K30" s="344">
        <f>SumByColor($A$30,K2:K28)</f>
        <v>65116</v>
      </c>
      <c r="L30" s="343"/>
      <c r="M30" s="344">
        <f>SumByColor($A$30,M2:M28)</f>
        <v>0</v>
      </c>
      <c r="O30" s="81">
        <v>0.97</v>
      </c>
      <c r="P30" s="81">
        <f t="shared" si="4"/>
        <v>226.4562</v>
      </c>
    </row>
    <row r="31" spans="1:21" x14ac:dyDescent="0.25">
      <c r="O31" s="81">
        <v>0.96</v>
      </c>
      <c r="P31" s="81">
        <f t="shared" si="4"/>
        <v>224.1216</v>
      </c>
    </row>
    <row r="32" spans="1:21" x14ac:dyDescent="0.25">
      <c r="O32" s="81">
        <v>0.95</v>
      </c>
      <c r="P32" s="81">
        <f t="shared" si="4"/>
        <v>221.78700000000001</v>
      </c>
    </row>
    <row r="33" spans="1:17" x14ac:dyDescent="0.25">
      <c r="O33" s="81">
        <v>0.94</v>
      </c>
      <c r="P33" s="81">
        <f t="shared" si="4"/>
        <v>219.45239999999998</v>
      </c>
    </row>
    <row r="34" spans="1:17" x14ac:dyDescent="0.25">
      <c r="O34" s="81">
        <v>0.93</v>
      </c>
      <c r="P34" s="81">
        <f t="shared" si="4"/>
        <v>217.11780000000002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498</v>
      </c>
      <c r="L35" s="220" t="s">
        <v>975</v>
      </c>
      <c r="O35" s="81">
        <v>0.92</v>
      </c>
      <c r="P35" s="81">
        <f t="shared" si="4"/>
        <v>214.78320000000002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" si="5">C36*(E36-D36)</f>
        <v>277.80000000000058</v>
      </c>
      <c r="G36" s="39">
        <f t="shared" ref="G36" si="6">D36*C36</f>
        <v>5679.5999999999995</v>
      </c>
      <c r="H36" s="222">
        <f t="shared" ref="H36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212.44860000000003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ref="F37" si="8">C37*(E37-D37)</f>
        <v>391.20000000000061</v>
      </c>
      <c r="G37" s="39">
        <f t="shared" ref="G37" si="9">D37*C37</f>
        <v>5679.5999999999995</v>
      </c>
      <c r="H37" s="222">
        <f t="shared" ref="H37" si="10">(E37-D37)/D37</f>
        <v>6.8878090006338585E-2</v>
      </c>
      <c r="I37" s="39"/>
      <c r="J37" s="39"/>
      <c r="K37" s="39"/>
      <c r="L37" s="39"/>
      <c r="O37" s="81">
        <v>0.9</v>
      </c>
      <c r="P37" s="81">
        <f t="shared" si="4"/>
        <v>210.114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ref="F38" si="11">C38*(E38-D38)</f>
        <v>1209.3000000000002</v>
      </c>
      <c r="G38" s="39">
        <f t="shared" ref="G38" si="12">D38*C38</f>
        <v>5679.5999999999995</v>
      </c>
      <c r="H38" s="222">
        <f t="shared" ref="H38" si="13">(E38-D38)/D38</f>
        <v>0.21291992393830553</v>
      </c>
      <c r="I38" s="39"/>
      <c r="J38" s="39">
        <f>F38+$M$80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ref="F39" si="14">C39*(E39-D39)</f>
        <v>1602.7500000000005</v>
      </c>
      <c r="G39" s="39">
        <f t="shared" ref="G39" si="15">D39*C39</f>
        <v>3299.6499999999996</v>
      </c>
      <c r="H39" s="222">
        <f t="shared" ref="H39" si="16">(E39-D39)/D39</f>
        <v>0.4857333353537498</v>
      </c>
      <c r="I39" s="39"/>
      <c r="J39" s="39">
        <f>F39+$M$80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ref="F40:F44" si="17">C40*(E40-D40)</f>
        <v>1459.5500000000004</v>
      </c>
      <c r="G40" s="39">
        <f t="shared" ref="G40:G44" si="18">D40*C40</f>
        <v>3299.6499999999996</v>
      </c>
      <c r="H40" s="222">
        <f t="shared" ref="H40:H44" si="19">(E40-D40)/D40</f>
        <v>0.44233479308411516</v>
      </c>
      <c r="I40" s="39"/>
      <c r="J40" s="39">
        <f>F40+$M$80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17"/>
        <v>1307.5509999999999</v>
      </c>
      <c r="G41" s="39">
        <f t="shared" si="18"/>
        <v>6782.3489999999993</v>
      </c>
      <c r="H41" s="222">
        <f t="shared" si="19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17"/>
        <v>1487.77</v>
      </c>
      <c r="G42" s="39">
        <f t="shared" si="18"/>
        <v>3259.23</v>
      </c>
      <c r="H42" s="222">
        <f t="shared" si="19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17"/>
        <v>1457.9214999999999</v>
      </c>
      <c r="G43" s="39">
        <f t="shared" si="18"/>
        <v>6767.4285</v>
      </c>
      <c r="H43" s="222">
        <f t="shared" si="19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17"/>
        <v>1239.3180000000002</v>
      </c>
      <c r="G44" s="39">
        <f t="shared" si="18"/>
        <v>9056.232</v>
      </c>
      <c r="H44" s="222">
        <f t="shared" si="19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20">C45*(E45-D45)</f>
        <v>1037.7180000000008</v>
      </c>
      <c r="G45" s="39">
        <f t="shared" ref="G45:G50" si="21">D45*C45</f>
        <v>9056.232</v>
      </c>
      <c r="H45" s="222">
        <f t="shared" ref="H45:H50" si="22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20"/>
        <v>810.7000000000005</v>
      </c>
      <c r="G46" s="39">
        <f t="shared" si="21"/>
        <v>11256.3</v>
      </c>
      <c r="H46" s="222">
        <f t="shared" si="22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20"/>
        <v>1249.0000000000009</v>
      </c>
      <c r="G47" s="39">
        <f t="shared" si="21"/>
        <v>20610</v>
      </c>
      <c r="H47" s="222">
        <f t="shared" si="22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20"/>
        <v>1371.6999999999998</v>
      </c>
      <c r="G48" s="39">
        <f t="shared" si="21"/>
        <v>22668.800000000003</v>
      </c>
      <c r="H48" s="222">
        <f t="shared" si="22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20"/>
        <v>1246.3000000000013</v>
      </c>
      <c r="G49" s="39">
        <f t="shared" si="21"/>
        <v>10773.949999999999</v>
      </c>
      <c r="H49" s="222">
        <f t="shared" si="22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20"/>
        <v>869.19999999999789</v>
      </c>
      <c r="G50" s="39">
        <f t="shared" si="21"/>
        <v>20078.800000000003</v>
      </c>
      <c r="H50" s="222">
        <f t="shared" si="22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 t="shared" ref="F51" si="23">C51*(E51-D51)</f>
        <v>236.19999999999948</v>
      </c>
      <c r="G51" s="39">
        <f t="shared" ref="G51" si="24">D51*C51</f>
        <v>20078.800000000003</v>
      </c>
      <c r="H51" s="222">
        <f t="shared" ref="H51" si="25"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 t="shared" ref="F52:F54" si="26">C52*(E52-D52)</f>
        <v>632.20000000000027</v>
      </c>
      <c r="G52" s="39">
        <f t="shared" ref="G52:G54" si="27">D52*C52</f>
        <v>20078.800000000003</v>
      </c>
      <c r="H52" s="222">
        <f t="shared" ref="H52:H54" si="28"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 t="shared" si="26"/>
        <v>-195.54600000000022</v>
      </c>
      <c r="G53" s="39">
        <f t="shared" si="27"/>
        <v>23072.495999999999</v>
      </c>
      <c r="H53" s="222">
        <f t="shared" si="28"/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 t="shared" si="26"/>
        <v>-650</v>
      </c>
      <c r="G54" s="39">
        <f t="shared" si="27"/>
        <v>25997.399999999998</v>
      </c>
      <c r="H54" s="222">
        <f t="shared" si="28"/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29">C55*(E55-D55)</f>
        <v>31.200000000001182</v>
      </c>
      <c r="G55" s="39">
        <f t="shared" ref="G55:G60" si="30">D55*C55</f>
        <v>25997.399999999998</v>
      </c>
      <c r="H55" s="222">
        <f t="shared" ref="H55:H60" si="31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29"/>
        <v>718.00000000000068</v>
      </c>
      <c r="G56" s="39">
        <f t="shared" si="30"/>
        <v>19832</v>
      </c>
      <c r="H56" s="222">
        <f t="shared" si="31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29"/>
        <v>1485.7500000000002</v>
      </c>
      <c r="G57" s="39">
        <f t="shared" si="30"/>
        <v>14502.75</v>
      </c>
      <c r="H57" s="222">
        <f t="shared" si="31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29"/>
        <v>1105.0000000000011</v>
      </c>
      <c r="G58" s="39">
        <f t="shared" si="30"/>
        <v>19735</v>
      </c>
      <c r="H58" s="222">
        <f t="shared" si="31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29"/>
        <v>2413.3999999999996</v>
      </c>
      <c r="G59" s="39">
        <f t="shared" si="30"/>
        <v>9790</v>
      </c>
      <c r="H59" s="222">
        <f t="shared" si="31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29"/>
        <v>2137.9999999999995</v>
      </c>
      <c r="G60" s="39">
        <f t="shared" si="30"/>
        <v>19550</v>
      </c>
      <c r="H60" s="222">
        <f t="shared" si="31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 t="shared" ref="F61" si="32">C61*(E61-D61)</f>
        <v>1240.0000000000005</v>
      </c>
      <c r="G61" s="39">
        <f t="shared" ref="G61" si="33">D61*C61</f>
        <v>19550</v>
      </c>
      <c r="H61" s="222">
        <f t="shared" ref="H61" si="34"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35">C62*(E62-D62)</f>
        <v>941.99999999999875</v>
      </c>
      <c r="G62" s="39">
        <f t="shared" ref="G62:G68" si="36">D62*C62</f>
        <v>19550</v>
      </c>
      <c r="H62" s="222">
        <f t="shared" ref="H62:H68" si="37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35"/>
        <v>1630.3000000000015</v>
      </c>
      <c r="G63" s="39">
        <f t="shared" si="36"/>
        <v>13195.699999999999</v>
      </c>
      <c r="H63" s="222">
        <f t="shared" si="37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35"/>
        <v>1342.0000000000016</v>
      </c>
      <c r="G64" s="39">
        <f t="shared" si="36"/>
        <v>19426</v>
      </c>
      <c r="H64" s="222">
        <f t="shared" si="37"/>
        <v>6.908267270668185E-2</v>
      </c>
      <c r="I64" s="39"/>
      <c r="J64" s="39">
        <v>1566</v>
      </c>
      <c r="K64" s="39"/>
      <c r="L64" s="39"/>
    </row>
    <row r="65" spans="1:13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35"/>
        <v>1421.7000000000003</v>
      </c>
      <c r="G65" s="39">
        <f t="shared" si="36"/>
        <v>13156.5</v>
      </c>
      <c r="H65" s="222">
        <f t="shared" si="37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3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35"/>
        <v>3321.4500000000007</v>
      </c>
      <c r="G66" s="39">
        <f t="shared" si="36"/>
        <v>9625.5499999999993</v>
      </c>
      <c r="H66" s="222">
        <f t="shared" si="37"/>
        <v>0.34506599622878703</v>
      </c>
      <c r="I66" s="39"/>
      <c r="J66" s="39">
        <v>3478</v>
      </c>
      <c r="K66" s="39"/>
      <c r="L66" s="39"/>
    </row>
    <row r="67" spans="1:13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35"/>
        <v>3194.1000000000017</v>
      </c>
      <c r="G67" s="39">
        <f t="shared" si="36"/>
        <v>13121.5</v>
      </c>
      <c r="H67" s="222">
        <f t="shared" si="37"/>
        <v>0.24342491331021621</v>
      </c>
      <c r="I67" s="39"/>
      <c r="J67" s="39">
        <v>3419</v>
      </c>
      <c r="K67" s="39"/>
      <c r="L67" s="39"/>
    </row>
    <row r="68" spans="1:13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35"/>
        <v>3265.8999999999996</v>
      </c>
      <c r="G68" s="39">
        <f t="shared" si="36"/>
        <v>9586.5</v>
      </c>
      <c r="H68" s="222">
        <f t="shared" si="37"/>
        <v>0.34067699368904181</v>
      </c>
      <c r="I68" s="39">
        <v>170</v>
      </c>
      <c r="J68" s="39">
        <v>3491</v>
      </c>
      <c r="K68" s="39"/>
      <c r="L68" s="39"/>
    </row>
    <row r="69" spans="1:13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35"/>
        <v>3801.5505000000003</v>
      </c>
      <c r="G69" s="39">
        <f t="shared" ref="G69:G72" si="38">D69*C69</f>
        <v>7160.8995000000004</v>
      </c>
      <c r="H69" s="222">
        <f>(E69-D69)/D69</f>
        <v>0.53087611409711877</v>
      </c>
      <c r="I69" s="39"/>
      <c r="J69" s="39">
        <v>3491</v>
      </c>
      <c r="K69" s="39"/>
      <c r="L69" s="39"/>
    </row>
    <row r="70" spans="1:13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35"/>
        <v>4035.6000000000004</v>
      </c>
      <c r="G70" s="39">
        <f t="shared" si="38"/>
        <v>7160.8499999999995</v>
      </c>
      <c r="H70" s="222">
        <f>(E70-D70)/D70</f>
        <v>0.56356438132344633</v>
      </c>
      <c r="I70" s="39"/>
      <c r="J70" s="39">
        <v>4260</v>
      </c>
      <c r="K70" s="39"/>
      <c r="L70" s="39"/>
    </row>
    <row r="71" spans="1:13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35"/>
        <v>4140.951</v>
      </c>
      <c r="G71" s="39">
        <f t="shared" si="38"/>
        <v>3397.4490000000001</v>
      </c>
      <c r="H71" s="222">
        <f>(E71-D71)/D71</f>
        <v>1.2188412541292011</v>
      </c>
      <c r="I71" s="39"/>
      <c r="J71" s="39">
        <v>4366</v>
      </c>
      <c r="K71" s="39"/>
      <c r="L71" s="39"/>
    </row>
    <row r="72" spans="1:13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35"/>
        <v>3844.8000000000011</v>
      </c>
      <c r="G72" s="39">
        <f t="shared" si="38"/>
        <v>7027.65</v>
      </c>
      <c r="H72" s="222">
        <f>(E72-D72)/D72</f>
        <v>0.54709611320996376</v>
      </c>
      <c r="I72" s="39"/>
      <c r="J72" s="39">
        <v>4070</v>
      </c>
      <c r="K72" s="39"/>
      <c r="L72" s="39"/>
    </row>
    <row r="73" spans="1:13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" si="39">C73*(E73-D73)</f>
        <v>3594.6000000000013</v>
      </c>
      <c r="G73" s="39">
        <f t="shared" ref="G73" si="40">D73*C73</f>
        <v>7027.65</v>
      </c>
      <c r="H73" s="222">
        <f>(E73-D73)/D73</f>
        <v>0.51149388486905312</v>
      </c>
      <c r="I73" s="39"/>
      <c r="J73" s="39">
        <v>3820</v>
      </c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3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</row>
    <row r="80" spans="1:13" x14ac:dyDescent="0.25">
      <c r="A80" s="563"/>
      <c r="B80" s="563"/>
      <c r="C80" s="563"/>
      <c r="D80" s="564"/>
      <c r="E80" s="564"/>
      <c r="F80" s="564"/>
      <c r="G80" s="563"/>
      <c r="H80" s="563"/>
      <c r="I80" s="564"/>
      <c r="J80" s="564"/>
      <c r="K80" s="564"/>
      <c r="L80" s="563" t="s">
        <v>65</v>
      </c>
      <c r="M80" s="564">
        <f>M98+K98-F98</f>
        <v>224.77000000000044</v>
      </c>
    </row>
    <row r="81" spans="1:13" x14ac:dyDescent="0.25">
      <c r="A81" s="685" t="s">
        <v>1</v>
      </c>
      <c r="B81" s="685" t="s">
        <v>2</v>
      </c>
      <c r="C81" s="685" t="s">
        <v>4</v>
      </c>
      <c r="D81" s="686" t="s">
        <v>5</v>
      </c>
      <c r="E81" s="686" t="s">
        <v>94</v>
      </c>
      <c r="F81" s="686" t="s">
        <v>60</v>
      </c>
      <c r="G81" s="685" t="s">
        <v>3</v>
      </c>
      <c r="H81" s="685" t="s">
        <v>6</v>
      </c>
      <c r="I81" s="686" t="s">
        <v>7</v>
      </c>
      <c r="J81" s="686" t="s">
        <v>95</v>
      </c>
      <c r="K81" s="686" t="s">
        <v>61</v>
      </c>
      <c r="L81" s="685" t="s">
        <v>37</v>
      </c>
      <c r="M81" s="685" t="s">
        <v>38</v>
      </c>
    </row>
    <row r="82" spans="1:13" x14ac:dyDescent="0.25">
      <c r="A82" s="687" t="s">
        <v>695</v>
      </c>
      <c r="B82" s="566">
        <v>42972</v>
      </c>
      <c r="C82" s="563">
        <v>15</v>
      </c>
      <c r="D82" s="564">
        <v>210.01</v>
      </c>
      <c r="E82" s="564">
        <v>0</v>
      </c>
      <c r="F82" s="564">
        <f>C82*D82+E82</f>
        <v>3150.1499999999996</v>
      </c>
      <c r="G82" s="566">
        <v>43005</v>
      </c>
      <c r="H82" s="563">
        <v>15</v>
      </c>
      <c r="I82" s="564">
        <v>225</v>
      </c>
      <c r="J82" s="564">
        <v>0.08</v>
      </c>
      <c r="K82" s="564">
        <f>H82*I82-J82</f>
        <v>3374.92</v>
      </c>
      <c r="L82" s="566"/>
      <c r="M82" s="564"/>
    </row>
    <row r="83" spans="1:13" x14ac:dyDescent="0.25">
      <c r="A83" s="688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6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6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3"/>
      <c r="I97" s="564"/>
      <c r="J97" s="564"/>
      <c r="K97" s="564"/>
      <c r="L97" s="563"/>
      <c r="M97" s="563"/>
    </row>
    <row r="98" spans="1:13" x14ac:dyDescent="0.25">
      <c r="A98" s="689" t="s">
        <v>81</v>
      </c>
      <c r="B98" s="690"/>
      <c r="C98" s="690">
        <f>SUM(C82:C86)</f>
        <v>15</v>
      </c>
      <c r="D98" s="691"/>
      <c r="E98" s="691"/>
      <c r="F98" s="691">
        <f>SUM(F82:F86)</f>
        <v>3150.1499999999996</v>
      </c>
      <c r="G98" s="690"/>
      <c r="H98" s="692">
        <f>SUM(H82:H85)</f>
        <v>15</v>
      </c>
      <c r="I98" s="691"/>
      <c r="J98" s="691"/>
      <c r="K98" s="691">
        <f>SUM(K82:K85)</f>
        <v>3374.92</v>
      </c>
      <c r="L98" s="690"/>
      <c r="M98" s="691">
        <f>SUM(M82:M90)</f>
        <v>0</v>
      </c>
    </row>
    <row r="99" spans="1:13" ht="15.75" thickBot="1" x14ac:dyDescent="0.3">
      <c r="A99" s="693" t="s">
        <v>193</v>
      </c>
      <c r="B99" s="725"/>
      <c r="C99" s="694">
        <f>SumByColor($A$30,C82:C97)</f>
        <v>0</v>
      </c>
      <c r="D99" s="694"/>
      <c r="E99" s="694"/>
      <c r="F99" s="695">
        <f>SumByColor($A$30,F82:F97)</f>
        <v>0</v>
      </c>
      <c r="G99" s="694"/>
      <c r="H99" s="694">
        <f>SumByColor($A$30,H82:H97)</f>
        <v>0</v>
      </c>
      <c r="I99" s="694"/>
      <c r="J99" s="694"/>
      <c r="K99" s="695">
        <f>SumByColor($A$30,K83:K97)</f>
        <v>0</v>
      </c>
      <c r="L99" s="694"/>
      <c r="M99" s="695">
        <f>SumByColor($A$30,M82:M97)</f>
        <v>0</v>
      </c>
    </row>
    <row r="102" spans="1:13" x14ac:dyDescent="0.25">
      <c r="B102" s="182" t="s">
        <v>113</v>
      </c>
      <c r="C102" s="182" t="s">
        <v>146</v>
      </c>
      <c r="D102" s="183" t="s">
        <v>145</v>
      </c>
      <c r="E102" s="185" t="s">
        <v>147</v>
      </c>
      <c r="F102" s="185" t="s">
        <v>65</v>
      </c>
      <c r="G102" s="220" t="s">
        <v>151</v>
      </c>
      <c r="H102" s="220" t="s">
        <v>88</v>
      </c>
      <c r="I102" s="220" t="s">
        <v>154</v>
      </c>
      <c r="J102" s="220" t="s">
        <v>150</v>
      </c>
      <c r="K102" s="220" t="s">
        <v>670</v>
      </c>
      <c r="L102" s="220" t="s">
        <v>676</v>
      </c>
    </row>
    <row r="103" spans="1:13" x14ac:dyDescent="0.25">
      <c r="B103" s="184">
        <v>42972</v>
      </c>
      <c r="C103" s="10">
        <v>15</v>
      </c>
      <c r="D103" s="39">
        <v>210.01</v>
      </c>
      <c r="E103" s="39">
        <v>212.36</v>
      </c>
      <c r="F103" s="39">
        <f t="shared" ref="F103:F104" si="41">C103*(E103-D103)</f>
        <v>35.250000000000341</v>
      </c>
      <c r="G103" s="39">
        <f t="shared" ref="G103:G104" si="42">D103*C103</f>
        <v>3150.1499999999996</v>
      </c>
      <c r="H103" s="222">
        <f t="shared" ref="H103:H104" si="43">(E103-D103)/D103</f>
        <v>1.1189943336031726E-2</v>
      </c>
      <c r="I103" s="39"/>
      <c r="J103" s="39"/>
      <c r="K103" s="39"/>
      <c r="L103" s="39"/>
    </row>
    <row r="104" spans="1:13" x14ac:dyDescent="0.25">
      <c r="B104" s="184">
        <v>42983</v>
      </c>
      <c r="C104" s="10">
        <v>15</v>
      </c>
      <c r="D104" s="39">
        <v>210.01</v>
      </c>
      <c r="E104" s="39">
        <v>223.9</v>
      </c>
      <c r="F104" s="39">
        <f t="shared" si="41"/>
        <v>208.35000000000022</v>
      </c>
      <c r="G104" s="39">
        <f t="shared" si="42"/>
        <v>3150.1499999999996</v>
      </c>
      <c r="H104" s="222">
        <f t="shared" si="43"/>
        <v>6.6139707632969932E-2</v>
      </c>
      <c r="I104" s="39"/>
      <c r="J104" s="39"/>
      <c r="K104" s="39"/>
      <c r="L104" s="39"/>
    </row>
    <row r="105" spans="1:13" x14ac:dyDescent="0.25">
      <c r="B105" s="184">
        <v>43005</v>
      </c>
      <c r="C105" s="10">
        <v>0</v>
      </c>
      <c r="D105" s="39"/>
      <c r="E105" s="39"/>
      <c r="F105" s="39">
        <v>224.77</v>
      </c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J76:J78 H76:H78 F76:F78 F63:F73 H63:H73 J63:J73">
    <cfRule type="expression" dxfId="1763" priority="41">
      <formula>F7&gt;0</formula>
    </cfRule>
    <cfRule type="expression" dxfId="1762" priority="42">
      <formula>F7&lt;0</formula>
    </cfRule>
  </conditionalFormatting>
  <conditionalFormatting sqref="Q8">
    <cfRule type="expression" dxfId="1761" priority="39">
      <formula>Q8&gt;0</formula>
    </cfRule>
    <cfRule type="expression" dxfId="1760" priority="40">
      <formula>Q8&lt;0</formula>
    </cfRule>
  </conditionalFormatting>
  <conditionalFormatting sqref="F41:F60">
    <cfRule type="expression" dxfId="1759" priority="37">
      <formula>F41&gt;0</formula>
    </cfRule>
    <cfRule type="expression" dxfId="1758" priority="38">
      <formula>F41&lt;0</formula>
    </cfRule>
  </conditionalFormatting>
  <conditionalFormatting sqref="H41:H60">
    <cfRule type="expression" dxfId="1757" priority="35">
      <formula>H41&gt;0</formula>
    </cfRule>
    <cfRule type="expression" dxfId="1756" priority="36">
      <formula>H41&lt;0</formula>
    </cfRule>
  </conditionalFormatting>
  <conditionalFormatting sqref="Q10">
    <cfRule type="expression" dxfId="1755" priority="29">
      <formula>Q10&gt;0</formula>
    </cfRule>
    <cfRule type="expression" dxfId="1754" priority="30">
      <formula>Q10&lt;0</formula>
    </cfRule>
  </conditionalFormatting>
  <conditionalFormatting sqref="J36:J60">
    <cfRule type="expression" dxfId="1753" priority="27">
      <formula>J36&gt;0</formula>
    </cfRule>
    <cfRule type="expression" dxfId="1752" priority="28">
      <formula>J36&lt;0</formula>
    </cfRule>
  </conditionalFormatting>
  <conditionalFormatting sqref="K36:K49">
    <cfRule type="expression" dxfId="1751" priority="25">
      <formula>K36&gt;0</formula>
    </cfRule>
    <cfRule type="expression" dxfId="1750" priority="26">
      <formula>K36&lt;0</formula>
    </cfRule>
  </conditionalFormatting>
  <conditionalFormatting sqref="L36:L49">
    <cfRule type="expression" dxfId="1749" priority="23">
      <formula>L36&gt;0</formula>
    </cfRule>
    <cfRule type="expression" dxfId="1748" priority="24">
      <formula>L36&lt;0</formula>
    </cfRule>
  </conditionalFormatting>
  <conditionalFormatting sqref="F103:F124">
    <cfRule type="expression" dxfId="1747" priority="21">
      <formula>F103&gt;0</formula>
    </cfRule>
    <cfRule type="expression" dxfId="1746" priority="22">
      <formula>F103&lt;0</formula>
    </cfRule>
  </conditionalFormatting>
  <conditionalFormatting sqref="H103:H124">
    <cfRule type="expression" dxfId="1745" priority="19">
      <formula>H103&gt;0</formula>
    </cfRule>
    <cfRule type="expression" dxfId="1744" priority="20">
      <formula>H103&lt;0</formula>
    </cfRule>
  </conditionalFormatting>
  <conditionalFormatting sqref="J103:J116">
    <cfRule type="expression" dxfId="1743" priority="17">
      <formula>J103&gt;0</formula>
    </cfRule>
    <cfRule type="expression" dxfId="1742" priority="18">
      <formula>J103&lt;0</formula>
    </cfRule>
  </conditionalFormatting>
  <conditionalFormatting sqref="K103:K116">
    <cfRule type="expression" dxfId="1741" priority="15">
      <formula>K103&gt;0</formula>
    </cfRule>
    <cfRule type="expression" dxfId="1740" priority="16">
      <formula>K103&lt;0</formula>
    </cfRule>
  </conditionalFormatting>
  <conditionalFormatting sqref="L103:L116">
    <cfRule type="expression" dxfId="1739" priority="13">
      <formula>L103&gt;0</formula>
    </cfRule>
    <cfRule type="expression" dxfId="1738" priority="14">
      <formula>L103&lt;0</formula>
    </cfRule>
  </conditionalFormatting>
  <conditionalFormatting sqref="F36:F40">
    <cfRule type="expression" dxfId="1737" priority="11">
      <formula>F36&gt;0</formula>
    </cfRule>
    <cfRule type="expression" dxfId="1736" priority="12">
      <formula>F36&lt;0</formula>
    </cfRule>
  </conditionalFormatting>
  <conditionalFormatting sqref="H36:H40">
    <cfRule type="expression" dxfId="1735" priority="9">
      <formula>H36&gt;0</formula>
    </cfRule>
    <cfRule type="expression" dxfId="1734" priority="10">
      <formula>H36&lt;0</formula>
    </cfRule>
  </conditionalFormatting>
  <conditionalFormatting sqref="F61:F62">
    <cfRule type="expression" dxfId="1733" priority="7">
      <formula>F61&gt;0</formula>
    </cfRule>
    <cfRule type="expression" dxfId="1732" priority="8">
      <formula>F61&lt;0</formula>
    </cfRule>
  </conditionalFormatting>
  <conditionalFormatting sqref="H61:H62">
    <cfRule type="expression" dxfId="1731" priority="5">
      <formula>H61&gt;0</formula>
    </cfRule>
    <cfRule type="expression" dxfId="1730" priority="6">
      <formula>H61&lt;0</formula>
    </cfRule>
  </conditionalFormatting>
  <conditionalFormatting sqref="J61:J62">
    <cfRule type="expression" dxfId="1729" priority="3">
      <formula>J61&gt;0</formula>
    </cfRule>
    <cfRule type="expression" dxfId="1728" priority="4">
      <formula>J61&lt;0</formula>
    </cfRule>
  </conditionalFormatting>
  <conditionalFormatting sqref="J74:J75 H74:H75 F74:F75">
    <cfRule type="expression" dxfId="1727" priority="1">
      <formula>F74&gt;0</formula>
    </cfRule>
    <cfRule type="expression" dxfId="1726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98.14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98.14</v>
      </c>
      <c r="R4" s="495">
        <v>-1.11E-2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6.9288771143264727E-3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20.661052631578947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107.95400000000001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106.97260000000001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105.99120000000001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105.00980000000001</v>
      </c>
      <c r="W19" s="134"/>
    </row>
    <row r="20" spans="1:23" x14ac:dyDescent="0.25">
      <c r="O20" s="81">
        <v>1.06</v>
      </c>
      <c r="P20" s="81">
        <f t="shared" si="0"/>
        <v>104.0284</v>
      </c>
      <c r="W20" s="134"/>
    </row>
    <row r="21" spans="1:23" x14ac:dyDescent="0.25">
      <c r="O21" s="81">
        <v>1.05</v>
      </c>
      <c r="P21" s="81">
        <f t="shared" si="0"/>
        <v>103.04700000000001</v>
      </c>
      <c r="W21" s="134"/>
    </row>
    <row r="22" spans="1:23" x14ac:dyDescent="0.25">
      <c r="O22" s="81">
        <v>1.04</v>
      </c>
      <c r="P22" s="81">
        <f t="shared" si="0"/>
        <v>102.0656</v>
      </c>
      <c r="W22" s="134"/>
    </row>
    <row r="23" spans="1:23" x14ac:dyDescent="0.25">
      <c r="O23" s="81">
        <v>1.03</v>
      </c>
      <c r="P23" s="81">
        <f t="shared" si="0"/>
        <v>101.08420000000001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100.1028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99.121400000000008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98.14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97.158599999999993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96.177199999999999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95.195799999999991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94.214399999999998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93.23299999999999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92.251599999999996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91.270200000000003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90.288800000000009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89.307400000000001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88.326000000000008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25" priority="21">
      <formula>F47&gt;0</formula>
    </cfRule>
    <cfRule type="expression" dxfId="1724" priority="22">
      <formula>F47&lt;0</formula>
    </cfRule>
  </conditionalFormatting>
  <conditionalFormatting sqref="Q7">
    <cfRule type="expression" dxfId="1723" priority="19">
      <formula>Q7&gt;0</formula>
    </cfRule>
    <cfRule type="expression" dxfId="1722" priority="20">
      <formula>Q7&lt;0</formula>
    </cfRule>
  </conditionalFormatting>
  <conditionalFormatting sqref="Q8">
    <cfRule type="expression" dxfId="1721" priority="17">
      <formula>Q8&gt;0</formula>
    </cfRule>
    <cfRule type="expression" dxfId="1720" priority="18">
      <formula>Q8&lt;0</formula>
    </cfRule>
  </conditionalFormatting>
  <conditionalFormatting sqref="F25:F46">
    <cfRule type="expression" dxfId="1719" priority="15">
      <formula>F25&gt;0</formula>
    </cfRule>
    <cfRule type="expression" dxfId="1718" priority="16">
      <formula>F25&lt;0</formula>
    </cfRule>
  </conditionalFormatting>
  <conditionalFormatting sqref="H25:H46">
    <cfRule type="expression" dxfId="1717" priority="13">
      <formula>H25&gt;0</formula>
    </cfRule>
    <cfRule type="expression" dxfId="1716" priority="14">
      <formula>H25&lt;0</formula>
    </cfRule>
  </conditionalFormatting>
  <conditionalFormatting sqref="F89:F110">
    <cfRule type="expression" dxfId="1715" priority="11">
      <formula>F89&gt;0</formula>
    </cfRule>
    <cfRule type="expression" dxfId="1714" priority="12">
      <formula>F89&lt;0</formula>
    </cfRule>
  </conditionalFormatting>
  <conditionalFormatting sqref="H89:H110">
    <cfRule type="expression" dxfId="1713" priority="9">
      <formula>H89&gt;0</formula>
    </cfRule>
    <cfRule type="expression" dxfId="1712" priority="10">
      <formula>H89&lt;0</formula>
    </cfRule>
  </conditionalFormatting>
  <conditionalFormatting sqref="Q10">
    <cfRule type="expression" dxfId="1711" priority="7">
      <formula>Q10&gt;0</formula>
    </cfRule>
    <cfRule type="expression" dxfId="1710" priority="8">
      <formula>Q10&lt;0</formula>
    </cfRule>
  </conditionalFormatting>
  <conditionalFormatting sqref="J25:J38">
    <cfRule type="expression" dxfId="1709" priority="5">
      <formula>J25&gt;0</formula>
    </cfRule>
    <cfRule type="expression" dxfId="1708" priority="6">
      <formula>J25&lt;0</formula>
    </cfRule>
  </conditionalFormatting>
  <conditionalFormatting sqref="K25:K38">
    <cfRule type="expression" dxfId="1707" priority="3">
      <formula>K25&gt;0</formula>
    </cfRule>
    <cfRule type="expression" dxfId="1706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137.07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137.07</v>
      </c>
      <c r="R4" s="495">
        <v>-1.6999999999999999E-3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20.488789237668158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150.77700000000002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149.40630000000002</v>
      </c>
      <c r="Q19" s="2"/>
    </row>
    <row r="20" spans="1:17" x14ac:dyDescent="0.25">
      <c r="O20" s="81">
        <v>1.08</v>
      </c>
      <c r="P20" s="81">
        <f t="shared" si="3"/>
        <v>148.03560000000002</v>
      </c>
      <c r="Q20" s="2"/>
    </row>
    <row r="21" spans="1:17" x14ac:dyDescent="0.25">
      <c r="O21" s="81">
        <v>1.07</v>
      </c>
      <c r="P21" s="81">
        <f t="shared" si="3"/>
        <v>146.66489999999999</v>
      </c>
      <c r="Q21" s="2"/>
    </row>
    <row r="22" spans="1:17" x14ac:dyDescent="0.25">
      <c r="O22" s="81">
        <v>1.06</v>
      </c>
      <c r="P22" s="81">
        <f t="shared" si="3"/>
        <v>145.29419999999999</v>
      </c>
      <c r="Q22" s="2"/>
    </row>
    <row r="23" spans="1:17" x14ac:dyDescent="0.25">
      <c r="O23" s="81">
        <v>1.05</v>
      </c>
      <c r="P23" s="81">
        <f t="shared" si="3"/>
        <v>143.92349999999999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142.55279999999999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141.18209999999999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139.81139999999999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138.44069999999999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137.07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135.69929999999999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134.32859999999999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132.9579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131.5872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130.2165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128.8458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127.4751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126.1044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124.7337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123.363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05" priority="25">
      <formula>F7&gt;0</formula>
    </cfRule>
    <cfRule type="expression" dxfId="1704" priority="26">
      <formula>F7&lt;0</formula>
    </cfRule>
  </conditionalFormatting>
  <conditionalFormatting sqref="Q8">
    <cfRule type="expression" dxfId="1703" priority="23">
      <formula>Q8&gt;0</formula>
    </cfRule>
    <cfRule type="expression" dxfId="1702" priority="24">
      <formula>Q8&lt;0</formula>
    </cfRule>
  </conditionalFormatting>
  <conditionalFormatting sqref="F93:F114">
    <cfRule type="expression" dxfId="1701" priority="17">
      <formula>F93&gt;0</formula>
    </cfRule>
    <cfRule type="expression" dxfId="1700" priority="18">
      <formula>F93&lt;0</formula>
    </cfRule>
  </conditionalFormatting>
  <conditionalFormatting sqref="H93:H114">
    <cfRule type="expression" dxfId="1699" priority="15">
      <formula>H93&gt;0</formula>
    </cfRule>
    <cfRule type="expression" dxfId="1698" priority="16">
      <formula>H93&lt;0</formula>
    </cfRule>
  </conditionalFormatting>
  <conditionalFormatting sqref="Q10">
    <cfRule type="expression" dxfId="1697" priority="13">
      <formula>Q10&gt;0</formula>
    </cfRule>
    <cfRule type="expression" dxfId="1696" priority="14">
      <formula>Q10&lt;0</formula>
    </cfRule>
  </conditionalFormatting>
  <conditionalFormatting sqref="J25:J38">
    <cfRule type="expression" dxfId="1695" priority="11">
      <formula>J25&gt;0</formula>
    </cfRule>
    <cfRule type="expression" dxfId="1694" priority="12">
      <formula>J25&lt;0</formula>
    </cfRule>
  </conditionalFormatting>
  <conditionalFormatting sqref="K25:K38">
    <cfRule type="expression" dxfId="1693" priority="9">
      <formula>K25&gt;0</formula>
    </cfRule>
    <cfRule type="expression" dxfId="1692" priority="10">
      <formula>K25&lt;0</formula>
    </cfRule>
  </conditionalFormatting>
  <conditionalFormatting sqref="L25:L34">
    <cfRule type="expression" dxfId="1691" priority="7">
      <formula>L25&gt;0</formula>
    </cfRule>
    <cfRule type="expression" dxfId="1690" priority="8">
      <formula>L25&lt;0</formula>
    </cfRule>
  </conditionalFormatting>
  <conditionalFormatting sqref="J43">
    <cfRule type="expression" dxfId="1689" priority="5">
      <formula>J43&gt;0</formula>
    </cfRule>
    <cfRule type="expression" dxfId="1688" priority="6">
      <formula>J43&lt;0</formula>
    </cfRule>
  </conditionalFormatting>
  <conditionalFormatting sqref="M25:M34">
    <cfRule type="expression" dxfId="1687" priority="3">
      <formula>M25&gt;0</formula>
    </cfRule>
    <cfRule type="expression" dxfId="1686" priority="4">
      <formula>M25&lt;0</formula>
    </cfRule>
  </conditionalFormatting>
  <conditionalFormatting sqref="H61:H64 F61:F64">
    <cfRule type="expression" dxfId="1685" priority="1">
      <formula>F61&gt;0</formula>
    </cfRule>
    <cfRule type="expression" dxfId="168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U58" sqref="U5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32.81</v>
      </c>
      <c r="R4" s="495">
        <v>1.0500000000000001E-2</v>
      </c>
      <c r="T4" s="770"/>
      <c r="U4" s="30" t="s">
        <v>1030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8202.5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82.369999999998981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82.369999999998981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1.0143926267190177E-2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13.124000000000001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  <c r="T15" s="1">
        <v>43271</v>
      </c>
      <c r="U15" t="s">
        <v>1143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36.091000000000008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35.762900000000002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35.434800000000003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35.106700000000004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34.778600000000004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34.450500000000005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34.122400000000006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33.7943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33.466200000000001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33.138100000000001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32.81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8" si="15">C34*(E34-D34)</f>
        <v>-315.00000000000125</v>
      </c>
      <c r="G34" s="39">
        <f t="shared" ref="G34:G38" si="16">D34*C34</f>
        <v>9939</v>
      </c>
      <c r="H34" s="222">
        <f t="shared" ref="H34:H38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32.481900000000003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1138</v>
      </c>
      <c r="J35" s="39"/>
      <c r="K35" s="39">
        <v>13.53</v>
      </c>
      <c r="L35" s="155"/>
      <c r="O35" s="81">
        <v>0.98</v>
      </c>
      <c r="P35" s="81">
        <f t="shared" si="2"/>
        <v>32.153800000000004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1138</v>
      </c>
      <c r="J36" s="39"/>
      <c r="K36" s="39">
        <v>13.03</v>
      </c>
      <c r="L36" s="39"/>
      <c r="O36" s="81">
        <v>0.97</v>
      </c>
      <c r="P36" s="81">
        <f t="shared" si="2"/>
        <v>31.825700000000001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31.497600000000002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15"/>
        <v>-47.625000000000028</v>
      </c>
      <c r="G38" s="39">
        <f t="shared" si="16"/>
        <v>8120.125</v>
      </c>
      <c r="H38" s="222">
        <f t="shared" si="1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31.169499999999999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30.8414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30.513300000000005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30.185200000000002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29.857100000000003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29.529000000000003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83" priority="33">
      <formula>F47&gt;0</formula>
    </cfRule>
    <cfRule type="expression" dxfId="1682" priority="34">
      <formula>F47&lt;0</formula>
    </cfRule>
  </conditionalFormatting>
  <conditionalFormatting sqref="Q7">
    <cfRule type="expression" dxfId="1681" priority="31">
      <formula>Q7&gt;0</formula>
    </cfRule>
    <cfRule type="expression" dxfId="1680" priority="32">
      <formula>Q7&lt;0</formula>
    </cfRule>
  </conditionalFormatting>
  <conditionalFormatting sqref="Q8">
    <cfRule type="expression" dxfId="1679" priority="29">
      <formula>Q8&gt;0</formula>
    </cfRule>
    <cfRule type="expression" dxfId="1678" priority="30">
      <formula>Q8&lt;0</formula>
    </cfRule>
  </conditionalFormatting>
  <conditionalFormatting sqref="F30:F46">
    <cfRule type="expression" dxfId="1677" priority="27">
      <formula>F30&gt;0</formula>
    </cfRule>
    <cfRule type="expression" dxfId="1676" priority="28">
      <formula>F30&lt;0</formula>
    </cfRule>
  </conditionalFormatting>
  <conditionalFormatting sqref="H30:H46">
    <cfRule type="expression" dxfId="1675" priority="25">
      <formula>H30&gt;0</formula>
    </cfRule>
    <cfRule type="expression" dxfId="1674" priority="26">
      <formula>H30&lt;0</formula>
    </cfRule>
  </conditionalFormatting>
  <conditionalFormatting sqref="Q10">
    <cfRule type="expression" dxfId="1673" priority="23">
      <formula>Q10&gt;0</formula>
    </cfRule>
    <cfRule type="expression" dxfId="1672" priority="24">
      <formula>Q10&lt;0</formula>
    </cfRule>
  </conditionalFormatting>
  <conditionalFormatting sqref="J25:J38">
    <cfRule type="expression" dxfId="1671" priority="21">
      <formula>J25&gt;0</formula>
    </cfRule>
    <cfRule type="expression" dxfId="1670" priority="22">
      <formula>J25&lt;0</formula>
    </cfRule>
  </conditionalFormatting>
  <conditionalFormatting sqref="K25:K33">
    <cfRule type="expression" dxfId="1669" priority="19">
      <formula>K25&gt;0</formula>
    </cfRule>
    <cfRule type="expression" dxfId="1668" priority="20">
      <formula>K25&lt;0</formula>
    </cfRule>
  </conditionalFormatting>
  <conditionalFormatting sqref="L25:L38">
    <cfRule type="expression" dxfId="1667" priority="17">
      <formula>L25&gt;0</formula>
    </cfRule>
    <cfRule type="expression" dxfId="1666" priority="18">
      <formula>L25&lt;0</formula>
    </cfRule>
  </conditionalFormatting>
  <conditionalFormatting sqref="F89:F110">
    <cfRule type="expression" dxfId="1665" priority="15">
      <formula>F89&gt;0</formula>
    </cfRule>
    <cfRule type="expression" dxfId="1664" priority="16">
      <formula>F89&lt;0</formula>
    </cfRule>
  </conditionalFormatting>
  <conditionalFormatting sqref="H89:H110">
    <cfRule type="expression" dxfId="1663" priority="13">
      <formula>H89&gt;0</formula>
    </cfRule>
    <cfRule type="expression" dxfId="1662" priority="14">
      <formula>H89&lt;0</formula>
    </cfRule>
  </conditionalFormatting>
  <conditionalFormatting sqref="J89:J102">
    <cfRule type="expression" dxfId="1661" priority="11">
      <formula>J89&gt;0</formula>
    </cfRule>
    <cfRule type="expression" dxfId="1660" priority="12">
      <formula>J89&lt;0</formula>
    </cfRule>
  </conditionalFormatting>
  <conditionalFormatting sqref="K89:K102">
    <cfRule type="expression" dxfId="1659" priority="9">
      <formula>K89&gt;0</formula>
    </cfRule>
    <cfRule type="expression" dxfId="1658" priority="10">
      <formula>K89&lt;0</formula>
    </cfRule>
  </conditionalFormatting>
  <conditionalFormatting sqref="L89:L102">
    <cfRule type="expression" dxfId="1657" priority="7">
      <formula>L89&gt;0</formula>
    </cfRule>
    <cfRule type="expression" dxfId="1656" priority="8">
      <formula>L89&lt;0</formula>
    </cfRule>
  </conditionalFormatting>
  <conditionalFormatting sqref="F25:F29">
    <cfRule type="expression" dxfId="1655" priority="5">
      <formula>F25&gt;0</formula>
    </cfRule>
    <cfRule type="expression" dxfId="1654" priority="6">
      <formula>F25&lt;0</formula>
    </cfRule>
  </conditionalFormatting>
  <conditionalFormatting sqref="H25:H29">
    <cfRule type="expression" dxfId="1653" priority="3">
      <formula>H25&gt;0</formula>
    </cfRule>
    <cfRule type="expression" dxfId="1652" priority="4">
      <formula>H25&lt;0</formula>
    </cfRule>
  </conditionalFormatting>
  <conditionalFormatting sqref="F29">
    <cfRule type="expression" dxfId="1651" priority="1">
      <formula>F29&gt;0</formula>
    </cfRule>
    <cfRule type="expression" dxfId="165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98.56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98.56</v>
      </c>
      <c r="R4" s="495">
        <v>3.5499999999999997E-2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6.4935064935064931E-3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13.355013550135501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108.41600000000001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107.43040000000001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106.44480000000001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105.45920000000001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104.4736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103.48800000000001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102.50240000000001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101.5168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100.5312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99.545600000000007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98.56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97.574399999999997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96.588800000000006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95.603200000000001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94.617599999999996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93.631999999999991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92.6464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91.660800000000009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90.675200000000004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89.689599999999999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88.704000000000008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9" priority="31">
      <formula>F47&gt;0</formula>
    </cfRule>
    <cfRule type="expression" dxfId="1648" priority="32">
      <formula>F47&lt;0</formula>
    </cfRule>
  </conditionalFormatting>
  <conditionalFormatting sqref="Q7">
    <cfRule type="expression" dxfId="1647" priority="29">
      <formula>Q7&gt;0</formula>
    </cfRule>
    <cfRule type="expression" dxfId="1646" priority="30">
      <formula>Q7&lt;0</formula>
    </cfRule>
  </conditionalFormatting>
  <conditionalFormatting sqref="Q8">
    <cfRule type="expression" dxfId="1645" priority="27">
      <formula>Q8&gt;0</formula>
    </cfRule>
    <cfRule type="expression" dxfId="1644" priority="28">
      <formula>Q8&lt;0</formula>
    </cfRule>
  </conditionalFormatting>
  <conditionalFormatting sqref="F30:F46">
    <cfRule type="expression" dxfId="1643" priority="25">
      <formula>F30&gt;0</formula>
    </cfRule>
    <cfRule type="expression" dxfId="1642" priority="26">
      <formula>F30&lt;0</formula>
    </cfRule>
  </conditionalFormatting>
  <conditionalFormatting sqref="H30:H46">
    <cfRule type="expression" dxfId="1641" priority="23">
      <formula>H30&gt;0</formula>
    </cfRule>
    <cfRule type="expression" dxfId="1640" priority="24">
      <formula>H30&lt;0</formula>
    </cfRule>
  </conditionalFormatting>
  <conditionalFormatting sqref="Q10">
    <cfRule type="expression" dxfId="1639" priority="21">
      <formula>Q10&gt;0</formula>
    </cfRule>
    <cfRule type="expression" dxfId="1638" priority="22">
      <formula>Q10&lt;0</formula>
    </cfRule>
  </conditionalFormatting>
  <conditionalFormatting sqref="J25:J38">
    <cfRule type="expression" dxfId="1637" priority="19">
      <formula>J25&gt;0</formula>
    </cfRule>
    <cfRule type="expression" dxfId="1636" priority="20">
      <formula>J25&lt;0</formula>
    </cfRule>
  </conditionalFormatting>
  <conditionalFormatting sqref="K25:K38">
    <cfRule type="expression" dxfId="1635" priority="17">
      <formula>K25&gt;0</formula>
    </cfRule>
    <cfRule type="expression" dxfId="1634" priority="18">
      <formula>K25&lt;0</formula>
    </cfRule>
  </conditionalFormatting>
  <conditionalFormatting sqref="L25:L38">
    <cfRule type="expression" dxfId="1633" priority="15">
      <formula>L25&gt;0</formula>
    </cfRule>
    <cfRule type="expression" dxfId="1632" priority="16">
      <formula>L25&lt;0</formula>
    </cfRule>
  </conditionalFormatting>
  <conditionalFormatting sqref="F89:F110">
    <cfRule type="expression" dxfId="1631" priority="13">
      <formula>F89&gt;0</formula>
    </cfRule>
    <cfRule type="expression" dxfId="1630" priority="14">
      <formula>F89&lt;0</formula>
    </cfRule>
  </conditionalFormatting>
  <conditionalFormatting sqref="H89:H110">
    <cfRule type="expression" dxfId="1629" priority="11">
      <formula>H89&gt;0</formula>
    </cfRule>
    <cfRule type="expression" dxfId="1628" priority="12">
      <formula>H89&lt;0</formula>
    </cfRule>
  </conditionalFormatting>
  <conditionalFormatting sqref="J89:J102">
    <cfRule type="expression" dxfId="1627" priority="9">
      <formula>J89&gt;0</formula>
    </cfRule>
    <cfRule type="expression" dxfId="1626" priority="10">
      <formula>J89&lt;0</formula>
    </cfRule>
  </conditionalFormatting>
  <conditionalFormatting sqref="K89:K102">
    <cfRule type="expression" dxfId="1625" priority="7">
      <formula>K89&gt;0</formula>
    </cfRule>
    <cfRule type="expression" dxfId="1624" priority="8">
      <formula>K89&lt;0</formula>
    </cfRule>
  </conditionalFormatting>
  <conditionalFormatting sqref="L89:L102">
    <cfRule type="expression" dxfId="1623" priority="5">
      <formula>L89&gt;0</formula>
    </cfRule>
    <cfRule type="expression" dxfId="1622" priority="6">
      <formula>L89&lt;0</formula>
    </cfRule>
  </conditionalFormatting>
  <conditionalFormatting sqref="F25:F29">
    <cfRule type="expression" dxfId="1621" priority="3">
      <formula>F25&gt;0</formula>
    </cfRule>
    <cfRule type="expression" dxfId="1620" priority="4">
      <formula>F25&lt;0</formula>
    </cfRule>
  </conditionalFormatting>
  <conditionalFormatting sqref="H25:H29">
    <cfRule type="expression" dxfId="1619" priority="1">
      <formula>H25&gt;0</formula>
    </cfRule>
    <cfRule type="expression" dxfId="16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56.79</v>
      </c>
      <c r="R4" s="495">
        <v>2.3199999999999998E-2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8518.5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-457.5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-457.5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-5.0969251336898398E-2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4.648705758055996E-2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1142</v>
      </c>
    </row>
    <row r="13" spans="1:21" x14ac:dyDescent="0.25">
      <c r="H13" s="70"/>
      <c r="O13" s="11" t="s">
        <v>975</v>
      </c>
      <c r="Q13">
        <f>Q4/(3.9+4.03)*2</f>
        <v>14.322824716267339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62.469000000000001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61.901100000000007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61.333200000000005</v>
      </c>
    </row>
    <row r="20" spans="1:16" x14ac:dyDescent="0.25">
      <c r="O20" s="81">
        <v>1.07</v>
      </c>
      <c r="P20" s="81">
        <f t="shared" si="1"/>
        <v>60.765300000000003</v>
      </c>
    </row>
    <row r="21" spans="1:16" x14ac:dyDescent="0.25">
      <c r="O21" s="81">
        <v>1.06</v>
      </c>
      <c r="P21" s="81">
        <f t="shared" si="1"/>
        <v>60.197400000000002</v>
      </c>
    </row>
    <row r="22" spans="1:16" x14ac:dyDescent="0.25">
      <c r="O22" s="81">
        <v>1.05</v>
      </c>
      <c r="P22" s="81">
        <f t="shared" si="1"/>
        <v>59.6295</v>
      </c>
    </row>
    <row r="23" spans="1:16" x14ac:dyDescent="0.25">
      <c r="O23" s="81">
        <v>1.04</v>
      </c>
      <c r="P23" s="81">
        <f t="shared" si="1"/>
        <v>59.061599999999999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58.493700000000004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57.925800000000002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57.357900000000001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56.79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:F29" si="11">C28*(E28-D28)</f>
        <v>-760.5</v>
      </c>
      <c r="G28" s="39">
        <f t="shared" ref="G28:G29" si="12">D28*C28</f>
        <v>8976</v>
      </c>
      <c r="H28" s="222">
        <f t="shared" ref="H28:H29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56.222099999999998</v>
      </c>
    </row>
    <row r="29" spans="1:16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1"/>
        <v>-577.50000000000023</v>
      </c>
      <c r="G29" s="39">
        <f t="shared" si="12"/>
        <v>8976</v>
      </c>
      <c r="H29" s="222">
        <f t="shared" si="1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1"/>
        <v>55.654199999999996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55.086299999999994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54.5184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53.950499999999998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53.382599999999996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52.814700000000002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52.2468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51.678899999999999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51.110999999999997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7" priority="35">
      <formula>F47&gt;0</formula>
    </cfRule>
    <cfRule type="expression" dxfId="1616" priority="36">
      <formula>F47&lt;0</formula>
    </cfRule>
  </conditionalFormatting>
  <conditionalFormatting sqref="Q7">
    <cfRule type="expression" dxfId="1615" priority="33">
      <formula>Q7&gt;0</formula>
    </cfRule>
    <cfRule type="expression" dxfId="1614" priority="34">
      <formula>Q7&lt;0</formula>
    </cfRule>
  </conditionalFormatting>
  <conditionalFormatting sqref="Q8">
    <cfRule type="expression" dxfId="1613" priority="31">
      <formula>Q8&gt;0</formula>
    </cfRule>
    <cfRule type="expression" dxfId="1612" priority="32">
      <formula>Q8&lt;0</formula>
    </cfRule>
  </conditionalFormatting>
  <conditionalFormatting sqref="F30:F46">
    <cfRule type="expression" dxfId="1611" priority="29">
      <formula>F30&gt;0</formula>
    </cfRule>
    <cfRule type="expression" dxfId="1610" priority="30">
      <formula>F30&lt;0</formula>
    </cfRule>
  </conditionalFormatting>
  <conditionalFormatting sqref="H30:H46">
    <cfRule type="expression" dxfId="1609" priority="27">
      <formula>H30&gt;0</formula>
    </cfRule>
    <cfRule type="expression" dxfId="1608" priority="28">
      <formula>H30&lt;0</formula>
    </cfRule>
  </conditionalFormatting>
  <conditionalFormatting sqref="Q10">
    <cfRule type="expression" dxfId="1607" priority="25">
      <formula>Q10&gt;0</formula>
    </cfRule>
    <cfRule type="expression" dxfId="1606" priority="26">
      <formula>Q10&lt;0</formula>
    </cfRule>
  </conditionalFormatting>
  <conditionalFormatting sqref="J25:J38">
    <cfRule type="expression" dxfId="1605" priority="23">
      <formula>J25&gt;0</formula>
    </cfRule>
    <cfRule type="expression" dxfId="1604" priority="24">
      <formula>J25&lt;0</formula>
    </cfRule>
  </conditionalFormatting>
  <conditionalFormatting sqref="K25:K38">
    <cfRule type="expression" dxfId="1603" priority="21">
      <formula>K25&gt;0</formula>
    </cfRule>
    <cfRule type="expression" dxfId="1602" priority="22">
      <formula>K25&lt;0</formula>
    </cfRule>
  </conditionalFormatting>
  <conditionalFormatting sqref="L25 L38">
    <cfRule type="expression" dxfId="1601" priority="19">
      <formula>L25&gt;0</formula>
    </cfRule>
    <cfRule type="expression" dxfId="1600" priority="20">
      <formula>L25&lt;0</formula>
    </cfRule>
  </conditionalFormatting>
  <conditionalFormatting sqref="F89:F110">
    <cfRule type="expression" dxfId="1599" priority="17">
      <formula>F89&gt;0</formula>
    </cfRule>
    <cfRule type="expression" dxfId="1598" priority="18">
      <formula>F89&lt;0</formula>
    </cfRule>
  </conditionalFormatting>
  <conditionalFormatting sqref="H89:H110">
    <cfRule type="expression" dxfId="1597" priority="15">
      <formula>H89&gt;0</formula>
    </cfRule>
    <cfRule type="expression" dxfId="1596" priority="16">
      <formula>H89&lt;0</formula>
    </cfRule>
  </conditionalFormatting>
  <conditionalFormatting sqref="J89:J102">
    <cfRule type="expression" dxfId="1595" priority="13">
      <formula>J89&gt;0</formula>
    </cfRule>
    <cfRule type="expression" dxfId="1594" priority="14">
      <formula>J89&lt;0</formula>
    </cfRule>
  </conditionalFormatting>
  <conditionalFormatting sqref="K89:K102">
    <cfRule type="expression" dxfId="1593" priority="11">
      <formula>K89&gt;0</formula>
    </cfRule>
    <cfRule type="expression" dxfId="1592" priority="12">
      <formula>K89&lt;0</formula>
    </cfRule>
  </conditionalFormatting>
  <conditionalFormatting sqref="L89:L102">
    <cfRule type="expression" dxfId="1591" priority="9">
      <formula>L89&gt;0</formula>
    </cfRule>
    <cfRule type="expression" dxfId="1590" priority="10">
      <formula>L89&lt;0</formula>
    </cfRule>
  </conditionalFormatting>
  <conditionalFormatting sqref="F25 F29">
    <cfRule type="expression" dxfId="1589" priority="7">
      <formula>F25&gt;0</formula>
    </cfRule>
    <cfRule type="expression" dxfId="1588" priority="8">
      <formula>F25&lt;0</formula>
    </cfRule>
  </conditionalFormatting>
  <conditionalFormatting sqref="H25 H29">
    <cfRule type="expression" dxfId="1587" priority="5">
      <formula>H25&gt;0</formula>
    </cfRule>
    <cfRule type="expression" dxfId="1586" priority="6">
      <formula>H25&lt;0</formula>
    </cfRule>
  </conditionalFormatting>
  <conditionalFormatting sqref="F26:F28">
    <cfRule type="expression" dxfId="1585" priority="3">
      <formula>F26&gt;0</formula>
    </cfRule>
    <cfRule type="expression" dxfId="1584" priority="4">
      <formula>F26&lt;0</formula>
    </cfRule>
  </conditionalFormatting>
  <conditionalFormatting sqref="H26:H28">
    <cfRule type="expression" dxfId="1583" priority="1">
      <formula>H26&gt;0</formula>
    </cfRule>
    <cfRule type="expression" dxfId="158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32.11</v>
      </c>
      <c r="R4" s="495">
        <v>1.7100000000000001E-2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-10.159999999999854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-10.159999999999854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-3.1541432279054301E-3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3.114294612270321E-2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9.2536023054755034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1131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1133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34.999900000000004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34.678800000000003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34.357700000000001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34.0366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33.715499999999999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33.394399999999997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33.073300000000003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32.752200000000002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32.431100000000001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32.11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31.788899999999998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31.4678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31.146699999999999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30.825599999999998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30.504499999999997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30.183399999999999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29.862300000000001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29.5412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29.220100000000002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28.899000000000001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1" priority="31">
      <formula>F47&gt;0</formula>
    </cfRule>
    <cfRule type="expression" dxfId="1580" priority="32">
      <formula>F47&lt;0</formula>
    </cfRule>
  </conditionalFormatting>
  <conditionalFormatting sqref="Q7">
    <cfRule type="expression" dxfId="1579" priority="29">
      <formula>Q7&gt;0</formula>
    </cfRule>
    <cfRule type="expression" dxfId="1578" priority="30">
      <formula>Q7&lt;0</formula>
    </cfRule>
  </conditionalFormatting>
  <conditionalFormatting sqref="Q8">
    <cfRule type="expression" dxfId="1577" priority="27">
      <formula>Q8&gt;0</formula>
    </cfRule>
    <cfRule type="expression" dxfId="1576" priority="28">
      <formula>Q8&lt;0</formula>
    </cfRule>
  </conditionalFormatting>
  <conditionalFormatting sqref="F30:F46">
    <cfRule type="expression" dxfId="1575" priority="25">
      <formula>F30&gt;0</formula>
    </cfRule>
    <cfRule type="expression" dxfId="1574" priority="26">
      <formula>F30&lt;0</formula>
    </cfRule>
  </conditionalFormatting>
  <conditionalFormatting sqref="H30:H46">
    <cfRule type="expression" dxfId="1573" priority="23">
      <formula>H30&gt;0</formula>
    </cfRule>
    <cfRule type="expression" dxfId="1572" priority="24">
      <formula>H30&lt;0</formula>
    </cfRule>
  </conditionalFormatting>
  <conditionalFormatting sqref="Q10">
    <cfRule type="expression" dxfId="1571" priority="21">
      <formula>Q10&gt;0</formula>
    </cfRule>
    <cfRule type="expression" dxfId="1570" priority="22">
      <formula>Q10&lt;0</formula>
    </cfRule>
  </conditionalFormatting>
  <conditionalFormatting sqref="J25:J38">
    <cfRule type="expression" dxfId="1569" priority="19">
      <formula>J25&gt;0</formula>
    </cfRule>
    <cfRule type="expression" dxfId="1568" priority="20">
      <formula>J25&lt;0</formula>
    </cfRule>
  </conditionalFormatting>
  <conditionalFormatting sqref="K25:K38">
    <cfRule type="expression" dxfId="1567" priority="17">
      <formula>K25&gt;0</formula>
    </cfRule>
    <cfRule type="expression" dxfId="1566" priority="18">
      <formula>K25&lt;0</formula>
    </cfRule>
  </conditionalFormatting>
  <conditionalFormatting sqref="L25:L38">
    <cfRule type="expression" dxfId="1565" priority="15">
      <formula>L25&gt;0</formula>
    </cfRule>
    <cfRule type="expression" dxfId="1564" priority="16">
      <formula>L25&lt;0</formula>
    </cfRule>
  </conditionalFormatting>
  <conditionalFormatting sqref="F89:F110">
    <cfRule type="expression" dxfId="1563" priority="13">
      <formula>F89&gt;0</formula>
    </cfRule>
    <cfRule type="expression" dxfId="1562" priority="14">
      <formula>F89&lt;0</formula>
    </cfRule>
  </conditionalFormatting>
  <conditionalFormatting sqref="H89:H110">
    <cfRule type="expression" dxfId="1561" priority="11">
      <formula>H89&gt;0</formula>
    </cfRule>
    <cfRule type="expression" dxfId="1560" priority="12">
      <formula>H89&lt;0</formula>
    </cfRule>
  </conditionalFormatting>
  <conditionalFormatting sqref="J89:J102">
    <cfRule type="expression" dxfId="1559" priority="9">
      <formula>J89&gt;0</formula>
    </cfRule>
    <cfRule type="expression" dxfId="1558" priority="10">
      <formula>J89&lt;0</formula>
    </cfRule>
  </conditionalFormatting>
  <conditionalFormatting sqref="K89:K102">
    <cfRule type="expression" dxfId="1557" priority="7">
      <formula>K89&gt;0</formula>
    </cfRule>
    <cfRule type="expression" dxfId="1556" priority="8">
      <formula>K89&lt;0</formula>
    </cfRule>
  </conditionalFormatting>
  <conditionalFormatting sqref="L89:L102">
    <cfRule type="expression" dxfId="1555" priority="5">
      <formula>L89&gt;0</formula>
    </cfRule>
    <cfRule type="expression" dxfId="1554" priority="6">
      <formula>L89&lt;0</formula>
    </cfRule>
  </conditionalFormatting>
  <conditionalFormatting sqref="F25:F29">
    <cfRule type="expression" dxfId="1553" priority="3">
      <formula>F25&gt;0</formula>
    </cfRule>
    <cfRule type="expression" dxfId="1552" priority="4">
      <formula>F25&lt;0</formula>
    </cfRule>
  </conditionalFormatting>
  <conditionalFormatting sqref="H25:H29">
    <cfRule type="expression" dxfId="1551" priority="1">
      <formula>H25&gt;0</formula>
    </cfRule>
    <cfRule type="expression" dxfId="15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208.98</v>
      </c>
      <c r="R4" s="495">
        <v>-6.3E-3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4179.5999999999995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1462.8300000000004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1319.8000000000002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0.46150080425204576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2.3925734520049767E-3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30.463556851311949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229.87800000000001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227.78820000000002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225.69839999999999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223.6086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221.5188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219.429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217.33920000000001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215.24940000000001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213.15959999999998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211.06979999999999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208.98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206.89019999999999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204.8004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202.71059999999997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3" si="22">C39*(E39-D39)</f>
        <v>857.59999999999991</v>
      </c>
      <c r="G39" s="39">
        <f t="shared" ref="G39:G43" si="23">D39*C39</f>
        <v>6631.2</v>
      </c>
      <c r="H39" s="222">
        <f t="shared" ref="H39:H43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200.62079999999997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198.53099999999998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196.44119999999998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194.35140000000001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22"/>
        <v>1375.1999999999998</v>
      </c>
      <c r="G43" s="39">
        <f t="shared" si="23"/>
        <v>2859.8</v>
      </c>
      <c r="H43" s="222">
        <f t="shared" si="24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6"/>
        <v>192.26159999999999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190.17179999999999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188.08199999999999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9" priority="24">
      <formula>F47&gt;0</formula>
    </cfRule>
    <cfRule type="expression" dxfId="1548" priority="25">
      <formula>F47&lt;0</formula>
    </cfRule>
  </conditionalFormatting>
  <conditionalFormatting sqref="Q7">
    <cfRule type="expression" dxfId="1547" priority="22">
      <formula>Q7&gt;0</formula>
    </cfRule>
    <cfRule type="expression" dxfId="1546" priority="23">
      <formula>Q7&lt;0</formula>
    </cfRule>
  </conditionalFormatting>
  <conditionalFormatting sqref="Q8">
    <cfRule type="expression" dxfId="1545" priority="20">
      <formula>Q8&gt;0</formula>
    </cfRule>
    <cfRule type="expression" dxfId="1544" priority="21">
      <formula>Q8&lt;0</formula>
    </cfRule>
  </conditionalFormatting>
  <conditionalFormatting sqref="F25:F46">
    <cfRule type="expression" dxfId="1543" priority="18">
      <formula>F25&gt;0</formula>
    </cfRule>
    <cfRule type="expression" dxfId="1542" priority="19">
      <formula>F25&lt;0</formula>
    </cfRule>
  </conditionalFormatting>
  <conditionalFormatting sqref="H25:H46">
    <cfRule type="expression" dxfId="1541" priority="16">
      <formula>H25&gt;0</formula>
    </cfRule>
    <cfRule type="expression" dxfId="1540" priority="17">
      <formula>H25&lt;0</formula>
    </cfRule>
  </conditionalFormatting>
  <conditionalFormatting sqref="F89:F110">
    <cfRule type="expression" dxfId="1539" priority="14">
      <formula>F89&gt;0</formula>
    </cfRule>
    <cfRule type="expression" dxfId="1538" priority="15">
      <formula>F89&lt;0</formula>
    </cfRule>
  </conditionalFormatting>
  <conditionalFormatting sqref="H89:H110">
    <cfRule type="expression" dxfId="1537" priority="12">
      <formula>H89&gt;0</formula>
    </cfRule>
    <cfRule type="expression" dxfId="1536" priority="13">
      <formula>H89&lt;0</formula>
    </cfRule>
  </conditionalFormatting>
  <conditionalFormatting sqref="Q10">
    <cfRule type="expression" dxfId="1535" priority="10">
      <formula>Q10&gt;0</formula>
    </cfRule>
    <cfRule type="expression" dxfId="1534" priority="11">
      <formula>Q10&lt;0</formula>
    </cfRule>
  </conditionalFormatting>
  <conditionalFormatting sqref="J25:J39">
    <cfRule type="expression" dxfId="1533" priority="8">
      <formula>J25&gt;0</formula>
    </cfRule>
    <cfRule type="expression" dxfId="1532" priority="9">
      <formula>J25&lt;0</formula>
    </cfRule>
  </conditionalFormatting>
  <conditionalFormatting sqref="K25:K38">
    <cfRule type="expression" dxfId="1531" priority="6">
      <formula>K25&gt;0</formula>
    </cfRule>
    <cfRule type="expression" dxfId="1530" priority="7">
      <formula>K25&lt;0</formula>
    </cfRule>
  </conditionalFormatting>
  <conditionalFormatting sqref="L25:L38">
    <cfRule type="expression" dxfId="1529" priority="4">
      <formula>L25&gt;0</formula>
    </cfRule>
    <cfRule type="expression" dxfId="152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527" priority="1">
      <formula>J40&gt;0</formula>
    </cfRule>
    <cfRule type="expression" dxfId="152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25" priority="74">
      <formula>F12&gt;0</formula>
    </cfRule>
    <cfRule type="expression" dxfId="152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23" priority="67">
      <formula>F124&gt;0</formula>
    </cfRule>
    <cfRule type="expression" dxfId="1522" priority="68">
      <formula>F124&lt;0</formula>
    </cfRule>
  </conditionalFormatting>
  <conditionalFormatting sqref="H124:H130">
    <cfRule type="expression" dxfId="1521" priority="55">
      <formula>H124&gt;0</formula>
    </cfRule>
    <cfRule type="expression" dxfId="1520" priority="56">
      <formula>H124&lt;0</formula>
    </cfRule>
  </conditionalFormatting>
  <conditionalFormatting sqref="H131">
    <cfRule type="expression" dxfId="1519" priority="53">
      <formula>H131&gt;0</formula>
    </cfRule>
    <cfRule type="expression" dxfId="1518" priority="54">
      <formula>H131&lt;0</formula>
    </cfRule>
  </conditionalFormatting>
  <conditionalFormatting sqref="H132">
    <cfRule type="expression" dxfId="1517" priority="51">
      <formula>H132&gt;0</formula>
    </cfRule>
    <cfRule type="expression" dxfId="1516" priority="52">
      <formula>H132&lt;0</formula>
    </cfRule>
  </conditionalFormatting>
  <conditionalFormatting sqref="H133:H135">
    <cfRule type="expression" dxfId="1515" priority="49">
      <formula>H133&gt;0</formula>
    </cfRule>
    <cfRule type="expression" dxfId="1514" priority="50">
      <formula>H133&lt;0</formula>
    </cfRule>
  </conditionalFormatting>
  <conditionalFormatting sqref="H136">
    <cfRule type="expression" dxfId="1513" priority="45">
      <formula>H136&gt;0</formula>
    </cfRule>
    <cfRule type="expression" dxfId="1512" priority="46">
      <formula>H136&lt;0</formula>
    </cfRule>
  </conditionalFormatting>
  <conditionalFormatting sqref="Q7">
    <cfRule type="expression" dxfId="1511" priority="39">
      <formula>Q7&gt;0</formula>
    </cfRule>
    <cfRule type="expression" dxfId="1510" priority="40">
      <formula>Q7&lt;0</formula>
    </cfRule>
  </conditionalFormatting>
  <conditionalFormatting sqref="Q8">
    <cfRule type="expression" dxfId="1509" priority="37">
      <formula>Q8&gt;0</formula>
    </cfRule>
    <cfRule type="expression" dxfId="1508" priority="38">
      <formula>Q8&lt;0</formula>
    </cfRule>
  </conditionalFormatting>
  <conditionalFormatting sqref="F167:F178 H167:H178">
    <cfRule type="expression" dxfId="1507" priority="35">
      <formula>F167&gt;0</formula>
    </cfRule>
    <cfRule type="expression" dxfId="1506" priority="36">
      <formula>F167&lt;0</formula>
    </cfRule>
  </conditionalFormatting>
  <conditionalFormatting sqref="F183:F197 H183:H197">
    <cfRule type="expression" dxfId="1505" priority="33">
      <formula>F183&gt;0</formula>
    </cfRule>
    <cfRule type="expression" dxfId="1504" priority="34">
      <formula>F183&lt;0</formula>
    </cfRule>
  </conditionalFormatting>
  <conditionalFormatting sqref="F198:F206 H198:H206">
    <cfRule type="expression" dxfId="1503" priority="31">
      <formula>F198&gt;0</formula>
    </cfRule>
    <cfRule type="expression" dxfId="1502" priority="32">
      <formula>F198&lt;0</formula>
    </cfRule>
  </conditionalFormatting>
  <conditionalFormatting sqref="F141:F147 H141:H147">
    <cfRule type="expression" dxfId="1501" priority="29">
      <formula>F141&gt;0</formula>
    </cfRule>
    <cfRule type="expression" dxfId="1500" priority="30">
      <formula>F141&lt;0</formula>
    </cfRule>
  </conditionalFormatting>
  <conditionalFormatting sqref="H149:H152 F149:F152">
    <cfRule type="expression" dxfId="1499" priority="27">
      <formula>F149&gt;0</formula>
    </cfRule>
    <cfRule type="expression" dxfId="1498" priority="28">
      <formula>F149&lt;0</formula>
    </cfRule>
  </conditionalFormatting>
  <conditionalFormatting sqref="F226 H215:H218 H257:H260 F257:F260 H226 H231:H233 F231:F233 F235:F244 H235:H244">
    <cfRule type="expression" dxfId="1497" priority="25">
      <formula>F215&gt;0</formula>
    </cfRule>
    <cfRule type="expression" dxfId="1496" priority="26">
      <formula>F215&lt;0</formula>
    </cfRule>
  </conditionalFormatting>
  <conditionalFormatting sqref="F207:F218">
    <cfRule type="expression" dxfId="1495" priority="23">
      <formula>F207&gt;0</formula>
    </cfRule>
    <cfRule type="expression" dxfId="1494" priority="24">
      <formula>F207&lt;0</formula>
    </cfRule>
  </conditionalFormatting>
  <conditionalFormatting sqref="H207:H208">
    <cfRule type="expression" dxfId="1493" priority="21">
      <formula>H207&gt;0</formula>
    </cfRule>
    <cfRule type="expression" dxfId="1492" priority="22">
      <formula>H207&lt;0</formula>
    </cfRule>
  </conditionalFormatting>
  <conditionalFormatting sqref="H209">
    <cfRule type="expression" dxfId="1491" priority="19">
      <formula>H209&gt;0</formula>
    </cfRule>
    <cfRule type="expression" dxfId="1490" priority="20">
      <formula>H209&lt;0</formula>
    </cfRule>
  </conditionalFormatting>
  <conditionalFormatting sqref="H210">
    <cfRule type="expression" dxfId="1489" priority="17">
      <formula>H210&gt;0</formula>
    </cfRule>
    <cfRule type="expression" dxfId="1488" priority="18">
      <formula>H210&lt;0</formula>
    </cfRule>
  </conditionalFormatting>
  <conditionalFormatting sqref="H211:H213">
    <cfRule type="expression" dxfId="1487" priority="15">
      <formula>H211&gt;0</formula>
    </cfRule>
    <cfRule type="expression" dxfId="1486" priority="16">
      <formula>H211&lt;0</formula>
    </cfRule>
  </conditionalFormatting>
  <conditionalFormatting sqref="H214">
    <cfRule type="expression" dxfId="1485" priority="13">
      <formula>H214&gt;0</formula>
    </cfRule>
    <cfRule type="expression" dxfId="1484" priority="14">
      <formula>H214&lt;0</formula>
    </cfRule>
  </conditionalFormatting>
  <conditionalFormatting sqref="F245:F256 H245:H256">
    <cfRule type="expression" dxfId="1483" priority="11">
      <formula>F245&gt;0</formula>
    </cfRule>
    <cfRule type="expression" dxfId="1482" priority="12">
      <formula>F245&lt;0</formula>
    </cfRule>
  </conditionalFormatting>
  <conditionalFormatting sqref="F261:F275 H261:H275">
    <cfRule type="expression" dxfId="1481" priority="9">
      <formula>F261&gt;0</formula>
    </cfRule>
    <cfRule type="expression" dxfId="1480" priority="10">
      <formula>F261&lt;0</formula>
    </cfRule>
  </conditionalFormatting>
  <conditionalFormatting sqref="F276:F283 H276:H283">
    <cfRule type="expression" dxfId="1479" priority="7">
      <formula>F276&gt;0</formula>
    </cfRule>
    <cfRule type="expression" dxfId="1478" priority="8">
      <formula>F276&lt;0</formula>
    </cfRule>
  </conditionalFormatting>
  <conditionalFormatting sqref="F219:F225 H219:H225">
    <cfRule type="expression" dxfId="1477" priority="5">
      <formula>F219&gt;0</formula>
    </cfRule>
    <cfRule type="expression" dxfId="1476" priority="6">
      <formula>F219&lt;0</formula>
    </cfRule>
  </conditionalFormatting>
  <conditionalFormatting sqref="H227:H230 F227:F230">
    <cfRule type="expression" dxfId="1475" priority="3">
      <formula>F227&gt;0</formula>
    </cfRule>
    <cfRule type="expression" dxfId="1474" priority="4">
      <formula>F227&lt;0</formula>
    </cfRule>
  </conditionalFormatting>
  <conditionalFormatting sqref="H234 F234">
    <cfRule type="expression" dxfId="1473" priority="1">
      <formula>F234&gt;0</formula>
    </cfRule>
    <cfRule type="expression" dxfId="147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150.22999999999999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150.22999999999999</v>
      </c>
      <c r="R4" s="475">
        <v>1.6000000000000001E-3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165.25300000000001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163.75069999999999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162.2484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160.74609999999998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159.24379999999999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157.7415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156.23919999999998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154.73689999999999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153.2346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151.73229999999998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150.22999999999999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148.7277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147.22539999999998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145.72309999999999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144.2208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142.71849999999998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141.21619999999999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139.7139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138.2116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136.70929999999998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135.20699999999999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71" priority="43">
      <formula>F33&gt;0</formula>
    </cfRule>
    <cfRule type="expression" dxfId="1470" priority="44">
      <formula>F33&lt;0</formula>
    </cfRule>
  </conditionalFormatting>
  <conditionalFormatting sqref="Q7">
    <cfRule type="expression" dxfId="1469" priority="41">
      <formula>Q7&gt;0</formula>
    </cfRule>
    <cfRule type="expression" dxfId="1468" priority="42">
      <formula>Q7&lt;0</formula>
    </cfRule>
  </conditionalFormatting>
  <conditionalFormatting sqref="Q8">
    <cfRule type="expression" dxfId="1467" priority="39">
      <formula>Q8&gt;0</formula>
    </cfRule>
    <cfRule type="expression" dxfId="1466" priority="40">
      <formula>Q8&lt;0</formula>
    </cfRule>
  </conditionalFormatting>
  <conditionalFormatting sqref="F29 F32">
    <cfRule type="expression" dxfId="1465" priority="37">
      <formula>F29&gt;0</formula>
    </cfRule>
    <cfRule type="expression" dxfId="1464" priority="38">
      <formula>F29&lt;0</formula>
    </cfRule>
  </conditionalFormatting>
  <conditionalFormatting sqref="H29 H32">
    <cfRule type="expression" dxfId="1463" priority="35">
      <formula>H29&gt;0</formula>
    </cfRule>
    <cfRule type="expression" dxfId="1462" priority="36">
      <formula>H29&lt;0</formula>
    </cfRule>
  </conditionalFormatting>
  <conditionalFormatting sqref="F30:F31">
    <cfRule type="expression" dxfId="1461" priority="33">
      <formula>F30&gt;0</formula>
    </cfRule>
    <cfRule type="expression" dxfId="1460" priority="34">
      <formula>F30&lt;0</formula>
    </cfRule>
  </conditionalFormatting>
  <conditionalFormatting sqref="H30:H31">
    <cfRule type="expression" dxfId="1459" priority="31">
      <formula>H30&gt;0</formula>
    </cfRule>
    <cfRule type="expression" dxfId="1458" priority="32">
      <formula>H30&lt;0</formula>
    </cfRule>
  </conditionalFormatting>
  <conditionalFormatting sqref="F105:F140 H105:H140">
    <cfRule type="expression" dxfId="1457" priority="29">
      <formula>F105&gt;0</formula>
    </cfRule>
    <cfRule type="expression" dxfId="1456" priority="30">
      <formula>F105&lt;0</formula>
    </cfRule>
  </conditionalFormatting>
  <conditionalFormatting sqref="F96:F99">
    <cfRule type="expression" dxfId="1455" priority="27">
      <formula>F96&gt;0</formula>
    </cfRule>
    <cfRule type="expression" dxfId="1454" priority="28">
      <formula>F96&lt;0</formula>
    </cfRule>
  </conditionalFormatting>
  <conditionalFormatting sqref="H96:H99">
    <cfRule type="expression" dxfId="1453" priority="25">
      <formula>H96&gt;0</formula>
    </cfRule>
    <cfRule type="expression" dxfId="1452" priority="26">
      <formula>H96&lt;0</formula>
    </cfRule>
  </conditionalFormatting>
  <conditionalFormatting sqref="F25:F28">
    <cfRule type="expression" dxfId="1451" priority="19">
      <formula>F25&gt;0</formula>
    </cfRule>
    <cfRule type="expression" dxfId="1450" priority="20">
      <formula>F25&lt;0</formula>
    </cfRule>
  </conditionalFormatting>
  <conditionalFormatting sqref="H25:H28">
    <cfRule type="expression" dxfId="1449" priority="17">
      <formula>H25&gt;0</formula>
    </cfRule>
    <cfRule type="expression" dxfId="1448" priority="18">
      <formula>H25&lt;0</formula>
    </cfRule>
  </conditionalFormatting>
  <conditionalFormatting sqref="J27">
    <cfRule type="expression" dxfId="1447" priority="15">
      <formula>J27&gt;0</formula>
    </cfRule>
    <cfRule type="expression" dxfId="1446" priority="16">
      <formula>J27&lt;0</formula>
    </cfRule>
  </conditionalFormatting>
  <conditionalFormatting sqref="F104">
    <cfRule type="expression" dxfId="1445" priority="13">
      <formula>F104&gt;0</formula>
    </cfRule>
    <cfRule type="expression" dxfId="1444" priority="14">
      <formula>F104&lt;0</formula>
    </cfRule>
  </conditionalFormatting>
  <conditionalFormatting sqref="H104">
    <cfRule type="expression" dxfId="1443" priority="11">
      <formula>H104&gt;0</formula>
    </cfRule>
    <cfRule type="expression" dxfId="1442" priority="12">
      <formula>H104&lt;0</formula>
    </cfRule>
  </conditionalFormatting>
  <conditionalFormatting sqref="F100:F103">
    <cfRule type="expression" dxfId="1441" priority="9">
      <formula>F100&gt;0</formula>
    </cfRule>
    <cfRule type="expression" dxfId="1440" priority="10">
      <formula>F100&lt;0</formula>
    </cfRule>
  </conditionalFormatting>
  <conditionalFormatting sqref="H100:H103">
    <cfRule type="expression" dxfId="1439" priority="7">
      <formula>H100&gt;0</formula>
    </cfRule>
    <cfRule type="expression" dxfId="1438" priority="8">
      <formula>H100&lt;0</formula>
    </cfRule>
  </conditionalFormatting>
  <conditionalFormatting sqref="J102">
    <cfRule type="expression" dxfId="1437" priority="5">
      <formula>J102&gt;0</formula>
    </cfRule>
    <cfRule type="expression" dxfId="1436" priority="6">
      <formula>J102&lt;0</formula>
    </cfRule>
  </conditionalFormatting>
  <conditionalFormatting sqref="Q10">
    <cfRule type="expression" dxfId="1435" priority="3">
      <formula>Q10&gt;0</formula>
    </cfRule>
    <cfRule type="expression" dxfId="1434" priority="4">
      <formula>Q10&lt;0</formula>
    </cfRule>
  </conditionalFormatting>
  <conditionalFormatting sqref="M71">
    <cfRule type="expression" dxfId="1433" priority="1">
      <formula>M71&gt;0</formula>
    </cfRule>
    <cfRule type="expression" dxfId="143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95.17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95.17</v>
      </c>
      <c r="R4" s="475">
        <v>-5.0000000000000001E-4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104.68700000000001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103.73530000000001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102.78360000000001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101.8319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100.8802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99.9285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98.976800000000011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98.025100000000009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97.073400000000007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96.121700000000004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95.17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94.218299999999999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93.266599999999997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92.314899999999994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91.363199999999992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90.411500000000004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89.459800000000001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88.508100000000013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87.556400000000011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86.604700000000008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85.653000000000006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31" priority="33">
      <formula>F34&gt;0</formula>
    </cfRule>
    <cfRule type="expression" dxfId="1430" priority="34">
      <formula>F34&lt;0</formula>
    </cfRule>
  </conditionalFormatting>
  <conditionalFormatting sqref="Q7">
    <cfRule type="expression" dxfId="1429" priority="31">
      <formula>Q7&gt;0</formula>
    </cfRule>
    <cfRule type="expression" dxfId="1428" priority="32">
      <formula>Q7&lt;0</formula>
    </cfRule>
  </conditionalFormatting>
  <conditionalFormatting sqref="Q8">
    <cfRule type="expression" dxfId="1427" priority="29">
      <formula>Q8&gt;0</formula>
    </cfRule>
    <cfRule type="expression" dxfId="1426" priority="30">
      <formula>Q8&lt;0</formula>
    </cfRule>
  </conditionalFormatting>
  <conditionalFormatting sqref="F27:F33">
    <cfRule type="expression" dxfId="1425" priority="27">
      <formula>F27&gt;0</formula>
    </cfRule>
    <cfRule type="expression" dxfId="1424" priority="28">
      <formula>F27&lt;0</formula>
    </cfRule>
  </conditionalFormatting>
  <conditionalFormatting sqref="H27:H33">
    <cfRule type="expression" dxfId="1423" priority="25">
      <formula>H27&gt;0</formula>
    </cfRule>
    <cfRule type="expression" dxfId="1422" priority="26">
      <formula>H27&lt;0</formula>
    </cfRule>
  </conditionalFormatting>
  <conditionalFormatting sqref="M46">
    <cfRule type="expression" dxfId="1421" priority="23">
      <formula>M46&gt;0</formula>
    </cfRule>
    <cfRule type="expression" dxfId="1420" priority="24">
      <formula>M46&lt;0</formula>
    </cfRule>
  </conditionalFormatting>
  <conditionalFormatting sqref="F79:F87 H79:H87">
    <cfRule type="expression" dxfId="1419" priority="21">
      <formula>F79&gt;0</formula>
    </cfRule>
    <cfRule type="expression" dxfId="1418" priority="22">
      <formula>F79&lt;0</formula>
    </cfRule>
  </conditionalFormatting>
  <conditionalFormatting sqref="F73 F77:F78">
    <cfRule type="expression" dxfId="1417" priority="19">
      <formula>F73&gt;0</formula>
    </cfRule>
    <cfRule type="expression" dxfId="1416" priority="20">
      <formula>F73&lt;0</formula>
    </cfRule>
  </conditionalFormatting>
  <conditionalFormatting sqref="H73 H77:H78">
    <cfRule type="expression" dxfId="1415" priority="17">
      <formula>H73&gt;0</formula>
    </cfRule>
    <cfRule type="expression" dxfId="1414" priority="18">
      <formula>H73&lt;0</formula>
    </cfRule>
  </conditionalFormatting>
  <conditionalFormatting sqref="F70:F72">
    <cfRule type="expression" dxfId="1413" priority="15">
      <formula>F70&gt;0</formula>
    </cfRule>
    <cfRule type="expression" dxfId="1412" priority="16">
      <formula>F70&lt;0</formula>
    </cfRule>
  </conditionalFormatting>
  <conditionalFormatting sqref="H70:H72">
    <cfRule type="expression" dxfId="1411" priority="13">
      <formula>H70&gt;0</formula>
    </cfRule>
    <cfRule type="expression" dxfId="1410" priority="14">
      <formula>H70&lt;0</formula>
    </cfRule>
  </conditionalFormatting>
  <conditionalFormatting sqref="F25:F26">
    <cfRule type="expression" dxfId="1409" priority="11">
      <formula>F25&gt;0</formula>
    </cfRule>
    <cfRule type="expression" dxfId="1408" priority="12">
      <formula>F25&lt;0</formula>
    </cfRule>
  </conditionalFormatting>
  <conditionalFormatting sqref="H25:H26">
    <cfRule type="expression" dxfId="1407" priority="9">
      <formula>H25&gt;0</formula>
    </cfRule>
    <cfRule type="expression" dxfId="1406" priority="10">
      <formula>H25&lt;0</formula>
    </cfRule>
  </conditionalFormatting>
  <conditionalFormatting sqref="F76">
    <cfRule type="expression" dxfId="1405" priority="7">
      <formula>F76&gt;0</formula>
    </cfRule>
    <cfRule type="expression" dxfId="1404" priority="8">
      <formula>F76&lt;0</formula>
    </cfRule>
  </conditionalFormatting>
  <conditionalFormatting sqref="H76">
    <cfRule type="expression" dxfId="1403" priority="5">
      <formula>H76&gt;0</formula>
    </cfRule>
    <cfRule type="expression" dxfId="1402" priority="6">
      <formula>H76&lt;0</formula>
    </cfRule>
  </conditionalFormatting>
  <conditionalFormatting sqref="F74:F75">
    <cfRule type="expression" dxfId="1401" priority="3">
      <formula>F74&gt;0</formula>
    </cfRule>
    <cfRule type="expression" dxfId="1400" priority="4">
      <formula>F74&lt;0</formula>
    </cfRule>
  </conditionalFormatting>
  <conditionalFormatting sqref="H74:H75">
    <cfRule type="expression" dxfId="1399" priority="1">
      <formula>H74&gt;0</formula>
    </cfRule>
    <cfRule type="expression" dxfId="139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150.06350000000012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171.65</v>
      </c>
      <c r="R4" s="495">
        <v>8.6E-3</v>
      </c>
      <c r="T4" s="770">
        <v>43256</v>
      </c>
      <c r="U4" s="840" t="s">
        <v>1122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6866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>H6*I6-J6</f>
        <v>2662.9199999999996</v>
      </c>
      <c r="L6" s="4"/>
      <c r="M6" s="4"/>
      <c r="O6" s="11" t="s">
        <v>64</v>
      </c>
      <c r="Q6" s="2">
        <f>Q3*Q2</f>
        <v>6002.5400000000045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863.45999999999549</v>
      </c>
      <c r="R7">
        <v>25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863.45999999999549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0.14384910387935687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7.4570346635595688E-3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SUM(H2:H6)</f>
        <v>115</v>
      </c>
      <c r="I18" s="18"/>
      <c r="J18" s="18"/>
      <c r="K18" s="18">
        <f>SUM(K2:K6)</f>
        <v>19211.959999999995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14444</v>
      </c>
      <c r="G19" s="343"/>
      <c r="H19" s="343">
        <f>SumByColor($A$19,H2:H17)</f>
        <v>115</v>
      </c>
      <c r="I19" s="343"/>
      <c r="J19" s="343"/>
      <c r="K19" s="344">
        <f>SumByColor($A$19,K2:K17)</f>
        <v>19212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188.81500000000003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187.09850000000003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185.38200000000001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183.66550000000001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181.94900000000001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180.23250000000002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178.51600000000002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176.79950000000002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175.083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173.3665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0" si="23">C33*(E33-D33)</f>
        <v>35.699999999999932</v>
      </c>
      <c r="G33" s="39">
        <f t="shared" ref="G33:G40" si="24">D33*C33</f>
        <v>8074.8</v>
      </c>
      <c r="H33" s="222">
        <f t="shared" ref="H33:H40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171.65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169.93350000000001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168.21700000000001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166.50049999999999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164.78399999999999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163.0675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3"/>
        <v>994.46000000000015</v>
      </c>
      <c r="G39" s="39">
        <f t="shared" si="24"/>
        <v>3436.79</v>
      </c>
      <c r="H39" s="222">
        <f t="shared" si="25"/>
        <v>0.28935721996397806</v>
      </c>
      <c r="I39" s="39"/>
      <c r="J39" s="39"/>
      <c r="K39" s="39"/>
      <c r="L39" s="39"/>
      <c r="O39" s="81">
        <v>0.94</v>
      </c>
      <c r="P39" s="81">
        <f t="shared" si="1"/>
        <v>161.351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23"/>
        <v>852.40000000000009</v>
      </c>
      <c r="G40" s="39">
        <f t="shared" si="24"/>
        <v>6002.4</v>
      </c>
      <c r="H40" s="222">
        <f t="shared" si="25"/>
        <v>0.14200986272157806</v>
      </c>
      <c r="I40" s="39"/>
      <c r="J40" s="39"/>
      <c r="K40" s="39"/>
      <c r="L40" s="39"/>
      <c r="O40" s="81">
        <v>0.93</v>
      </c>
      <c r="P40" s="81">
        <f t="shared" si="1"/>
        <v>159.6345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157.91800000000001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156.20150000000001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154.48500000000001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97" priority="37">
      <formula>F47&gt;0</formula>
    </cfRule>
    <cfRule type="expression" dxfId="1396" priority="38">
      <formula>F47&lt;0</formula>
    </cfRule>
  </conditionalFormatting>
  <conditionalFormatting sqref="Q7">
    <cfRule type="expression" dxfId="1395" priority="35">
      <formula>Q7&gt;0</formula>
    </cfRule>
    <cfRule type="expression" dxfId="1394" priority="36">
      <formula>Q7&lt;0</formula>
    </cfRule>
  </conditionalFormatting>
  <conditionalFormatting sqref="Q8">
    <cfRule type="expression" dxfId="1393" priority="33">
      <formula>Q8&gt;0</formula>
    </cfRule>
    <cfRule type="expression" dxfId="1392" priority="34">
      <formula>Q8&lt;0</formula>
    </cfRule>
  </conditionalFormatting>
  <conditionalFormatting sqref="F31:F46">
    <cfRule type="expression" dxfId="1391" priority="31">
      <formula>F31&gt;0</formula>
    </cfRule>
    <cfRule type="expression" dxfId="1390" priority="32">
      <formula>F31&lt;0</formula>
    </cfRule>
  </conditionalFormatting>
  <conditionalFormatting sqref="H31:H46">
    <cfRule type="expression" dxfId="1389" priority="29">
      <formula>H31&gt;0</formula>
    </cfRule>
    <cfRule type="expression" dxfId="1388" priority="30">
      <formula>H31&lt;0</formula>
    </cfRule>
  </conditionalFormatting>
  <conditionalFormatting sqref="Q10">
    <cfRule type="expression" dxfId="1387" priority="27">
      <formula>Q10&gt;0</formula>
    </cfRule>
    <cfRule type="expression" dxfId="1386" priority="28">
      <formula>Q10&lt;0</formula>
    </cfRule>
  </conditionalFormatting>
  <conditionalFormatting sqref="J25:J38">
    <cfRule type="expression" dxfId="1385" priority="25">
      <formula>J25&gt;0</formula>
    </cfRule>
    <cfRule type="expression" dxfId="1384" priority="26">
      <formula>J25&lt;0</formula>
    </cfRule>
  </conditionalFormatting>
  <conditionalFormatting sqref="K25:K38">
    <cfRule type="expression" dxfId="1383" priority="23">
      <formula>K25&gt;0</formula>
    </cfRule>
    <cfRule type="expression" dxfId="1382" priority="24">
      <formula>K25&lt;0</formula>
    </cfRule>
  </conditionalFormatting>
  <conditionalFormatting sqref="L25:L38">
    <cfRule type="expression" dxfId="1381" priority="21">
      <formula>L25&gt;0</formula>
    </cfRule>
    <cfRule type="expression" dxfId="1380" priority="22">
      <formula>L25&lt;0</formula>
    </cfRule>
  </conditionalFormatting>
  <conditionalFormatting sqref="F89:F110">
    <cfRule type="expression" dxfId="1379" priority="19">
      <formula>F89&gt;0</formula>
    </cfRule>
    <cfRule type="expression" dxfId="1378" priority="20">
      <formula>F89&lt;0</formula>
    </cfRule>
  </conditionalFormatting>
  <conditionalFormatting sqref="H89:H110">
    <cfRule type="expression" dxfId="1377" priority="17">
      <formula>H89&gt;0</formula>
    </cfRule>
    <cfRule type="expression" dxfId="1376" priority="18">
      <formula>H89&lt;0</formula>
    </cfRule>
  </conditionalFormatting>
  <conditionalFormatting sqref="J89:J102">
    <cfRule type="expression" dxfId="1375" priority="15">
      <formula>J89&gt;0</formula>
    </cfRule>
    <cfRule type="expression" dxfId="1374" priority="16">
      <formula>J89&lt;0</formula>
    </cfRule>
  </conditionalFormatting>
  <conditionalFormatting sqref="K89:K102">
    <cfRule type="expression" dxfId="1373" priority="13">
      <formula>K89&gt;0</formula>
    </cfRule>
    <cfRule type="expression" dxfId="1372" priority="14">
      <formula>K89&lt;0</formula>
    </cfRule>
  </conditionalFormatting>
  <conditionalFormatting sqref="L89:L102">
    <cfRule type="expression" dxfId="1371" priority="11">
      <formula>L89&gt;0</formula>
    </cfRule>
    <cfRule type="expression" dxfId="1370" priority="12">
      <formula>L89&lt;0</formula>
    </cfRule>
  </conditionalFormatting>
  <conditionalFormatting sqref="F25:F28">
    <cfRule type="expression" dxfId="1369" priority="9">
      <formula>F25&gt;0</formula>
    </cfRule>
    <cfRule type="expression" dxfId="1368" priority="10">
      <formula>F25&lt;0</formula>
    </cfRule>
  </conditionalFormatting>
  <conditionalFormatting sqref="H25:H28">
    <cfRule type="expression" dxfId="1367" priority="7">
      <formula>H25&gt;0</formula>
    </cfRule>
    <cfRule type="expression" dxfId="1366" priority="8">
      <formula>H25&lt;0</formula>
    </cfRule>
  </conditionalFormatting>
  <conditionalFormatting sqref="F29:F30">
    <cfRule type="expression" dxfId="1365" priority="3">
      <formula>F29&gt;0</formula>
    </cfRule>
    <cfRule type="expression" dxfId="1364" priority="4">
      <formula>F29&lt;0</formula>
    </cfRule>
  </conditionalFormatting>
  <conditionalFormatting sqref="H29:H30">
    <cfRule type="expression" dxfId="1363" priority="1">
      <formula>H29&gt;0</formula>
    </cfRule>
    <cfRule type="expression" dxfId="1362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400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62.516850000000012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60.015000000000001</v>
      </c>
      <c r="R4" s="495">
        <v>-9.9000000000000005E-2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24006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25006.740000000005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-1000.7400000000052</v>
      </c>
      <c r="R7">
        <v>200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-1000.7400000000052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-4.0018810928573859E-2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H10" s="70"/>
      <c r="O10" s="11" t="s">
        <v>208</v>
      </c>
      <c r="P10" s="33"/>
      <c r="Q10" s="2">
        <f>M82</f>
        <v>0</v>
      </c>
      <c r="U10" t="s">
        <v>1025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2.6660001666250106E-2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3">
        <v>69.099999999999994</v>
      </c>
      <c r="E13" s="3">
        <v>0</v>
      </c>
      <c r="F13" s="3">
        <f t="shared" si="0"/>
        <v>6909.9999999999991</v>
      </c>
      <c r="H13" s="70"/>
      <c r="O13" s="11" t="s">
        <v>975</v>
      </c>
      <c r="Q13" s="2">
        <f>Q4/(5.85+6.05)*2</f>
        <v>10.086554621848741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1129</v>
      </c>
      <c r="V16" s="134"/>
    </row>
    <row r="17" spans="1:22" x14ac:dyDescent="0.25">
      <c r="T17" s="1">
        <v>43271</v>
      </c>
      <c r="U17" t="s">
        <v>1151</v>
      </c>
      <c r="V17" s="134"/>
    </row>
    <row r="18" spans="1:22" x14ac:dyDescent="0.25">
      <c r="A18" s="31" t="s">
        <v>81</v>
      </c>
      <c r="B18" s="14"/>
      <c r="C18" s="14">
        <f>SUM(C2:C15)</f>
        <v>950</v>
      </c>
      <c r="D18" s="18"/>
      <c r="E18" s="18"/>
      <c r="F18" s="18">
        <f>SUM(F2:F15)</f>
        <v>64062.94</v>
      </c>
      <c r="G18" s="14"/>
      <c r="H18" s="71">
        <f>SUM(H2:H9)</f>
        <v>550</v>
      </c>
      <c r="I18" s="791"/>
      <c r="J18" s="18"/>
      <c r="K18" s="18">
        <f>SUM(K2:K9)</f>
        <v>38796.199999999997</v>
      </c>
      <c r="L18" s="14"/>
      <c r="M18" s="18">
        <f>SUM(M2:M10)</f>
        <v>260</v>
      </c>
      <c r="T18" s="1">
        <v>43274</v>
      </c>
      <c r="U18" t="s">
        <v>1150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39053</v>
      </c>
      <c r="G19" s="343"/>
      <c r="H19" s="343">
        <f>SumByColor($A$19,H2:H17)</f>
        <v>550</v>
      </c>
      <c r="I19" s="792"/>
      <c r="J19" s="343"/>
      <c r="K19" s="344">
        <f>SumByColor($A$19,K2:K17)</f>
        <v>38797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66.016500000000008</v>
      </c>
      <c r="V22" s="134"/>
    </row>
    <row r="23" spans="1:22" x14ac:dyDescent="0.25">
      <c r="O23" s="81">
        <v>1.0900000000000001</v>
      </c>
      <c r="P23" s="81">
        <f t="shared" ref="P23:P42" si="2">O23*$Q$4</f>
        <v>65.416350000000008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64.816200000000009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64.21605000000001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63.615900000000003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63.015750000000004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62.415600000000005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61.815450000000006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61.215299999999999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60.61515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60.015000000000001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59.414850000000001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58.814700000000002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58.214549999999996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57.614399999999996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57.014249999999997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56.414099999999998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55.813950000000006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55.213800000000006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54.61365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54.013500000000001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10">
        <v>200</v>
      </c>
      <c r="D62" s="39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>
        <v>200</v>
      </c>
      <c r="B63" s="184">
        <v>43278</v>
      </c>
      <c r="C63" s="10">
        <v>200</v>
      </c>
      <c r="D63" s="39">
        <v>65.473699999999994</v>
      </c>
      <c r="E63" s="39">
        <v>66.260000000000005</v>
      </c>
      <c r="F63" s="39">
        <f t="shared" ref="F63:F64" si="45">C63*(E63-D63)</f>
        <v>157.26000000000226</v>
      </c>
      <c r="G63" s="39">
        <f t="shared" ref="G63:G64" si="46">D63*C63</f>
        <v>13094.739999999998</v>
      </c>
      <c r="H63" s="222">
        <f t="shared" ref="H63:H64" si="47">(E63-D63)/D63</f>
        <v>1.2009402248536609E-2</v>
      </c>
      <c r="I63" s="193"/>
      <c r="J63" s="39"/>
      <c r="K63" s="39"/>
      <c r="L63" s="39"/>
      <c r="M63" s="39">
        <v>11.14</v>
      </c>
      <c r="V63" s="134"/>
    </row>
    <row r="64" spans="1:22" x14ac:dyDescent="0.25">
      <c r="A64" s="4">
        <v>200</v>
      </c>
      <c r="B64" s="184">
        <v>43279</v>
      </c>
      <c r="C64" s="10">
        <v>400</v>
      </c>
      <c r="D64" s="39">
        <v>62.517000000000003</v>
      </c>
      <c r="E64" s="39">
        <v>59.7</v>
      </c>
      <c r="F64" s="39">
        <f t="shared" si="45"/>
        <v>-1126.8000000000002</v>
      </c>
      <c r="G64" s="39">
        <f t="shared" si="46"/>
        <v>25006.800000000003</v>
      </c>
      <c r="H64" s="222">
        <f t="shared" si="47"/>
        <v>-4.5059743749700079E-2</v>
      </c>
      <c r="I64" s="193"/>
      <c r="J64" s="39"/>
      <c r="K64" s="39"/>
      <c r="L64" s="39"/>
      <c r="M64" s="39">
        <v>10.029999999999999</v>
      </c>
      <c r="V64" s="134"/>
    </row>
    <row r="65" spans="1:22" x14ac:dyDescent="0.25">
      <c r="A65" s="4"/>
      <c r="B65" s="184"/>
      <c r="C65" s="10"/>
      <c r="D65" s="39"/>
      <c r="E65" s="39"/>
      <c r="F65" s="39"/>
      <c r="G65" s="39"/>
      <c r="H65" s="222"/>
      <c r="I65" s="193"/>
      <c r="J65" s="39"/>
      <c r="K65" s="39"/>
      <c r="L65" s="39"/>
      <c r="M65" s="39"/>
      <c r="V65" s="134"/>
    </row>
    <row r="66" spans="1:22" x14ac:dyDescent="0.25">
      <c r="A66" s="4"/>
      <c r="B66" s="184"/>
      <c r="C66" s="10"/>
      <c r="D66" s="39"/>
      <c r="E66" s="39"/>
      <c r="F66" s="39"/>
      <c r="G66" s="39"/>
      <c r="H66" s="222"/>
      <c r="I66" s="193"/>
      <c r="J66" s="39"/>
      <c r="K66" s="39"/>
      <c r="L66" s="39"/>
      <c r="M66" s="39"/>
      <c r="V66" s="134"/>
    </row>
    <row r="67" spans="1:22" x14ac:dyDescent="0.25">
      <c r="A67" s="4"/>
      <c r="B67" s="184"/>
      <c r="C67" s="10"/>
      <c r="D67" s="39"/>
      <c r="E67" s="39"/>
      <c r="F67" s="39"/>
      <c r="G67" s="39"/>
      <c r="H67" s="222"/>
      <c r="I67" s="193"/>
      <c r="J67" s="39"/>
      <c r="K67" s="39"/>
      <c r="L67" s="39"/>
      <c r="M67" s="39"/>
      <c r="V67" s="134"/>
    </row>
    <row r="68" spans="1:22" x14ac:dyDescent="0.25">
      <c r="A68" s="4"/>
      <c r="B68" s="184"/>
      <c r="C68" s="10"/>
      <c r="D68" s="39"/>
      <c r="E68" s="39"/>
      <c r="F68" s="39"/>
      <c r="G68" s="39"/>
      <c r="H68" s="222"/>
      <c r="I68" s="193"/>
      <c r="J68" s="39"/>
      <c r="K68" s="39"/>
      <c r="L68" s="39"/>
      <c r="M68" s="39"/>
      <c r="V68" s="134"/>
    </row>
    <row r="69" spans="1:22" x14ac:dyDescent="0.25">
      <c r="A69" s="4"/>
      <c r="B69" s="184"/>
      <c r="C69" s="10"/>
      <c r="D69" s="39"/>
      <c r="E69" s="39"/>
      <c r="F69" s="39"/>
      <c r="G69" s="39"/>
      <c r="H69" s="222"/>
      <c r="I69" s="193"/>
      <c r="J69" s="39"/>
      <c r="K69" s="39"/>
      <c r="L69" s="39"/>
      <c r="M69" s="39"/>
      <c r="V69" s="134"/>
    </row>
    <row r="70" spans="1:22" x14ac:dyDescent="0.25">
      <c r="A70" s="4"/>
      <c r="B70" s="184"/>
      <c r="C70" s="10"/>
      <c r="D70" s="39"/>
      <c r="E70" s="39"/>
      <c r="F70" s="39"/>
      <c r="G70" s="39"/>
      <c r="H70" s="222"/>
      <c r="I70" s="193"/>
      <c r="J70" s="39"/>
      <c r="K70" s="39"/>
      <c r="L70" s="39"/>
      <c r="M70" s="39"/>
    </row>
    <row r="71" spans="1:22" x14ac:dyDescent="0.25">
      <c r="A71" s="4"/>
      <c r="B71" s="184"/>
      <c r="C71" s="10"/>
      <c r="D71" s="39"/>
      <c r="E71" s="39"/>
      <c r="F71" s="39"/>
      <c r="G71" s="39"/>
      <c r="H71" s="222"/>
      <c r="I71" s="193"/>
      <c r="J71" s="39"/>
      <c r="K71" s="39"/>
      <c r="L71" s="39"/>
      <c r="M71" s="39"/>
    </row>
    <row r="72" spans="1:22" x14ac:dyDescent="0.25">
      <c r="A72" s="4"/>
      <c r="B72" s="184"/>
      <c r="C72" s="10"/>
      <c r="D72" s="39"/>
      <c r="E72" s="39"/>
      <c r="F72" s="39"/>
      <c r="G72" s="39"/>
      <c r="H72" s="222"/>
      <c r="I72" s="193"/>
      <c r="J72" s="39"/>
      <c r="K72" s="39"/>
      <c r="L72" s="39"/>
      <c r="M72" s="39"/>
    </row>
    <row r="73" spans="1:22" x14ac:dyDescent="0.25">
      <c r="A73" s="4"/>
      <c r="B73" s="184"/>
      <c r="C73" s="10"/>
      <c r="D73" s="39"/>
      <c r="E73" s="39"/>
      <c r="F73" s="39"/>
      <c r="G73" s="39"/>
      <c r="H73" s="222"/>
      <c r="I73" s="193"/>
      <c r="J73" s="39"/>
      <c r="K73" s="39"/>
      <c r="L73" s="39"/>
      <c r="M73" s="39"/>
    </row>
    <row r="74" spans="1:22" x14ac:dyDescent="0.25">
      <c r="A74" s="4"/>
      <c r="B74" s="184"/>
      <c r="C74" s="10"/>
      <c r="D74" s="39"/>
      <c r="E74" s="39"/>
      <c r="F74" s="39"/>
      <c r="G74" s="39"/>
      <c r="H74" s="222"/>
      <c r="I74" s="193"/>
      <c r="J74" s="39"/>
      <c r="K74" s="39"/>
      <c r="L74" s="39"/>
      <c r="M74" s="39"/>
    </row>
    <row r="75" spans="1:22" x14ac:dyDescent="0.25">
      <c r="A75" s="4"/>
      <c r="B75" s="184"/>
      <c r="C75" s="10"/>
      <c r="D75" s="39"/>
      <c r="E75" s="39"/>
      <c r="F75" s="39"/>
      <c r="G75" s="39"/>
      <c r="H75" s="222"/>
      <c r="I75" s="193"/>
      <c r="J75" s="39"/>
      <c r="K75" s="39"/>
      <c r="L75" s="39"/>
      <c r="M75" s="39"/>
    </row>
    <row r="76" spans="1:22" x14ac:dyDescent="0.25">
      <c r="A76" s="4"/>
      <c r="B76" s="184"/>
      <c r="C76" s="10"/>
      <c r="D76" s="39"/>
      <c r="E76" s="39"/>
      <c r="F76" s="39"/>
      <c r="G76" s="39"/>
      <c r="H76" s="222"/>
      <c r="I76" s="193"/>
      <c r="J76" s="39"/>
      <c r="K76" s="39"/>
      <c r="L76" s="39"/>
      <c r="M76" s="39"/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554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554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793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735</v>
      </c>
      <c r="B84" s="496"/>
      <c r="C84" s="497"/>
      <c r="D84" s="499"/>
      <c r="E84" s="499"/>
      <c r="F84" s="499"/>
      <c r="G84" s="496"/>
      <c r="H84" s="513"/>
      <c r="I84" s="794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794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794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794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794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794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794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794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794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794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795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SumByColor($A$19,C84:C99)</f>
        <v>0</v>
      </c>
      <c r="D101" s="520"/>
      <c r="E101" s="520"/>
      <c r="F101" s="521">
        <f>SumByColor($A$19,F84:F99)</f>
        <v>0</v>
      </c>
      <c r="G101" s="520"/>
      <c r="H101" s="520">
        <f>SumByColor($A$19,H84:H99)</f>
        <v>0</v>
      </c>
      <c r="I101" s="796"/>
      <c r="J101" s="520"/>
      <c r="K101" s="521">
        <f>SumByColor($A$19,K85:K99)</f>
        <v>0</v>
      </c>
      <c r="L101" s="520"/>
      <c r="M101" s="521">
        <f>SumByColor($A$19,M84:M99)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77:F80 H77:H80 H25:H64 F25:F64">
    <cfRule type="expression" dxfId="1361" priority="29">
      <formula>F7&gt;0</formula>
    </cfRule>
    <cfRule type="expression" dxfId="1360" priority="30">
      <formula>F7&lt;0</formula>
    </cfRule>
  </conditionalFormatting>
  <conditionalFormatting sqref="Q8">
    <cfRule type="expression" dxfId="1359" priority="27">
      <formula>Q8&gt;0</formula>
    </cfRule>
    <cfRule type="expression" dxfId="1358" priority="28">
      <formula>Q8&lt;0</formula>
    </cfRule>
  </conditionalFormatting>
  <conditionalFormatting sqref="F105:F126">
    <cfRule type="expression" dxfId="1357" priority="21">
      <formula>F105&gt;0</formula>
    </cfRule>
    <cfRule type="expression" dxfId="1356" priority="22">
      <formula>F105&lt;0</formula>
    </cfRule>
  </conditionalFormatting>
  <conditionalFormatting sqref="H105:H126">
    <cfRule type="expression" dxfId="1355" priority="19">
      <formula>H105&gt;0</formula>
    </cfRule>
    <cfRule type="expression" dxfId="1354" priority="20">
      <formula>H105&lt;0</formula>
    </cfRule>
  </conditionalFormatting>
  <conditionalFormatting sqref="Q10">
    <cfRule type="expression" dxfId="1353" priority="17">
      <formula>Q10&gt;0</formula>
    </cfRule>
    <cfRule type="expression" dxfId="1352" priority="18">
      <formula>Q10&lt;0</formula>
    </cfRule>
  </conditionalFormatting>
  <conditionalFormatting sqref="J25:J38">
    <cfRule type="expression" dxfId="1351" priority="15">
      <formula>J25&gt;0</formula>
    </cfRule>
    <cfRule type="expression" dxfId="1350" priority="16">
      <formula>J25&lt;0</formula>
    </cfRule>
  </conditionalFormatting>
  <conditionalFormatting sqref="K25:K38">
    <cfRule type="expression" dxfId="1349" priority="13">
      <formula>K25&gt;0</formula>
    </cfRule>
    <cfRule type="expression" dxfId="1348" priority="14">
      <formula>K25&lt;0</formula>
    </cfRule>
  </conditionalFormatting>
  <conditionalFormatting sqref="L25:L29 L31:L38">
    <cfRule type="expression" dxfId="1347" priority="11">
      <formula>L25&gt;0</formula>
    </cfRule>
    <cfRule type="expression" dxfId="1346" priority="12">
      <formula>L25&lt;0</formula>
    </cfRule>
  </conditionalFormatting>
  <conditionalFormatting sqref="M25:M38">
    <cfRule type="expression" dxfId="1345" priority="9">
      <formula>M25&gt;0</formula>
    </cfRule>
    <cfRule type="expression" dxfId="1344" priority="10">
      <formula>M25&lt;0</formula>
    </cfRule>
  </conditionalFormatting>
  <conditionalFormatting sqref="F73:F76 H73:H76">
    <cfRule type="expression" dxfId="1343" priority="5">
      <formula>F73&gt;0</formula>
    </cfRule>
    <cfRule type="expression" dxfId="1342" priority="6">
      <formula>F73&lt;0</formula>
    </cfRule>
  </conditionalFormatting>
  <conditionalFormatting sqref="F69:F72 H69:H72">
    <cfRule type="expression" dxfId="1341" priority="3">
      <formula>F69&gt;0</formula>
    </cfRule>
    <cfRule type="expression" dxfId="1340" priority="4">
      <formula>F69&lt;0</formula>
    </cfRule>
  </conditionalFormatting>
  <conditionalFormatting sqref="F65:F68 H65:H68">
    <cfRule type="expression" dxfId="1339" priority="1">
      <formula>F65&gt;0</formula>
    </cfRule>
    <cfRule type="expression" dxfId="1338" priority="2">
      <formula>F65&lt;0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675.35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675.35</v>
      </c>
      <c r="R4" s="495">
        <v>-5.0000000000000001E-3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742.8850000000001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736.13150000000007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729.37800000000004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722.62450000000001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715.87100000000009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709.11750000000006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702.36400000000003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695.6105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688.85700000000008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682.10350000000005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675.35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668.59649999999999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661.84299999999996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655.08950000000004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648.33600000000001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641.58249999999998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634.82899999999995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628.07550000000003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621.322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614.56850000000009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607.81500000000005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37" priority="21">
      <formula>F47&gt;0</formula>
    </cfRule>
    <cfRule type="expression" dxfId="1336" priority="22">
      <formula>F47&lt;0</formula>
    </cfRule>
  </conditionalFormatting>
  <conditionalFormatting sqref="Q7">
    <cfRule type="expression" dxfId="1335" priority="19">
      <formula>Q7&gt;0</formula>
    </cfRule>
    <cfRule type="expression" dxfId="1334" priority="20">
      <formula>Q7&lt;0</formula>
    </cfRule>
  </conditionalFormatting>
  <conditionalFormatting sqref="Q8">
    <cfRule type="expression" dxfId="1333" priority="17">
      <formula>Q8&gt;0</formula>
    </cfRule>
    <cfRule type="expression" dxfId="1332" priority="18">
      <formula>Q8&lt;0</formula>
    </cfRule>
  </conditionalFormatting>
  <conditionalFormatting sqref="F25:F46">
    <cfRule type="expression" dxfId="1331" priority="15">
      <formula>F25&gt;0</formula>
    </cfRule>
    <cfRule type="expression" dxfId="1330" priority="16">
      <formula>F25&lt;0</formula>
    </cfRule>
  </conditionalFormatting>
  <conditionalFormatting sqref="H25:H46">
    <cfRule type="expression" dxfId="1329" priority="13">
      <formula>H25&gt;0</formula>
    </cfRule>
    <cfRule type="expression" dxfId="1328" priority="14">
      <formula>H25&lt;0</formula>
    </cfRule>
  </conditionalFormatting>
  <conditionalFormatting sqref="F89:F110">
    <cfRule type="expression" dxfId="1327" priority="11">
      <formula>F89&gt;0</formula>
    </cfRule>
    <cfRule type="expression" dxfId="1326" priority="12">
      <formula>F89&lt;0</formula>
    </cfRule>
  </conditionalFormatting>
  <conditionalFormatting sqref="H89:H110">
    <cfRule type="expression" dxfId="1325" priority="9">
      <formula>H89&gt;0</formula>
    </cfRule>
    <cfRule type="expression" dxfId="1324" priority="10">
      <formula>H89&lt;0</formula>
    </cfRule>
  </conditionalFormatting>
  <conditionalFormatting sqref="Q10">
    <cfRule type="expression" dxfId="1323" priority="7">
      <formula>Q10&gt;0</formula>
    </cfRule>
    <cfRule type="expression" dxfId="1322" priority="8">
      <formula>Q10&lt;0</formula>
    </cfRule>
  </conditionalFormatting>
  <conditionalFormatting sqref="J25:J38">
    <cfRule type="expression" dxfId="1321" priority="5">
      <formula>J25&gt;0</formula>
    </cfRule>
    <cfRule type="expression" dxfId="1320" priority="6">
      <formula>J25&lt;0</formula>
    </cfRule>
  </conditionalFormatting>
  <conditionalFormatting sqref="K25:K38">
    <cfRule type="expression" dxfId="1319" priority="3">
      <formula>K25&gt;0</formula>
    </cfRule>
    <cfRule type="expression" dxfId="1318" priority="4">
      <formula>K25&lt;0</formula>
    </cfRule>
  </conditionalFormatting>
  <conditionalFormatting sqref="L25:L38">
    <cfRule type="expression" dxfId="1317" priority="1">
      <formula>L25&gt;0</formula>
    </cfRule>
    <cfRule type="expression" dxfId="131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52.65</v>
      </c>
      <c r="R4" s="495">
        <v>1.37E-2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2632.5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1881.3599999999988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1881.3599999999988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2.5046728971962557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2.621082621082621E-2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11.96590909090909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57.915000000000006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57.388500000000001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56.862000000000002</v>
      </c>
    </row>
    <row r="20" spans="1:16" x14ac:dyDescent="0.25">
      <c r="O20" s="81">
        <v>1.07</v>
      </c>
      <c r="P20" s="81">
        <f t="shared" si="2"/>
        <v>56.335500000000003</v>
      </c>
    </row>
    <row r="21" spans="1:16" x14ac:dyDescent="0.25">
      <c r="O21" s="81">
        <v>1.06</v>
      </c>
      <c r="P21" s="81">
        <f t="shared" si="2"/>
        <v>55.809000000000005</v>
      </c>
    </row>
    <row r="22" spans="1:16" x14ac:dyDescent="0.25">
      <c r="O22" s="81">
        <v>1.05</v>
      </c>
      <c r="P22" s="81">
        <f t="shared" si="2"/>
        <v>55.282499999999999</v>
      </c>
    </row>
    <row r="23" spans="1:16" x14ac:dyDescent="0.25">
      <c r="O23" s="81">
        <v>1.04</v>
      </c>
      <c r="P23" s="81">
        <f t="shared" si="2"/>
        <v>54.756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54.229500000000002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53.703000000000003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53.176499999999997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52.65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52.1235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51.596999999999994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51.070499999999996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50.543999999999997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50.017499999999998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49.490999999999993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48.964500000000001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48.438000000000002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47.911500000000004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47.384999999999998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35">
      <formula>F47&gt;0</formula>
    </cfRule>
    <cfRule type="expression" dxfId="1314" priority="36">
      <formula>F47&lt;0</formula>
    </cfRule>
  </conditionalFormatting>
  <conditionalFormatting sqref="Q7">
    <cfRule type="expression" dxfId="1313" priority="33">
      <formula>Q7&gt;0</formula>
    </cfRule>
    <cfRule type="expression" dxfId="1312" priority="34">
      <formula>Q7&lt;0</formula>
    </cfRule>
  </conditionalFormatting>
  <conditionalFormatting sqref="Q8">
    <cfRule type="expression" dxfId="1311" priority="31">
      <formula>Q8&gt;0</formula>
    </cfRule>
    <cfRule type="expression" dxfId="1310" priority="32">
      <formula>Q8&lt;0</formula>
    </cfRule>
  </conditionalFormatting>
  <conditionalFormatting sqref="F33:F46">
    <cfRule type="expression" dxfId="1309" priority="29">
      <formula>F33&gt;0</formula>
    </cfRule>
    <cfRule type="expression" dxfId="1308" priority="30">
      <formula>F33&lt;0</formula>
    </cfRule>
  </conditionalFormatting>
  <conditionalFormatting sqref="H33:H46">
    <cfRule type="expression" dxfId="1307" priority="27">
      <formula>H33&gt;0</formula>
    </cfRule>
    <cfRule type="expression" dxfId="1306" priority="28">
      <formula>H33&lt;0</formula>
    </cfRule>
  </conditionalFormatting>
  <conditionalFormatting sqref="Q10">
    <cfRule type="expression" dxfId="1305" priority="25">
      <formula>Q10&gt;0</formula>
    </cfRule>
    <cfRule type="expression" dxfId="1304" priority="26">
      <formula>Q10&lt;0</formula>
    </cfRule>
  </conditionalFormatting>
  <conditionalFormatting sqref="J25:J38">
    <cfRule type="expression" dxfId="1303" priority="23">
      <formula>J25&gt;0</formula>
    </cfRule>
    <cfRule type="expression" dxfId="1302" priority="24">
      <formula>J25&lt;0</formula>
    </cfRule>
  </conditionalFormatting>
  <conditionalFormatting sqref="K25:K38">
    <cfRule type="expression" dxfId="1301" priority="21">
      <formula>K25&gt;0</formula>
    </cfRule>
    <cfRule type="expression" dxfId="1300" priority="22">
      <formula>K25&lt;0</formula>
    </cfRule>
  </conditionalFormatting>
  <conditionalFormatting sqref="L25">
    <cfRule type="expression" dxfId="1299" priority="19">
      <formula>L25&gt;0</formula>
    </cfRule>
    <cfRule type="expression" dxfId="1298" priority="20">
      <formula>L25&lt;0</formula>
    </cfRule>
  </conditionalFormatting>
  <conditionalFormatting sqref="F89:F110">
    <cfRule type="expression" dxfId="1297" priority="17">
      <formula>F89&gt;0</formula>
    </cfRule>
    <cfRule type="expression" dxfId="1296" priority="18">
      <formula>F89&lt;0</formula>
    </cfRule>
  </conditionalFormatting>
  <conditionalFormatting sqref="H89:H110">
    <cfRule type="expression" dxfId="1295" priority="15">
      <formula>H89&gt;0</formula>
    </cfRule>
    <cfRule type="expression" dxfId="1294" priority="16">
      <formula>H89&lt;0</formula>
    </cfRule>
  </conditionalFormatting>
  <conditionalFormatting sqref="J89:J102">
    <cfRule type="expression" dxfId="1293" priority="13">
      <formula>J89&gt;0</formula>
    </cfRule>
    <cfRule type="expression" dxfId="1292" priority="14">
      <formula>J89&lt;0</formula>
    </cfRule>
  </conditionalFormatting>
  <conditionalFormatting sqref="K89:K102">
    <cfRule type="expression" dxfId="1291" priority="11">
      <formula>K89&gt;0</formula>
    </cfRule>
    <cfRule type="expression" dxfId="1290" priority="12">
      <formula>K89&lt;0</formula>
    </cfRule>
  </conditionalFormatting>
  <conditionalFormatting sqref="L89:L102">
    <cfRule type="expression" dxfId="1289" priority="9">
      <formula>L89&gt;0</formula>
    </cfRule>
    <cfRule type="expression" dxfId="1288" priority="10">
      <formula>L89&lt;0</formula>
    </cfRule>
  </conditionalFormatting>
  <conditionalFormatting sqref="F29:F32">
    <cfRule type="expression" dxfId="1287" priority="7">
      <formula>F29&gt;0</formula>
    </cfRule>
    <cfRule type="expression" dxfId="1286" priority="8">
      <formula>F29&lt;0</formula>
    </cfRule>
  </conditionalFormatting>
  <conditionalFormatting sqref="H29:H32">
    <cfRule type="expression" dxfId="1285" priority="5">
      <formula>H29&gt;0</formula>
    </cfRule>
    <cfRule type="expression" dxfId="1284" priority="6">
      <formula>H29&lt;0</formula>
    </cfRule>
  </conditionalFormatting>
  <conditionalFormatting sqref="F25:F28">
    <cfRule type="expression" dxfId="1283" priority="3">
      <formula>F25&gt;0</formula>
    </cfRule>
    <cfRule type="expression" dxfId="1282" priority="4">
      <formula>F25&lt;0</formula>
    </cfRule>
  </conditionalFormatting>
  <conditionalFormatting sqref="H25:H28">
    <cfRule type="expression" dxfId="1281" priority="1">
      <formula>H25&gt;0</formula>
    </cfRule>
    <cfRule type="expression" dxfId="12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222.36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222.36</v>
      </c>
      <c r="R4" s="495">
        <v>-1.1599999999999999E-2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7.9150926425616119E-3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25.795823665893277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244.59600000000003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242.37240000000003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240.14880000000002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237.92520000000002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235.70160000000001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233.47800000000004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231.25440000000003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229.03080000000003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226.80720000000002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224.58360000000002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222.36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220.13640000000001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217.9128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215.6892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213.46559999999999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211.24199999999999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209.01840000000001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206.79480000000004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204.57120000000003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202.34760000000003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200.12400000000002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9" priority="31">
      <formula>F47&gt;0</formula>
    </cfRule>
    <cfRule type="expression" dxfId="1278" priority="32">
      <formula>F47&lt;0</formula>
    </cfRule>
  </conditionalFormatting>
  <conditionalFormatting sqref="Q7">
    <cfRule type="expression" dxfId="1277" priority="29">
      <formula>Q7&gt;0</formula>
    </cfRule>
    <cfRule type="expression" dxfId="1276" priority="30">
      <formula>Q7&lt;0</formula>
    </cfRule>
  </conditionalFormatting>
  <conditionalFormatting sqref="Q8">
    <cfRule type="expression" dxfId="1275" priority="27">
      <formula>Q8&gt;0</formula>
    </cfRule>
    <cfRule type="expression" dxfId="1274" priority="28">
      <formula>Q8&lt;0</formula>
    </cfRule>
  </conditionalFormatting>
  <conditionalFormatting sqref="F30:F46">
    <cfRule type="expression" dxfId="1273" priority="25">
      <formula>F30&gt;0</formula>
    </cfRule>
    <cfRule type="expression" dxfId="1272" priority="26">
      <formula>F30&lt;0</formula>
    </cfRule>
  </conditionalFormatting>
  <conditionalFormatting sqref="H30:H46">
    <cfRule type="expression" dxfId="1271" priority="23">
      <formula>H30&gt;0</formula>
    </cfRule>
    <cfRule type="expression" dxfId="1270" priority="24">
      <formula>H30&lt;0</formula>
    </cfRule>
  </conditionalFormatting>
  <conditionalFormatting sqref="Q10">
    <cfRule type="expression" dxfId="1269" priority="21">
      <formula>Q10&gt;0</formula>
    </cfRule>
    <cfRule type="expression" dxfId="1268" priority="22">
      <formula>Q10&lt;0</formula>
    </cfRule>
  </conditionalFormatting>
  <conditionalFormatting sqref="J25:J38">
    <cfRule type="expression" dxfId="1267" priority="19">
      <formula>J25&gt;0</formula>
    </cfRule>
    <cfRule type="expression" dxfId="1266" priority="20">
      <formula>J25&lt;0</formula>
    </cfRule>
  </conditionalFormatting>
  <conditionalFormatting sqref="K25:K38">
    <cfRule type="expression" dxfId="1265" priority="17">
      <formula>K25&gt;0</formula>
    </cfRule>
    <cfRule type="expression" dxfId="1264" priority="18">
      <formula>K25&lt;0</formula>
    </cfRule>
  </conditionalFormatting>
  <conditionalFormatting sqref="L25:L38">
    <cfRule type="expression" dxfId="1263" priority="15">
      <formula>L25&gt;0</formula>
    </cfRule>
    <cfRule type="expression" dxfId="1262" priority="16">
      <formula>L25&lt;0</formula>
    </cfRule>
  </conditionalFormatting>
  <conditionalFormatting sqref="F89:F110">
    <cfRule type="expression" dxfId="1261" priority="13">
      <formula>F89&gt;0</formula>
    </cfRule>
    <cfRule type="expression" dxfId="1260" priority="14">
      <formula>F89&lt;0</formula>
    </cfRule>
  </conditionalFormatting>
  <conditionalFormatting sqref="H89:H110">
    <cfRule type="expression" dxfId="1259" priority="11">
      <formula>H89&gt;0</formula>
    </cfRule>
    <cfRule type="expression" dxfId="1258" priority="12">
      <formula>H89&lt;0</formula>
    </cfRule>
  </conditionalFormatting>
  <conditionalFormatting sqref="J89:J102">
    <cfRule type="expression" dxfId="1257" priority="9">
      <formula>J89&gt;0</formula>
    </cfRule>
    <cfRule type="expression" dxfId="1256" priority="10">
      <formula>J89&lt;0</formula>
    </cfRule>
  </conditionalFormatting>
  <conditionalFormatting sqref="K89:K102">
    <cfRule type="expression" dxfId="1255" priority="7">
      <formula>K89&gt;0</formula>
    </cfRule>
    <cfRule type="expression" dxfId="1254" priority="8">
      <formula>K89&lt;0</formula>
    </cfRule>
  </conditionalFormatting>
  <conditionalFormatting sqref="L89:L102">
    <cfRule type="expression" dxfId="1253" priority="5">
      <formula>L89&gt;0</formula>
    </cfRule>
    <cfRule type="expression" dxfId="1252" priority="6">
      <formula>L89&lt;0</formula>
    </cfRule>
  </conditionalFormatting>
  <conditionalFormatting sqref="F25:F29">
    <cfRule type="expression" dxfId="1251" priority="3">
      <formula>F25&gt;0</formula>
    </cfRule>
    <cfRule type="expression" dxfId="1250" priority="4">
      <formula>F25&lt;0</formula>
    </cfRule>
  </conditionalFormatting>
  <conditionalFormatting sqref="H25:H29">
    <cfRule type="expression" dxfId="1249" priority="1">
      <formula>H25&gt;0</formula>
    </cfRule>
    <cfRule type="expression" dxfId="12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62.82</v>
      </c>
      <c r="R4" s="495">
        <v>-5.9999999999999995E-4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6282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-1.4162972262544628E-2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3.9796243234638651E-2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16.575197889182057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69.102000000000004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68.473800000000011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67.845600000000005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67.217399999999998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66.589200000000005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65.960999999999999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65.332800000000006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64.704599999999999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64.076400000000007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63.4482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62.82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62.191800000000001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61.563600000000001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60.935400000000001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60.307199999999995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59.678999999999995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59.050799999999995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58.422600000000003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57.794400000000003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57.166200000000003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56.538000000000004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7" priority="31">
      <formula>F47&gt;0</formula>
    </cfRule>
    <cfRule type="expression" dxfId="1246" priority="32">
      <formula>F47&lt;0</formula>
    </cfRule>
  </conditionalFormatting>
  <conditionalFormatting sqref="Q7">
    <cfRule type="expression" dxfId="1245" priority="29">
      <formula>Q7&gt;0</formula>
    </cfRule>
    <cfRule type="expression" dxfId="1244" priority="30">
      <formula>Q7&lt;0</formula>
    </cfRule>
  </conditionalFormatting>
  <conditionalFormatting sqref="Q8">
    <cfRule type="expression" dxfId="1243" priority="27">
      <formula>Q8&gt;0</formula>
    </cfRule>
    <cfRule type="expression" dxfId="1242" priority="28">
      <formula>Q8&lt;0</formula>
    </cfRule>
  </conditionalFormatting>
  <conditionalFormatting sqref="F30:F46">
    <cfRule type="expression" dxfId="1241" priority="25">
      <formula>F30&gt;0</formula>
    </cfRule>
    <cfRule type="expression" dxfId="1240" priority="26">
      <formula>F30&lt;0</formula>
    </cfRule>
  </conditionalFormatting>
  <conditionalFormatting sqref="H30:H46">
    <cfRule type="expression" dxfId="1239" priority="23">
      <formula>H30&gt;0</formula>
    </cfRule>
    <cfRule type="expression" dxfId="1238" priority="24">
      <formula>H30&lt;0</formula>
    </cfRule>
  </conditionalFormatting>
  <conditionalFormatting sqref="Q10">
    <cfRule type="expression" dxfId="1237" priority="21">
      <formula>Q10&gt;0</formula>
    </cfRule>
    <cfRule type="expression" dxfId="1236" priority="22">
      <formula>Q10&lt;0</formula>
    </cfRule>
  </conditionalFormatting>
  <conditionalFormatting sqref="J25:J38">
    <cfRule type="expression" dxfId="1235" priority="19">
      <formula>J25&gt;0</formula>
    </cfRule>
    <cfRule type="expression" dxfId="1234" priority="20">
      <formula>J25&lt;0</formula>
    </cfRule>
  </conditionalFormatting>
  <conditionalFormatting sqref="K25:K38">
    <cfRule type="expression" dxfId="1233" priority="17">
      <formula>K25&gt;0</formula>
    </cfRule>
    <cfRule type="expression" dxfId="1232" priority="18">
      <formula>K25&lt;0</formula>
    </cfRule>
  </conditionalFormatting>
  <conditionalFormatting sqref="L25:L32 L34:L38">
    <cfRule type="expression" dxfId="1231" priority="15">
      <formula>L25&gt;0</formula>
    </cfRule>
    <cfRule type="expression" dxfId="1230" priority="16">
      <formula>L25&lt;0</formula>
    </cfRule>
  </conditionalFormatting>
  <conditionalFormatting sqref="F89:F110">
    <cfRule type="expression" dxfId="1229" priority="13">
      <formula>F89&gt;0</formula>
    </cfRule>
    <cfRule type="expression" dxfId="1228" priority="14">
      <formula>F89&lt;0</formula>
    </cfRule>
  </conditionalFormatting>
  <conditionalFormatting sqref="H89:H110">
    <cfRule type="expression" dxfId="1227" priority="11">
      <formula>H89&gt;0</formula>
    </cfRule>
    <cfRule type="expression" dxfId="1226" priority="12">
      <formula>H89&lt;0</formula>
    </cfRule>
  </conditionalFormatting>
  <conditionalFormatting sqref="J89:J102">
    <cfRule type="expression" dxfId="1225" priority="9">
      <formula>J89&gt;0</formula>
    </cfRule>
    <cfRule type="expression" dxfId="1224" priority="10">
      <formula>J89&lt;0</formula>
    </cfRule>
  </conditionalFormatting>
  <conditionalFormatting sqref="K89:K102">
    <cfRule type="expression" dxfId="1223" priority="7">
      <formula>K89&gt;0</formula>
    </cfRule>
    <cfRule type="expression" dxfId="1222" priority="8">
      <formula>K89&lt;0</formula>
    </cfRule>
  </conditionalFormatting>
  <conditionalFormatting sqref="L89:L102">
    <cfRule type="expression" dxfId="1221" priority="5">
      <formula>L89&gt;0</formula>
    </cfRule>
    <cfRule type="expression" dxfId="1220" priority="6">
      <formula>L89&lt;0</formula>
    </cfRule>
  </conditionalFormatting>
  <conditionalFormatting sqref="F25:F29">
    <cfRule type="expression" dxfId="1219" priority="3">
      <formula>F25&gt;0</formula>
    </cfRule>
    <cfRule type="expression" dxfId="1218" priority="4">
      <formula>F25&lt;0</formula>
    </cfRule>
  </conditionalFormatting>
  <conditionalFormatting sqref="H25:H29">
    <cfRule type="expression" dxfId="1217" priority="1">
      <formula>H25&gt;0</formula>
    </cfRule>
    <cfRule type="expression" dxfId="12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35.32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35.32</v>
      </c>
      <c r="R4" s="495">
        <v>-2.5000000000000001E-3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7.4745186862967161E-2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38.852000000000004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38.498800000000003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38.145600000000002</v>
      </c>
    </row>
    <row r="20" spans="1:16" x14ac:dyDescent="0.25">
      <c r="O20" s="81">
        <v>1.07</v>
      </c>
      <c r="P20" s="81">
        <f t="shared" si="1"/>
        <v>37.792400000000001</v>
      </c>
    </row>
    <row r="21" spans="1:16" x14ac:dyDescent="0.25">
      <c r="O21" s="81">
        <v>1.06</v>
      </c>
      <c r="P21" s="81">
        <f t="shared" si="1"/>
        <v>37.4392</v>
      </c>
    </row>
    <row r="22" spans="1:16" x14ac:dyDescent="0.25">
      <c r="O22" s="81">
        <v>1.05</v>
      </c>
      <c r="P22" s="81">
        <f t="shared" si="1"/>
        <v>37.085999999999999</v>
      </c>
    </row>
    <row r="23" spans="1:16" x14ac:dyDescent="0.25">
      <c r="O23" s="81">
        <v>1.04</v>
      </c>
      <c r="P23" s="81">
        <f t="shared" si="1"/>
        <v>36.732800000000005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36.379600000000003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36.026400000000002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35.673200000000001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35.32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34.966799999999999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34.613599999999998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34.260399999999997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33.907199999999996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33.554000000000002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33.200800000000001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32.8476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32.494399999999999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32.141200000000005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31.788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5" priority="35">
      <formula>F47&gt;0</formula>
    </cfRule>
    <cfRule type="expression" dxfId="1214" priority="36">
      <formula>F47&lt;0</formula>
    </cfRule>
  </conditionalFormatting>
  <conditionalFormatting sqref="Q7">
    <cfRule type="expression" dxfId="1213" priority="33">
      <formula>Q7&gt;0</formula>
    </cfRule>
    <cfRule type="expression" dxfId="1212" priority="34">
      <formula>Q7&lt;0</formula>
    </cfRule>
  </conditionalFormatting>
  <conditionalFormatting sqref="Q8">
    <cfRule type="expression" dxfId="1211" priority="31">
      <formula>Q8&gt;0</formula>
    </cfRule>
    <cfRule type="expression" dxfId="1210" priority="32">
      <formula>Q8&lt;0</formula>
    </cfRule>
  </conditionalFormatting>
  <conditionalFormatting sqref="F32:F46">
    <cfRule type="expression" dxfId="1209" priority="29">
      <formula>F32&gt;0</formula>
    </cfRule>
    <cfRule type="expression" dxfId="1208" priority="30">
      <formula>F32&lt;0</formula>
    </cfRule>
  </conditionalFormatting>
  <conditionalFormatting sqref="H32:H46">
    <cfRule type="expression" dxfId="1207" priority="27">
      <formula>H32&gt;0</formula>
    </cfRule>
    <cfRule type="expression" dxfId="1206" priority="28">
      <formula>H32&lt;0</formula>
    </cfRule>
  </conditionalFormatting>
  <conditionalFormatting sqref="Q10">
    <cfRule type="expression" dxfId="1205" priority="25">
      <formula>Q10&gt;0</formula>
    </cfRule>
    <cfRule type="expression" dxfId="1204" priority="26">
      <formula>Q10&lt;0</formula>
    </cfRule>
  </conditionalFormatting>
  <conditionalFormatting sqref="J25:J38">
    <cfRule type="expression" dxfId="1203" priority="23">
      <formula>J25&gt;0</formula>
    </cfRule>
    <cfRule type="expression" dxfId="1202" priority="24">
      <formula>J25&lt;0</formula>
    </cfRule>
  </conditionalFormatting>
  <conditionalFormatting sqref="K25:K38">
    <cfRule type="expression" dxfId="1201" priority="21">
      <formula>K25&gt;0</formula>
    </cfRule>
    <cfRule type="expression" dxfId="1200" priority="22">
      <formula>K25&lt;0</formula>
    </cfRule>
  </conditionalFormatting>
  <conditionalFormatting sqref="L25:L38">
    <cfRule type="expression" dxfId="1199" priority="19">
      <formula>L25&gt;0</formula>
    </cfRule>
    <cfRule type="expression" dxfId="1198" priority="20">
      <formula>L25&lt;0</formula>
    </cfRule>
  </conditionalFormatting>
  <conditionalFormatting sqref="F89:F110">
    <cfRule type="expression" dxfId="1197" priority="17">
      <formula>F89&gt;0</formula>
    </cfRule>
    <cfRule type="expression" dxfId="1196" priority="18">
      <formula>F89&lt;0</formula>
    </cfRule>
  </conditionalFormatting>
  <conditionalFormatting sqref="H89:H110">
    <cfRule type="expression" dxfId="1195" priority="15">
      <formula>H89&gt;0</formula>
    </cfRule>
    <cfRule type="expression" dxfId="1194" priority="16">
      <formula>H89&lt;0</formula>
    </cfRule>
  </conditionalFormatting>
  <conditionalFormatting sqref="J89:J102">
    <cfRule type="expression" dxfId="1193" priority="13">
      <formula>J89&gt;0</formula>
    </cfRule>
    <cfRule type="expression" dxfId="1192" priority="14">
      <formula>J89&lt;0</formula>
    </cfRule>
  </conditionalFormatting>
  <conditionalFormatting sqref="K89:K102">
    <cfRule type="expression" dxfId="1191" priority="11">
      <formula>K89&gt;0</formula>
    </cfRule>
    <cfRule type="expression" dxfId="1190" priority="12">
      <formula>K89&lt;0</formula>
    </cfRule>
  </conditionalFormatting>
  <conditionalFormatting sqref="L89:L102">
    <cfRule type="expression" dxfId="1189" priority="9">
      <formula>L89&gt;0</formula>
    </cfRule>
    <cfRule type="expression" dxfId="1188" priority="10">
      <formula>L89&lt;0</formula>
    </cfRule>
  </conditionalFormatting>
  <conditionalFormatting sqref="F25:F28">
    <cfRule type="expression" dxfId="1187" priority="7">
      <formula>F25&gt;0</formula>
    </cfRule>
    <cfRule type="expression" dxfId="1186" priority="8">
      <formula>F25&lt;0</formula>
    </cfRule>
  </conditionalFormatting>
  <conditionalFormatting sqref="H25:H28">
    <cfRule type="expression" dxfId="1185" priority="5">
      <formula>H25&gt;0</formula>
    </cfRule>
    <cfRule type="expression" dxfId="1184" priority="6">
      <formula>H25&lt;0</formula>
    </cfRule>
  </conditionalFormatting>
  <conditionalFormatting sqref="F29:F31">
    <cfRule type="expression" dxfId="1183" priority="3">
      <formula>F29&gt;0</formula>
    </cfRule>
    <cfRule type="expression" dxfId="1182" priority="4">
      <formula>F29&lt;0</formula>
    </cfRule>
  </conditionalFormatting>
  <conditionalFormatting sqref="H29:H31">
    <cfRule type="expression" dxfId="1181" priority="1">
      <formula>H29&gt;0</formula>
    </cfRule>
    <cfRule type="expression" dxfId="118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6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120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128.64974999999998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115.87</v>
      </c>
      <c r="R4" s="495">
        <v>-3.7199999999999997E-2</v>
      </c>
      <c r="T4" s="770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13904.400000000001</v>
      </c>
      <c r="U5" s="475" t="s">
        <v>1003</v>
      </c>
    </row>
    <row r="6" spans="1:21" x14ac:dyDescent="0.25">
      <c r="B6" s="474">
        <v>43279</v>
      </c>
      <c r="C6" s="4">
        <v>20</v>
      </c>
      <c r="D6" s="3">
        <v>113.98</v>
      </c>
      <c r="E6" s="3">
        <v>0</v>
      </c>
      <c r="F6" s="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15437.969999999998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-1533.5699999999979</v>
      </c>
      <c r="R7">
        <v>100</v>
      </c>
      <c r="T7" s="1">
        <v>43221</v>
      </c>
      <c r="U7" s="821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-1533.5699999999979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-9.933754243595487E-2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4.487788038318806E-3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1135</v>
      </c>
    </row>
    <row r="13" spans="1:21" x14ac:dyDescent="0.25">
      <c r="H13" s="70"/>
      <c r="O13" s="11" t="s">
        <v>975</v>
      </c>
      <c r="Q13">
        <f>Q4/8.62</f>
        <v>13.441995359628772</v>
      </c>
      <c r="T13" s="1">
        <v>43260</v>
      </c>
      <c r="U13" t="s">
        <v>1130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1132</v>
      </c>
    </row>
    <row r="16" spans="1:21" x14ac:dyDescent="0.25">
      <c r="H16" s="70"/>
    </row>
    <row r="17" spans="1:21" x14ac:dyDescent="0.25">
      <c r="T17" s="1">
        <v>43264</v>
      </c>
      <c r="U17" t="s">
        <v>1136</v>
      </c>
    </row>
    <row r="18" spans="1:21" ht="20.25" thickBot="1" x14ac:dyDescent="0.3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18475.599999999999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77" t="s">
        <v>78</v>
      </c>
      <c r="P18" s="777"/>
      <c r="U18" t="s">
        <v>1137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127.45700000000002</v>
      </c>
    </row>
    <row r="20" spans="1:21" x14ac:dyDescent="0.25">
      <c r="O20" s="81">
        <v>1.0900000000000001</v>
      </c>
      <c r="P20" s="81">
        <f t="shared" ref="P20:P39" si="1">O20*$Q$4</f>
        <v>126.29830000000001</v>
      </c>
      <c r="T20" s="1">
        <v>43279</v>
      </c>
      <c r="U20" t="s">
        <v>1156</v>
      </c>
    </row>
    <row r="21" spans="1:21" x14ac:dyDescent="0.25">
      <c r="O21" s="81">
        <v>1.08</v>
      </c>
      <c r="P21" s="81">
        <f t="shared" si="1"/>
        <v>125.13960000000002</v>
      </c>
    </row>
    <row r="22" spans="1:21" x14ac:dyDescent="0.25">
      <c r="O22" s="81">
        <v>1.07</v>
      </c>
      <c r="P22" s="81">
        <f t="shared" si="1"/>
        <v>123.98090000000001</v>
      </c>
    </row>
    <row r="23" spans="1:21" x14ac:dyDescent="0.25">
      <c r="O23" s="81">
        <v>1.06</v>
      </c>
      <c r="P23" s="81">
        <f t="shared" si="1"/>
        <v>122.82220000000001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121.66350000000001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120.5048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119.34610000000001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118.18740000000001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117.0287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115.87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114.71130000000001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113.5526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23">C32*(E32-D32)</f>
        <v>-439.36999999999955</v>
      </c>
      <c r="G32" s="39">
        <f t="shared" ref="G32:G38" si="24">D32*C32</f>
        <v>7030.87</v>
      </c>
      <c r="H32" s="222">
        <f t="shared" ref="H32:H38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112.3939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111.23520000000001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110.0765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108.9178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107.7591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23"/>
        <v>-1173.0000000000018</v>
      </c>
      <c r="G37" s="39">
        <f t="shared" si="24"/>
        <v>13158.000000000002</v>
      </c>
      <c r="H37" s="222">
        <f t="shared" si="25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106.60040000000001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23"/>
        <v>-1591.1759999999999</v>
      </c>
      <c r="G38" s="39">
        <f t="shared" si="24"/>
        <v>15437.976000000001</v>
      </c>
      <c r="H38" s="222">
        <f t="shared" si="25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105.44170000000001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104.283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4:F46">
    <cfRule type="expression" dxfId="1173" priority="25">
      <formula>F34&gt;0</formula>
    </cfRule>
    <cfRule type="expression" dxfId="1172" priority="26">
      <formula>F34&lt;0</formula>
    </cfRule>
  </conditionalFormatting>
  <conditionalFormatting sqref="H34:H46">
    <cfRule type="expression" dxfId="1171" priority="23">
      <formula>H34&gt;0</formula>
    </cfRule>
    <cfRule type="expression" dxfId="1170" priority="24">
      <formula>H34&lt;0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5 K37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33">
    <cfRule type="expression" dxfId="1151" priority="3">
      <formula>F25&gt;0</formula>
    </cfRule>
    <cfRule type="expression" dxfId="1150" priority="4">
      <formula>F25&lt;0</formula>
    </cfRule>
  </conditionalFormatting>
  <conditionalFormatting sqref="H25:H33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242.73</v>
      </c>
      <c r="R4" s="495">
        <v>4.0000000000000001E-3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7281.9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397.70000000000073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397.70000000000073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5.7769966009122452E-2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267.00299999999999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264.57569999999998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262.14839999999998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259.72109999999998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257.29379999999998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254.8665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252.4392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250.0119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247.58459999999999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245.15729999999999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242.73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240.30269999999999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237.87539999999998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235.44809999999998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233.02079999999998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230.59349999999998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228.16619999999998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225.7389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223.3116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220.8843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218.45699999999999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1">
      <formula>F47&gt;0</formula>
    </cfRule>
    <cfRule type="expression" dxfId="1146" priority="32">
      <formula>F47&lt;0</formula>
    </cfRule>
  </conditionalFormatting>
  <conditionalFormatting sqref="Q7">
    <cfRule type="expression" dxfId="1145" priority="29">
      <formula>Q7&gt;0</formula>
    </cfRule>
    <cfRule type="expression" dxfId="1144" priority="30">
      <formula>Q7&lt;0</formula>
    </cfRule>
  </conditionalFormatting>
  <conditionalFormatting sqref="Q8">
    <cfRule type="expression" dxfId="1143" priority="27">
      <formula>Q8&gt;0</formula>
    </cfRule>
    <cfRule type="expression" dxfId="1142" priority="28">
      <formula>Q8&lt;0</formula>
    </cfRule>
  </conditionalFormatting>
  <conditionalFormatting sqref="F32:F46">
    <cfRule type="expression" dxfId="1141" priority="25">
      <formula>F32&gt;0</formula>
    </cfRule>
    <cfRule type="expression" dxfId="1140" priority="26">
      <formula>F32&lt;0</formula>
    </cfRule>
  </conditionalFormatting>
  <conditionalFormatting sqref="H32:H46">
    <cfRule type="expression" dxfId="1139" priority="23">
      <formula>H32&gt;0</formula>
    </cfRule>
    <cfRule type="expression" dxfId="1138" priority="24">
      <formula>H32&lt;0</formula>
    </cfRule>
  </conditionalFormatting>
  <conditionalFormatting sqref="Q10">
    <cfRule type="expression" dxfId="1137" priority="21">
      <formula>Q10&gt;0</formula>
    </cfRule>
    <cfRule type="expression" dxfId="1136" priority="22">
      <formula>Q10&lt;0</formula>
    </cfRule>
  </conditionalFormatting>
  <conditionalFormatting sqref="J25:J38">
    <cfRule type="expression" dxfId="1135" priority="19">
      <formula>J25&gt;0</formula>
    </cfRule>
    <cfRule type="expression" dxfId="1134" priority="20">
      <formula>J25&lt;0</formula>
    </cfRule>
  </conditionalFormatting>
  <conditionalFormatting sqref="K25:K38">
    <cfRule type="expression" dxfId="1133" priority="17">
      <formula>K25&gt;0</formula>
    </cfRule>
    <cfRule type="expression" dxfId="1132" priority="18">
      <formula>K25&lt;0</formula>
    </cfRule>
  </conditionalFormatting>
  <conditionalFormatting sqref="L25:L38">
    <cfRule type="expression" dxfId="1131" priority="15">
      <formula>L25&gt;0</formula>
    </cfRule>
    <cfRule type="expression" dxfId="1130" priority="16">
      <formula>L25&lt;0</formula>
    </cfRule>
  </conditionalFormatting>
  <conditionalFormatting sqref="F89:F110">
    <cfRule type="expression" dxfId="1129" priority="13">
      <formula>F89&gt;0</formula>
    </cfRule>
    <cfRule type="expression" dxfId="1128" priority="14">
      <formula>F89&lt;0</formula>
    </cfRule>
  </conditionalFormatting>
  <conditionalFormatting sqref="H89:H110">
    <cfRule type="expression" dxfId="1127" priority="11">
      <formula>H89&gt;0</formula>
    </cfRule>
    <cfRule type="expression" dxfId="1126" priority="12">
      <formula>H89&lt;0</formula>
    </cfRule>
  </conditionalFormatting>
  <conditionalFormatting sqref="J89:J102">
    <cfRule type="expression" dxfId="1125" priority="9">
      <formula>J89&gt;0</formula>
    </cfRule>
    <cfRule type="expression" dxfId="1124" priority="10">
      <formula>J89&lt;0</formula>
    </cfRule>
  </conditionalFormatting>
  <conditionalFormatting sqref="K89:K102">
    <cfRule type="expression" dxfId="1123" priority="7">
      <formula>K89&gt;0</formula>
    </cfRule>
    <cfRule type="expression" dxfId="1122" priority="8">
      <formula>K89&lt;0</formula>
    </cfRule>
  </conditionalFormatting>
  <conditionalFormatting sqref="L89:L102">
    <cfRule type="expression" dxfId="1121" priority="5">
      <formula>L89&gt;0</formula>
    </cfRule>
    <cfRule type="expression" dxfId="1120" priority="6">
      <formula>L89&lt;0</formula>
    </cfRule>
  </conditionalFormatting>
  <conditionalFormatting sqref="F25:F31">
    <cfRule type="expression" dxfId="1119" priority="3">
      <formula>F25&gt;0</formula>
    </cfRule>
    <cfRule type="expression" dxfId="1118" priority="4">
      <formula>F25&lt;0</formula>
    </cfRule>
  </conditionalFormatting>
  <conditionalFormatting sqref="H25:H31">
    <cfRule type="expression" dxfId="1117" priority="1">
      <formula>H25&gt;0</formula>
    </cfRule>
    <cfRule type="expression" dxfId="111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72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72">
        <v>43281</v>
      </c>
      <c r="M3" s="43">
        <v>14.4</v>
      </c>
      <c r="O3" s="11" t="s">
        <v>58</v>
      </c>
      <c r="Q3" s="221">
        <f>IF(Q2=0, Q4, (F18-K18-M18)/Q2)</f>
        <v>65.593999999999994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73.55</v>
      </c>
      <c r="R4" s="495">
        <v>4.1999999999999997E-3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3935.6399999999994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477.36000000000013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477.36000000000013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0.12129158154709277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1.3052345343303875E-2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20.718309859154928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80.905000000000001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80.169499999999999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79.433999999999997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78.698499999999996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77.962999999999994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2" si="11">C28*(E28-D28)</f>
        <v>168.39999999999975</v>
      </c>
      <c r="G28" s="39">
        <f t="shared" ref="G28:G32" si="12">D28*C28</f>
        <v>2693.6000000000004</v>
      </c>
      <c r="H28" s="222">
        <f t="shared" ref="H28:H32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77.227500000000006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76.492000000000004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75.756500000000003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75.021000000000001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1"/>
        <v>477.36000000000018</v>
      </c>
      <c r="G32" s="39">
        <f t="shared" si="12"/>
        <v>3935.6399999999994</v>
      </c>
      <c r="H32" s="222">
        <f t="shared" si="13"/>
        <v>0.12129158154709278</v>
      </c>
      <c r="I32" s="39"/>
      <c r="J32" s="39"/>
      <c r="K32" s="39"/>
      <c r="L32" s="155"/>
      <c r="O32" s="81">
        <v>1.01</v>
      </c>
      <c r="P32" s="81">
        <f t="shared" si="1"/>
        <v>74.285499999999999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73.55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72.814499999999995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72.078999999999994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71.343499999999992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70.60799999999999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69.872499999999988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69.137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68.401499999999999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67.665999999999997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66.930499999999995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66.194999999999993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0:F46">
    <cfRule type="expression" dxfId="1109" priority="25">
      <formula>F30&gt;0</formula>
    </cfRule>
    <cfRule type="expression" dxfId="1108" priority="26">
      <formula>F30&lt;0</formula>
    </cfRule>
  </conditionalFormatting>
  <conditionalFormatting sqref="H30:H46">
    <cfRule type="expression" dxfId="1107" priority="23">
      <formula>H30&gt;0</formula>
    </cfRule>
    <cfRule type="expression" dxfId="1106" priority="24">
      <formula>H30&lt;0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29">
    <cfRule type="expression" dxfId="1087" priority="3">
      <formula>F25&gt;0</formula>
    </cfRule>
    <cfRule type="expression" dxfId="1086" priority="4">
      <formula>F25&lt;0</formula>
    </cfRule>
  </conditionalFormatting>
  <conditionalFormatting sqref="H25:H29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72.56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72.56</v>
      </c>
      <c r="R4" s="475">
        <v>3.2000000000000002E-3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79.816000000000003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79.090400000000002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78.364800000000002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77.639200000000002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76.913600000000002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76.188000000000002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75.462400000000002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74.736800000000002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74.011200000000002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73.285600000000002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72.56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71.834400000000002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71.108800000000002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70.383200000000002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69.657600000000002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68.932000000000002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68.206400000000002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67.480800000000002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66.755200000000002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66.029600000000002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65.304000000000002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83" priority="57">
      <formula>F27&gt;0</formula>
    </cfRule>
    <cfRule type="expression" dxfId="1082" priority="58">
      <formula>F27&lt;0</formula>
    </cfRule>
  </conditionalFormatting>
  <conditionalFormatting sqref="H28:H33">
    <cfRule type="expression" dxfId="1081" priority="53">
      <formula>H28&gt;0</formula>
    </cfRule>
    <cfRule type="expression" dxfId="1080" priority="54">
      <formula>H28&lt;0</formula>
    </cfRule>
  </conditionalFormatting>
  <conditionalFormatting sqref="F24:F26">
    <cfRule type="expression" dxfId="1079" priority="39">
      <formula>F24&gt;0</formula>
    </cfRule>
    <cfRule type="expression" dxfId="1078" priority="40">
      <formula>F24&lt;0</formula>
    </cfRule>
  </conditionalFormatting>
  <conditionalFormatting sqref="Q8">
    <cfRule type="expression" dxfId="1077" priority="33">
      <formula>Q8&gt;0</formula>
    </cfRule>
    <cfRule type="expression" dxfId="1076" priority="34">
      <formula>Q8&lt;0</formula>
    </cfRule>
  </conditionalFormatting>
  <conditionalFormatting sqref="Q7">
    <cfRule type="expression" dxfId="1075" priority="35">
      <formula>Q7&gt;0</formula>
    </cfRule>
    <cfRule type="expression" dxfId="1074" priority="36">
      <formula>Q7&lt;0</formula>
    </cfRule>
  </conditionalFormatting>
  <conditionalFormatting sqref="F34">
    <cfRule type="expression" dxfId="1073" priority="31">
      <formula>F34&gt;0</formula>
    </cfRule>
    <cfRule type="expression" dxfId="1072" priority="32">
      <formula>F34&lt;0</formula>
    </cfRule>
  </conditionalFormatting>
  <conditionalFormatting sqref="H34">
    <cfRule type="expression" dxfId="1071" priority="29">
      <formula>H34&gt;0</formula>
    </cfRule>
    <cfRule type="expression" dxfId="1070" priority="30">
      <formula>H34&lt;0</formula>
    </cfRule>
  </conditionalFormatting>
  <conditionalFormatting sqref="M36">
    <cfRule type="expression" dxfId="1069" priority="19">
      <formula>M36&gt;0</formula>
    </cfRule>
    <cfRule type="expression" dxfId="1068" priority="20">
      <formula>M36&lt;0</formula>
    </cfRule>
  </conditionalFormatting>
  <conditionalFormatting sqref="Q10">
    <cfRule type="expression" dxfId="1067" priority="15">
      <formula>Q10&gt;0</formula>
    </cfRule>
    <cfRule type="expression" dxfId="1066" priority="16">
      <formula>Q10&lt;0</formula>
    </cfRule>
  </conditionalFormatting>
  <conditionalFormatting sqref="F23">
    <cfRule type="expression" dxfId="1065" priority="13">
      <formula>F23&gt;0</formula>
    </cfRule>
    <cfRule type="expression" dxfId="1064" priority="14">
      <formula>F23&lt;0</formula>
    </cfRule>
  </conditionalFormatting>
  <conditionalFormatting sqref="I25:J25">
    <cfRule type="expression" dxfId="1063" priority="9">
      <formula>I25&gt;0</formula>
    </cfRule>
    <cfRule type="expression" dxfId="1062" priority="10">
      <formula>I25&lt;0</formula>
    </cfRule>
  </conditionalFormatting>
  <conditionalFormatting sqref="I26:J27">
    <cfRule type="expression" dxfId="1061" priority="7">
      <formula>I26&gt;0</formula>
    </cfRule>
    <cfRule type="expression" dxfId="1060" priority="8">
      <formula>I26&lt;0</formula>
    </cfRule>
  </conditionalFormatting>
  <conditionalFormatting sqref="K25:K27">
    <cfRule type="expression" dxfId="1059" priority="5">
      <formula>K25&gt;0</formula>
    </cfRule>
    <cfRule type="expression" dxfId="1058" priority="6">
      <formula>K25&lt;0</formula>
    </cfRule>
  </conditionalFormatting>
  <conditionalFormatting sqref="I23:J23">
    <cfRule type="expression" dxfId="1057" priority="3">
      <formula>I23&gt;0</formula>
    </cfRule>
    <cfRule type="expression" dxfId="105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300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523</v>
      </c>
      <c r="AJ2">
        <f>$Q$2*$Q$4</f>
        <v>8415</v>
      </c>
      <c r="AK2">
        <f ca="1">AJ2*EXP(-$X$2 * AI2/365.25)</f>
        <v>6296.8965153098625</v>
      </c>
      <c r="AM2" s="2">
        <f>Q10</f>
        <v>1452.2599999999984</v>
      </c>
      <c r="AO2">
        <f ca="1" xml:space="preserve"> (SUM(AB:AB) - SUM(AE:AE) - SUM(AH:AH) - SUM(AK:AK))/SUM(AB:AB)</f>
        <v>-7.0195099010958927E-4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14.744499999999874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28.05</v>
      </c>
      <c r="R4" s="494">
        <v>8.6E-3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8415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4423.3499999999622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5443.9100000000362</v>
      </c>
      <c r="R7">
        <v>100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514</v>
      </c>
      <c r="AG7" s="2">
        <f t="shared" si="9"/>
        <v>10</v>
      </c>
      <c r="AH7">
        <f t="shared" si="10"/>
        <v>7.5203741733280456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3991.6500000000378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0.90240428634407677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29">
        <v>1.9</v>
      </c>
      <c r="BJ10" s="829"/>
      <c r="BK10" s="676"/>
      <c r="BL10" s="676"/>
    </row>
    <row r="11" spans="1:64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6" si="1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3.5650623885918006E-3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2" t="s">
        <v>939</v>
      </c>
      <c r="BK12" s="676"/>
      <c r="BL12" s="676"/>
    </row>
    <row r="13" spans="1:64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20.035714285714288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2" t="s">
        <v>1069</v>
      </c>
      <c r="BK13" s="676"/>
      <c r="BL13" s="676"/>
    </row>
    <row r="14" spans="1:64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1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30.855000000000004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30.574500000000004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846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30.294000000000004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30.013500000000004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29.733000000000001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14"/>
        <v>29.452500000000001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515</v>
      </c>
      <c r="AD22" s="2">
        <f t="shared" si="6"/>
        <v>2907.96</v>
      </c>
      <c r="AE22">
        <f t="shared" si="7"/>
        <v>2185.6826173750292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G23" s="29"/>
      <c r="H23" s="176"/>
      <c r="I23" s="3"/>
      <c r="J23" s="3"/>
      <c r="K23" s="3"/>
      <c r="O23" s="81">
        <v>1.04</v>
      </c>
      <c r="P23" s="81">
        <f t="shared" si="14"/>
        <v>29.172000000000001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12"/>
        <v>2702</v>
      </c>
      <c r="G24" s="29"/>
      <c r="O24" s="81">
        <v>1.03</v>
      </c>
      <c r="P24" s="81">
        <f t="shared" si="14"/>
        <v>28.891500000000001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G25" s="29"/>
      <c r="O25" s="81">
        <v>1.02</v>
      </c>
      <c r="P25" s="81">
        <f t="shared" si="14"/>
        <v>28.611000000000001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G26" s="29"/>
      <c r="O26" s="81">
        <v>1.01</v>
      </c>
      <c r="P26" s="81">
        <f t="shared" si="14"/>
        <v>28.330500000000001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B27" s="29"/>
      <c r="C27" s="4"/>
      <c r="D27" s="3"/>
      <c r="E27" s="3"/>
      <c r="F27" s="3"/>
      <c r="G27" s="29"/>
      <c r="O27" s="81">
        <v>1</v>
      </c>
      <c r="P27" s="81">
        <f t="shared" si="14"/>
        <v>28.05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B28" s="29"/>
      <c r="G28" s="29"/>
      <c r="O28" s="81">
        <v>0.99</v>
      </c>
      <c r="P28" s="81">
        <f t="shared" si="14"/>
        <v>27.769500000000001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B29" s="29"/>
      <c r="G29" s="29"/>
      <c r="O29" s="81">
        <v>0.98</v>
      </c>
      <c r="P29" s="81">
        <f t="shared" si="14"/>
        <v>27.489000000000001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B30" s="29"/>
      <c r="G30" s="29"/>
      <c r="O30" s="81">
        <v>0.97</v>
      </c>
      <c r="P30" s="81">
        <f t="shared" si="14"/>
        <v>27.208500000000001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B31" s="29"/>
      <c r="G31" s="29"/>
      <c r="O31" s="81">
        <v>0.96</v>
      </c>
      <c r="P31" s="81">
        <f t="shared" si="14"/>
        <v>26.928000000000001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29">
        <v>1.7</v>
      </c>
      <c r="BJ31" s="829"/>
      <c r="BK31" s="676"/>
      <c r="BL31" s="676"/>
    </row>
    <row r="32" spans="1:64" x14ac:dyDescent="0.25">
      <c r="A32" s="31" t="s">
        <v>81</v>
      </c>
      <c r="B32" s="14"/>
      <c r="C32" s="14">
        <f>SUM(C2:C27)</f>
        <v>3350</v>
      </c>
      <c r="D32" s="18"/>
      <c r="E32" s="18"/>
      <c r="F32" s="18">
        <f>SUM(F2:F27)</f>
        <v>83092.62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14"/>
        <v>26.647500000000001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14"/>
        <v>26.367000000000001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26.086500000000001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25.806000000000001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25.525500000000001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25.245000000000001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0">
        <v>1.6</v>
      </c>
      <c r="BJ47" s="830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57">C95*(E95-D95)</f>
        <v>3165.0000000000014</v>
      </c>
      <c r="G95" s="39">
        <f t="shared" ref="G95:G103" si="58">D95*C95</f>
        <v>13137</v>
      </c>
      <c r="H95" s="222">
        <f t="shared" ref="H95:H103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1140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57"/>
        <v>3980.6800000000012</v>
      </c>
      <c r="G102" s="39">
        <f t="shared" si="58"/>
        <v>7331.32</v>
      </c>
      <c r="H102" s="222">
        <f t="shared" si="59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57"/>
        <v>4240.6499999999996</v>
      </c>
      <c r="G103" s="39">
        <f t="shared" si="58"/>
        <v>4423.3500000000004</v>
      </c>
      <c r="H103" s="222">
        <f t="shared" si="59"/>
        <v>0.95869646308793099</v>
      </c>
      <c r="I103" s="39"/>
      <c r="J103" s="39"/>
      <c r="K103" s="39">
        <v>5693</v>
      </c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55" priority="72">
      <formula>F85&gt;0</formula>
    </cfRule>
    <cfRule type="expression" dxfId="1054" priority="73">
      <formula>F85&lt;0</formula>
    </cfRule>
  </conditionalFormatting>
  <conditionalFormatting sqref="Q7">
    <cfRule type="expression" dxfId="1053" priority="60">
      <formula>Q7&gt;0</formula>
    </cfRule>
    <cfRule type="expression" dxfId="1052" priority="61">
      <formula>Q7&lt;0</formula>
    </cfRule>
  </conditionalFormatting>
  <conditionalFormatting sqref="Q8">
    <cfRule type="expression" dxfId="1051" priority="58">
      <formula>Q8&gt;0</formula>
    </cfRule>
    <cfRule type="expression" dxfId="1050" priority="59">
      <formula>Q8&lt;0</formula>
    </cfRule>
  </conditionalFormatting>
  <conditionalFormatting sqref="F110:F122">
    <cfRule type="expression" dxfId="1049" priority="56">
      <formula>F110&gt;0</formula>
    </cfRule>
    <cfRule type="expression" dxfId="1048" priority="57">
      <formula>F110&lt;0</formula>
    </cfRule>
  </conditionalFormatting>
  <conditionalFormatting sqref="H110:H122">
    <cfRule type="expression" dxfId="1047" priority="54">
      <formula>H110&gt;0</formula>
    </cfRule>
    <cfRule type="expression" dxfId="1046" priority="55">
      <formula>H110&lt;0</formula>
    </cfRule>
  </conditionalFormatting>
  <conditionalFormatting sqref="H126:H129">
    <cfRule type="expression" dxfId="1045" priority="50">
      <formula>H126&gt;0</formula>
    </cfRule>
    <cfRule type="expression" dxfId="1044" priority="51">
      <formula>H126&lt;0</formula>
    </cfRule>
  </conditionalFormatting>
  <conditionalFormatting sqref="F126:F129">
    <cfRule type="expression" dxfId="1043" priority="52">
      <formula>F126&gt;0</formula>
    </cfRule>
    <cfRule type="expression" dxfId="1042" priority="53">
      <formula>F126&lt;0</formula>
    </cfRule>
  </conditionalFormatting>
  <conditionalFormatting sqref="M152">
    <cfRule type="expression" dxfId="1041" priority="48">
      <formula>M152&gt;0</formula>
    </cfRule>
    <cfRule type="expression" dxfId="1040" priority="49">
      <formula>M152&lt;0</formula>
    </cfRule>
  </conditionalFormatting>
  <conditionalFormatting sqref="F37:F38 F45:F82">
    <cfRule type="expression" dxfId="1039" priority="46">
      <formula>F37&gt;0</formula>
    </cfRule>
    <cfRule type="expression" dxfId="1038" priority="47">
      <formula>F37&lt;0</formula>
    </cfRule>
  </conditionalFormatting>
  <conditionalFormatting sqref="H37:H38 H45:H82">
    <cfRule type="expression" dxfId="1037" priority="44">
      <formula>H37&gt;0</formula>
    </cfRule>
    <cfRule type="expression" dxfId="1036" priority="45">
      <formula>H37&lt;0</formula>
    </cfRule>
  </conditionalFormatting>
  <conditionalFormatting sqref="Q10">
    <cfRule type="expression" dxfId="1035" priority="42">
      <formula>Q10&gt;0</formula>
    </cfRule>
    <cfRule type="expression" dxfId="1034" priority="43">
      <formula>Q10&lt;0</formula>
    </cfRule>
  </conditionalFormatting>
  <conditionalFormatting sqref="F39:F44">
    <cfRule type="expression" dxfId="1033" priority="40">
      <formula>F39&gt;0</formula>
    </cfRule>
    <cfRule type="expression" dxfId="1032" priority="41">
      <formula>F39&lt;0</formula>
    </cfRule>
  </conditionalFormatting>
  <conditionalFormatting sqref="H39:H44">
    <cfRule type="expression" dxfId="1031" priority="38">
      <formula>H39&gt;0</formula>
    </cfRule>
    <cfRule type="expression" dxfId="1030" priority="39">
      <formula>H39&lt;0</formula>
    </cfRule>
  </conditionalFormatting>
  <conditionalFormatting sqref="K42:K49">
    <cfRule type="expression" dxfId="1029" priority="36">
      <formula>K42&gt;0</formula>
    </cfRule>
    <cfRule type="expression" dxfId="1028" priority="37">
      <formula>K42&lt;0</formula>
    </cfRule>
  </conditionalFormatting>
  <conditionalFormatting sqref="K50:K82">
    <cfRule type="expression" dxfId="1027" priority="34">
      <formula>K50&gt;0</formula>
    </cfRule>
    <cfRule type="expression" dxfId="1026" priority="35">
      <formula>K50&lt;0</formula>
    </cfRule>
  </conditionalFormatting>
  <conditionalFormatting sqref="F83:F84">
    <cfRule type="expression" dxfId="1025" priority="31">
      <formula>F83&gt;0</formula>
    </cfRule>
    <cfRule type="expression" dxfId="1024" priority="32">
      <formula>F83&lt;0</formula>
    </cfRule>
  </conditionalFormatting>
  <conditionalFormatting sqref="H83:H84">
    <cfRule type="expression" dxfId="1023" priority="29">
      <formula>H83&gt;0</formula>
    </cfRule>
    <cfRule type="expression" dxfId="1022" priority="30">
      <formula>H83&lt;0</formula>
    </cfRule>
  </conditionalFormatting>
  <conditionalFormatting sqref="K83:K84">
    <cfRule type="expression" dxfId="1021" priority="27">
      <formula>K83&gt;0</formula>
    </cfRule>
    <cfRule type="expression" dxfId="1020" priority="28">
      <formula>K83&lt;0</formula>
    </cfRule>
  </conditionalFormatting>
  <conditionalFormatting sqref="F93:F95 H93:H95 K93:K95">
    <cfRule type="expression" dxfId="1019" priority="23">
      <formula>F93&gt;0</formula>
    </cfRule>
    <cfRule type="expression" dxfId="1018" priority="24">
      <formula>F93&lt;0</formula>
    </cfRule>
  </conditionalFormatting>
  <conditionalFormatting sqref="L85:L91 L105:L107">
    <cfRule type="expression" dxfId="1017" priority="21">
      <formula>L85&gt;0</formula>
    </cfRule>
    <cfRule type="expression" dxfId="1016" priority="22">
      <formula>L85&lt;0</formula>
    </cfRule>
  </conditionalFormatting>
  <conditionalFormatting sqref="L42:L49">
    <cfRule type="expression" dxfId="1015" priority="19">
      <formula>L42&gt;0</formula>
    </cfRule>
    <cfRule type="expression" dxfId="1014" priority="20">
      <formula>L42&lt;0</formula>
    </cfRule>
  </conditionalFormatting>
  <conditionalFormatting sqref="L50:L82">
    <cfRule type="expression" dxfId="1013" priority="17">
      <formula>L50&gt;0</formula>
    </cfRule>
    <cfRule type="expression" dxfId="1012" priority="18">
      <formula>L50&lt;0</formula>
    </cfRule>
  </conditionalFormatting>
  <conditionalFormatting sqref="L83:L84">
    <cfRule type="expression" dxfId="1011" priority="15">
      <formula>L83&gt;0</formula>
    </cfRule>
    <cfRule type="expression" dxfId="1010" priority="16">
      <formula>L83&lt;0</formula>
    </cfRule>
  </conditionalFormatting>
  <conditionalFormatting sqref="L93:L95">
    <cfRule type="expression" dxfId="1009" priority="13">
      <formula>L93&gt;0</formula>
    </cfRule>
    <cfRule type="expression" dxfId="1008" priority="14">
      <formula>L93&lt;0</formula>
    </cfRule>
  </conditionalFormatting>
  <conditionalFormatting sqref="K102:K104 F102:F104 H102:H104">
    <cfRule type="expression" dxfId="1007" priority="11">
      <formula>F102&gt;0</formula>
    </cfRule>
    <cfRule type="expression" dxfId="1006" priority="12">
      <formula>F102&lt;0</formula>
    </cfRule>
  </conditionalFormatting>
  <conditionalFormatting sqref="L102:L104">
    <cfRule type="expression" dxfId="1005" priority="9">
      <formula>L102&gt;0</formula>
    </cfRule>
    <cfRule type="expression" dxfId="1004" priority="10">
      <formula>L102&lt;0</formula>
    </cfRule>
  </conditionalFormatting>
  <conditionalFormatting sqref="K99:K101 F99:F101 H99:H101">
    <cfRule type="expression" dxfId="1003" priority="7">
      <formula>F99&gt;0</formula>
    </cfRule>
    <cfRule type="expression" dxfId="1002" priority="8">
      <formula>F99&lt;0</formula>
    </cfRule>
  </conditionalFormatting>
  <conditionalFormatting sqref="L99:L101">
    <cfRule type="expression" dxfId="1001" priority="5">
      <formula>L99&gt;0</formula>
    </cfRule>
    <cfRule type="expression" dxfId="1000" priority="6">
      <formula>L99&lt;0</formula>
    </cfRule>
  </conditionalFormatting>
  <conditionalFormatting sqref="K96:K98 F96:F98 H96:H98">
    <cfRule type="expression" dxfId="999" priority="3">
      <formula>F96&gt;0</formula>
    </cfRule>
    <cfRule type="expression" dxfId="998" priority="4">
      <formula>F96&lt;0</formula>
    </cfRule>
  </conditionalFormatting>
  <conditionalFormatting sqref="L97:L98">
    <cfRule type="expression" dxfId="997" priority="1">
      <formula>L97&gt;0</formula>
    </cfRule>
    <cfRule type="expression" dxfId="996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55.91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55.91</v>
      </c>
      <c r="R4" s="475">
        <v>-8.9999999999999998E-4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61.500999999999998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60.941900000000004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60.382800000000003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59.823700000000002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59.264600000000002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58.705500000000001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58.1464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57.587299999999999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57.028199999999998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56.469099999999997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55.91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55.350899999999996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54.791799999999995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54.232699999999994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53.673599999999993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53.114499999999992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52.555399999999992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51.996299999999998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51.437199999999997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50.878099999999996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50.318999999999996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95" priority="9">
      <formula>F39&gt;0</formula>
    </cfRule>
    <cfRule type="expression" dxfId="994" priority="10">
      <formula>F39&lt;0</formula>
    </cfRule>
  </conditionalFormatting>
  <conditionalFormatting sqref="F25:F38">
    <cfRule type="expression" dxfId="993" priority="7">
      <formula>F25&gt;0</formula>
    </cfRule>
    <cfRule type="expression" dxfId="992" priority="8">
      <formula>F25&lt;0</formula>
    </cfRule>
  </conditionalFormatting>
  <conditionalFormatting sqref="H25:H38">
    <cfRule type="expression" dxfId="991" priority="5">
      <formula>H25&gt;0</formula>
    </cfRule>
    <cfRule type="expression" dxfId="990" priority="6">
      <formula>H25&lt;0</formula>
    </cfRule>
  </conditionalFormatting>
  <conditionalFormatting sqref="Q7">
    <cfRule type="expression" dxfId="989" priority="3">
      <formula>Q7&gt;0</formula>
    </cfRule>
    <cfRule type="expression" dxfId="988" priority="4">
      <formula>Q7&lt;0</formula>
    </cfRule>
  </conditionalFormatting>
  <conditionalFormatting sqref="Q8">
    <cfRule type="expression" dxfId="987" priority="1">
      <formula>Q8&gt;0</formula>
    </cfRule>
    <cfRule type="expression" dxfId="9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461.7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461.7</v>
      </c>
      <c r="R4" s="495">
        <v>1.7500000000000002E-2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507.87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503.25300000000004</v>
      </c>
      <c r="W16" s="134"/>
    </row>
    <row r="17" spans="1:23" x14ac:dyDescent="0.25">
      <c r="O17" s="81">
        <v>1.08</v>
      </c>
      <c r="P17" s="81">
        <f t="shared" si="0"/>
        <v>498.63600000000002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494.01900000000001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489.40199999999999</v>
      </c>
      <c r="W19" s="134"/>
    </row>
    <row r="20" spans="1:23" x14ac:dyDescent="0.25">
      <c r="O20" s="81">
        <v>1.05</v>
      </c>
      <c r="P20" s="81">
        <f t="shared" si="0"/>
        <v>484.78500000000003</v>
      </c>
      <c r="W20" s="134"/>
    </row>
    <row r="21" spans="1:23" x14ac:dyDescent="0.25">
      <c r="O21" s="81">
        <v>1.04</v>
      </c>
      <c r="P21" s="81">
        <f t="shared" si="0"/>
        <v>480.16800000000001</v>
      </c>
      <c r="W21" s="134"/>
    </row>
    <row r="22" spans="1:23" x14ac:dyDescent="0.25">
      <c r="O22" s="81">
        <v>1.03</v>
      </c>
      <c r="P22" s="81">
        <f t="shared" si="0"/>
        <v>475.55099999999999</v>
      </c>
      <c r="W22" s="134"/>
    </row>
    <row r="23" spans="1:23" x14ac:dyDescent="0.25">
      <c r="O23" s="81">
        <v>1.02</v>
      </c>
      <c r="P23" s="81">
        <f t="shared" si="0"/>
        <v>470.93399999999997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466.31700000000001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461.7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457.08299999999997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452.46600000000001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447.84899999999999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443.23199999999997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438.61499999999995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433.99799999999999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429.38100000000003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424.76400000000001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420.14699999999999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415.53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85" priority="29">
      <formula>F29&gt;0</formula>
    </cfRule>
    <cfRule type="expression" dxfId="984" priority="30">
      <formula>F29&lt;0</formula>
    </cfRule>
  </conditionalFormatting>
  <conditionalFormatting sqref="Q7">
    <cfRule type="expression" dxfId="983" priority="27">
      <formula>Q7&gt;0</formula>
    </cfRule>
    <cfRule type="expression" dxfId="982" priority="28">
      <formula>Q7&lt;0</formula>
    </cfRule>
  </conditionalFormatting>
  <conditionalFormatting sqref="Q8">
    <cfRule type="expression" dxfId="981" priority="25">
      <formula>Q8&gt;0</formula>
    </cfRule>
    <cfRule type="expression" dxfId="980" priority="26">
      <formula>Q8&lt;0</formula>
    </cfRule>
  </conditionalFormatting>
  <conditionalFormatting sqref="F96:F110">
    <cfRule type="expression" dxfId="979" priority="19">
      <formula>F96&gt;0</formula>
    </cfRule>
    <cfRule type="expression" dxfId="978" priority="20">
      <formula>F96&lt;0</formula>
    </cfRule>
  </conditionalFormatting>
  <conditionalFormatting sqref="H96:H110">
    <cfRule type="expression" dxfId="977" priority="17">
      <formula>H96&gt;0</formula>
    </cfRule>
    <cfRule type="expression" dxfId="976" priority="18">
      <formula>H96&lt;0</formula>
    </cfRule>
  </conditionalFormatting>
  <conditionalFormatting sqref="Q10">
    <cfRule type="expression" dxfId="975" priority="15">
      <formula>Q10&gt;0</formula>
    </cfRule>
    <cfRule type="expression" dxfId="974" priority="16">
      <formula>Q10&lt;0</formula>
    </cfRule>
  </conditionalFormatting>
  <conditionalFormatting sqref="L29:L38">
    <cfRule type="expression" dxfId="973" priority="9">
      <formula>L29&gt;0</formula>
    </cfRule>
    <cfRule type="expression" dxfId="972" priority="10">
      <formula>L29&lt;0</formula>
    </cfRule>
  </conditionalFormatting>
  <conditionalFormatting sqref="F27:F29 H27:H29 J25:K29">
    <cfRule type="expression" dxfId="971" priority="7">
      <formula>F25&gt;0</formula>
    </cfRule>
    <cfRule type="expression" dxfId="970" priority="8">
      <formula>F25&lt;0</formula>
    </cfRule>
  </conditionalFormatting>
  <conditionalFormatting sqref="L25:L29">
    <cfRule type="expression" dxfId="969" priority="5">
      <formula>L25&gt;0</formula>
    </cfRule>
    <cfRule type="expression" dxfId="968" priority="6">
      <formula>L25&lt;0</formula>
    </cfRule>
  </conditionalFormatting>
  <conditionalFormatting sqref="F25:F26">
    <cfRule type="expression" dxfId="967" priority="3">
      <formula>F25&gt;0</formula>
    </cfRule>
    <cfRule type="expression" dxfId="966" priority="4">
      <formula>F25&lt;0</formula>
    </cfRule>
  </conditionalFormatting>
  <conditionalFormatting sqref="H25:H26">
    <cfRule type="expression" dxfId="965" priority="1">
      <formula>H25&gt;0</formula>
    </cfRule>
    <cfRule type="expression" dxfId="96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8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92.31</v>
      </c>
      <c r="R4" s="495">
        <v>1.18E-2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3692.4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389.37000000000126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389.37000000000126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0.11788267136538315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2.4699382515437112E-2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19.392857142857146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101.54100000000001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100.61790000000001</v>
      </c>
      <c r="W20" s="134"/>
    </row>
    <row r="21" spans="1:23" x14ac:dyDescent="0.25">
      <c r="O21" s="81">
        <v>1.08</v>
      </c>
      <c r="P21" s="81">
        <f t="shared" si="0"/>
        <v>99.694800000000015</v>
      </c>
      <c r="W21" s="134"/>
    </row>
    <row r="22" spans="1:23" x14ac:dyDescent="0.25">
      <c r="O22" s="81">
        <v>1.07</v>
      </c>
      <c r="P22" s="81">
        <f t="shared" si="0"/>
        <v>98.77170000000001</v>
      </c>
      <c r="W22" s="134"/>
    </row>
    <row r="23" spans="1:23" x14ac:dyDescent="0.25">
      <c r="O23" s="81">
        <v>1.06</v>
      </c>
      <c r="P23" s="81">
        <f t="shared" si="0"/>
        <v>97.848600000000005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96.9255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96.002400000000009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95.079300000000003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94.156199999999998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93.233100000000007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92.31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91.386899999999997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90.463800000000006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89.540700000000001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88.617599999999996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87.694500000000005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86.7714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85.848300000000009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84.925200000000004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84.002099999999999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83.079000000000008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3" priority="25">
      <formula>F47&gt;0</formula>
    </cfRule>
    <cfRule type="expression" dxfId="962" priority="26">
      <formula>F47&lt;0</formula>
    </cfRule>
  </conditionalFormatting>
  <conditionalFormatting sqref="Q7">
    <cfRule type="expression" dxfId="961" priority="23">
      <formula>Q7&gt;0</formula>
    </cfRule>
    <cfRule type="expression" dxfId="960" priority="24">
      <formula>Q7&lt;0</formula>
    </cfRule>
  </conditionalFormatting>
  <conditionalFormatting sqref="Q8">
    <cfRule type="expression" dxfId="959" priority="21">
      <formula>Q8&gt;0</formula>
    </cfRule>
    <cfRule type="expression" dxfId="958" priority="22">
      <formula>Q8&lt;0</formula>
    </cfRule>
  </conditionalFormatting>
  <conditionalFormatting sqref="F25:F29 F34:F46">
    <cfRule type="expression" dxfId="957" priority="19">
      <formula>F25&gt;0</formula>
    </cfRule>
    <cfRule type="expression" dxfId="956" priority="20">
      <formula>F25&lt;0</formula>
    </cfRule>
  </conditionalFormatting>
  <conditionalFormatting sqref="H25:H29 H34:H46">
    <cfRule type="expression" dxfId="955" priority="17">
      <formula>H25&gt;0</formula>
    </cfRule>
    <cfRule type="expression" dxfId="954" priority="18">
      <formula>H25&lt;0</formula>
    </cfRule>
  </conditionalFormatting>
  <conditionalFormatting sqref="F89:F110">
    <cfRule type="expression" dxfId="953" priority="15">
      <formula>F89&gt;0</formula>
    </cfRule>
    <cfRule type="expression" dxfId="952" priority="16">
      <formula>F89&lt;0</formula>
    </cfRule>
  </conditionalFormatting>
  <conditionalFormatting sqref="H89:H110">
    <cfRule type="expression" dxfId="951" priority="13">
      <formula>H89&gt;0</formula>
    </cfRule>
    <cfRule type="expression" dxfId="950" priority="14">
      <formula>H89&lt;0</formula>
    </cfRule>
  </conditionalFormatting>
  <conditionalFormatting sqref="Q10">
    <cfRule type="expression" dxfId="949" priority="11">
      <formula>Q10&gt;0</formula>
    </cfRule>
    <cfRule type="expression" dxfId="948" priority="12">
      <formula>Q10&lt;0</formula>
    </cfRule>
  </conditionalFormatting>
  <conditionalFormatting sqref="J25:J32 J34:J38">
    <cfRule type="expression" dxfId="947" priority="9">
      <formula>J25&gt;0</formula>
    </cfRule>
    <cfRule type="expression" dxfId="946" priority="10">
      <formula>J25&lt;0</formula>
    </cfRule>
  </conditionalFormatting>
  <conditionalFormatting sqref="K25:K30">
    <cfRule type="expression" dxfId="945" priority="7">
      <formula>K25&gt;0</formula>
    </cfRule>
    <cfRule type="expression" dxfId="944" priority="8">
      <formula>K25&lt;0</formula>
    </cfRule>
  </conditionalFormatting>
  <conditionalFormatting sqref="L25:L38">
    <cfRule type="expression" dxfId="943" priority="5">
      <formula>L25&gt;0</formula>
    </cfRule>
    <cfRule type="expression" dxfId="942" priority="6">
      <formula>L25&lt;0</formula>
    </cfRule>
  </conditionalFormatting>
  <conditionalFormatting sqref="F30:F33">
    <cfRule type="expression" dxfId="941" priority="3">
      <formula>F30&gt;0</formula>
    </cfRule>
    <cfRule type="expression" dxfId="940" priority="4">
      <formula>F30&lt;0</formula>
    </cfRule>
  </conditionalFormatting>
  <conditionalFormatting sqref="H30:H33">
    <cfRule type="expression" dxfId="939" priority="1">
      <formula>H30&gt;0</formula>
    </cfRule>
    <cfRule type="expression" dxfId="93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35" activePane="bottomLeft" state="frozen"/>
      <selection activeCell="A2" sqref="A2"/>
      <selection pane="bottomLeft" activeCell="K13" sqref="K1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72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72.64</v>
      </c>
      <c r="R4" s="495">
        <v>-1.55E-2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7264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787.31999999999971</v>
      </c>
      <c r="R7">
        <v>100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328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4.7289504036908882E-2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17.782129742962056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79.904000000000011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79.177600000000012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78.4512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77.724800000000002</v>
      </c>
      <c r="Q20" s="2"/>
      <c r="W20" s="134"/>
    </row>
    <row r="21" spans="1:23" x14ac:dyDescent="0.25">
      <c r="O21" s="81">
        <v>1.06</v>
      </c>
      <c r="P21" s="81">
        <f t="shared" si="0"/>
        <v>76.998400000000004</v>
      </c>
      <c r="Q21" s="2"/>
      <c r="W21" s="134"/>
    </row>
    <row r="22" spans="1:23" x14ac:dyDescent="0.25">
      <c r="O22" s="81">
        <v>1.05</v>
      </c>
      <c r="P22" s="81">
        <f t="shared" si="0"/>
        <v>76.272000000000006</v>
      </c>
      <c r="Q22" s="2"/>
      <c r="W22" s="134"/>
    </row>
    <row r="23" spans="1:23" x14ac:dyDescent="0.25">
      <c r="O23" s="81">
        <v>1.04</v>
      </c>
      <c r="P23" s="81">
        <f t="shared" si="0"/>
        <v>75.545600000000007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M24" s="220" t="s">
        <v>150</v>
      </c>
      <c r="O24" s="81">
        <v>1.03</v>
      </c>
      <c r="P24" s="81">
        <f t="shared" si="0"/>
        <v>74.819200000000009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M25" s="39"/>
      <c r="O25" s="81">
        <v>1.02</v>
      </c>
      <c r="P25" s="81">
        <f t="shared" si="0"/>
        <v>74.092799999999997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M26" s="39"/>
      <c r="O26" s="81">
        <v>1.01</v>
      </c>
      <c r="P26" s="81">
        <f t="shared" si="0"/>
        <v>73.366399999999999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M27" s="155"/>
      <c r="O27" s="81">
        <v>1</v>
      </c>
      <c r="P27" s="81">
        <f t="shared" si="0"/>
        <v>72.64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M28" s="155"/>
      <c r="O28" s="81">
        <v>0.99</v>
      </c>
      <c r="P28" s="81">
        <f t="shared" si="0"/>
        <v>71.913600000000002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M29" s="155"/>
      <c r="O29" s="81">
        <v>0.98</v>
      </c>
      <c r="P29" s="81">
        <f t="shared" si="0"/>
        <v>71.187200000000004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M30" s="155"/>
      <c r="O30" s="81">
        <v>0.97</v>
      </c>
      <c r="P30" s="81">
        <f t="shared" si="0"/>
        <v>70.460799999999992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M31" s="155"/>
      <c r="O31" s="81">
        <v>0.96</v>
      </c>
      <c r="P31" s="81">
        <f t="shared" si="0"/>
        <v>69.734399999999994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M32" s="155"/>
      <c r="O32" s="81">
        <v>0.95</v>
      </c>
      <c r="P32" s="81">
        <f t="shared" si="0"/>
        <v>69.007999999999996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M33" s="155"/>
      <c r="O33" s="81">
        <v>0.94</v>
      </c>
      <c r="P33" s="81">
        <f t="shared" si="0"/>
        <v>68.281599999999997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M34" s="155"/>
      <c r="O34" s="81">
        <v>0.93</v>
      </c>
      <c r="P34" s="81">
        <f t="shared" si="0"/>
        <v>67.555199999999999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M35" s="155"/>
      <c r="O35" s="81">
        <v>0.92</v>
      </c>
      <c r="P35" s="81">
        <f t="shared" si="0"/>
        <v>66.828800000000001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M36" s="39"/>
      <c r="O36" s="81">
        <v>0.91</v>
      </c>
      <c r="P36" s="81">
        <f t="shared" si="0"/>
        <v>66.102400000000003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M37" s="39"/>
      <c r="O37" s="81">
        <v>0.9</v>
      </c>
      <c r="P37" s="81">
        <f t="shared" si="0"/>
        <v>65.376000000000005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M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M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M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M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M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M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M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M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M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M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M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M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:F51" si="40">C50*(E50-D50)</f>
        <v>-15.999999999999659</v>
      </c>
      <c r="G50" s="39">
        <f t="shared" ref="G50:G51" si="41">D50*C50</f>
        <v>6936</v>
      </c>
      <c r="H50" s="222">
        <f t="shared" ref="H50:H51" si="42">(E50-D50)/D50</f>
        <v>-2.3068050749711156E-3</v>
      </c>
      <c r="I50" s="39"/>
      <c r="J50" s="39"/>
      <c r="K50" s="39"/>
      <c r="L50" s="39"/>
      <c r="M50" s="39"/>
      <c r="T50" s="134"/>
    </row>
    <row r="51" spans="1:23" x14ac:dyDescent="0.25">
      <c r="B51" s="184">
        <v>43278</v>
      </c>
      <c r="C51" s="10">
        <v>100</v>
      </c>
      <c r="D51" s="39">
        <v>69.36</v>
      </c>
      <c r="E51" s="39">
        <v>73.8</v>
      </c>
      <c r="F51" s="39">
        <f t="shared" si="40"/>
        <v>443.99999999999977</v>
      </c>
      <c r="G51" s="39">
        <f t="shared" si="41"/>
        <v>6936</v>
      </c>
      <c r="H51" s="222">
        <f t="shared" si="42"/>
        <v>6.4013840830449795E-2</v>
      </c>
      <c r="I51" s="39"/>
      <c r="J51" s="39"/>
      <c r="K51" s="39"/>
      <c r="L51" s="39"/>
      <c r="M51" s="39">
        <v>18.07</v>
      </c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M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M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M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M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M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M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M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37" priority="31">
      <formula>F25&gt;0</formula>
    </cfRule>
    <cfRule type="expression" dxfId="936" priority="32">
      <formula>F25&lt;0</formula>
    </cfRule>
  </conditionalFormatting>
  <conditionalFormatting sqref="Q7">
    <cfRule type="expression" dxfId="935" priority="29">
      <formula>Q7&gt;0</formula>
    </cfRule>
    <cfRule type="expression" dxfId="934" priority="30">
      <formula>Q7&lt;0</formula>
    </cfRule>
  </conditionalFormatting>
  <conditionalFormatting sqref="Q8">
    <cfRule type="expression" dxfId="933" priority="27">
      <formula>Q8&gt;0</formula>
    </cfRule>
    <cfRule type="expression" dxfId="932" priority="28">
      <formula>Q8&lt;0</formula>
    </cfRule>
  </conditionalFormatting>
  <conditionalFormatting sqref="F25:F43 F49 F51:F58">
    <cfRule type="expression" dxfId="931" priority="25">
      <formula>F25&gt;0</formula>
    </cfRule>
    <cfRule type="expression" dxfId="930" priority="26">
      <formula>F25&lt;0</formula>
    </cfRule>
  </conditionalFormatting>
  <conditionalFormatting sqref="H25:H43 H49 H51:H58">
    <cfRule type="expression" dxfId="929" priority="23">
      <formula>H25&gt;0</formula>
    </cfRule>
    <cfRule type="expression" dxfId="928" priority="24">
      <formula>H25&lt;0</formula>
    </cfRule>
  </conditionalFormatting>
  <conditionalFormatting sqref="F89:F110">
    <cfRule type="expression" dxfId="927" priority="21">
      <formula>F89&gt;0</formula>
    </cfRule>
    <cfRule type="expression" dxfId="926" priority="22">
      <formula>F89&lt;0</formula>
    </cfRule>
  </conditionalFormatting>
  <conditionalFormatting sqref="H89:H110">
    <cfRule type="expression" dxfId="925" priority="19">
      <formula>H89&gt;0</formula>
    </cfRule>
    <cfRule type="expression" dxfId="924" priority="20">
      <formula>H89&lt;0</formula>
    </cfRule>
  </conditionalFormatting>
  <conditionalFormatting sqref="Q10">
    <cfRule type="expression" dxfId="923" priority="17">
      <formula>Q10&gt;0</formula>
    </cfRule>
    <cfRule type="expression" dxfId="922" priority="18">
      <formula>Q10&lt;0</formula>
    </cfRule>
  </conditionalFormatting>
  <conditionalFormatting sqref="J36:J38">
    <cfRule type="expression" dxfId="921" priority="15">
      <formula>J36&gt;0</formula>
    </cfRule>
    <cfRule type="expression" dxfId="920" priority="16">
      <formula>J36&lt;0</formula>
    </cfRule>
  </conditionalFormatting>
  <conditionalFormatting sqref="K36:K38">
    <cfRule type="expression" dxfId="919" priority="13">
      <formula>K36&gt;0</formula>
    </cfRule>
    <cfRule type="expression" dxfId="918" priority="14">
      <formula>K36&lt;0</formula>
    </cfRule>
  </conditionalFormatting>
  <conditionalFormatting sqref="L25:L38">
    <cfRule type="expression" dxfId="917" priority="11">
      <formula>L25&gt;0</formula>
    </cfRule>
    <cfRule type="expression" dxfId="916" priority="12">
      <formula>L25&lt;0</formula>
    </cfRule>
  </conditionalFormatting>
  <conditionalFormatting sqref="F44:F48">
    <cfRule type="expression" dxfId="915" priority="9">
      <formula>F44&gt;0</formula>
    </cfRule>
    <cfRule type="expression" dxfId="914" priority="10">
      <formula>F44&lt;0</formula>
    </cfRule>
  </conditionalFormatting>
  <conditionalFormatting sqref="H44:H48">
    <cfRule type="expression" dxfId="913" priority="7">
      <formula>H44&gt;0</formula>
    </cfRule>
    <cfRule type="expression" dxfId="912" priority="8">
      <formula>H44&lt;0</formula>
    </cfRule>
  </conditionalFormatting>
  <conditionalFormatting sqref="F50">
    <cfRule type="expression" dxfId="911" priority="5">
      <formula>F50&gt;0</formula>
    </cfRule>
    <cfRule type="expression" dxfId="910" priority="6">
      <formula>F50&lt;0</formula>
    </cfRule>
  </conditionalFormatting>
  <conditionalFormatting sqref="H50">
    <cfRule type="expression" dxfId="909" priority="3">
      <formula>H50&gt;0</formula>
    </cfRule>
    <cfRule type="expression" dxfId="908" priority="4">
      <formula>H50&lt;0</formula>
    </cfRule>
  </conditionalFormatting>
  <conditionalFormatting sqref="M25:M38">
    <cfRule type="expression" dxfId="907" priority="1">
      <formula>M25&gt;0</formula>
    </cfRule>
    <cfRule type="expression" dxfId="906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1">
        <f>C18-H18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183</v>
      </c>
      <c r="AJ2">
        <f>$Q$2*$Q$4</f>
        <v>9068</v>
      </c>
      <c r="AK2">
        <f ca="1">AJ2*EXP(-$X$2 * AI2/365.25)</f>
        <v>15578.01401578705</v>
      </c>
      <c r="AM2" s="2">
        <f>Q10</f>
        <v>0</v>
      </c>
      <c r="AO2">
        <f ca="1" xml:space="preserve"> (SUM(AB:AB) - SUM(AE:AE) - SUM(AH:AH) - SUM(AK:AK))/SUM(AB:AB)</f>
        <v>-0.10239262629164089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1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30.841699999999999</v>
      </c>
      <c r="U3" t="s">
        <v>1020</v>
      </c>
      <c r="W3" s="134"/>
      <c r="Z3">
        <f t="shared" ref="Z3:Z17" si="2">B3-$B$2</f>
        <v>0</v>
      </c>
      <c r="AA3" s="2">
        <f t="shared" ref="AA3:AA17" si="3">F3</f>
        <v>1805.9999999999998</v>
      </c>
      <c r="AB3">
        <f t="shared" ref="AB3:AB17" si="4">AA3*EXP(-Z3/365.25 * $X$2)</f>
        <v>1805.9999999999998</v>
      </c>
      <c r="AC3">
        <f t="shared" ref="AC3:AC17" si="5">G3-$B$2</f>
        <v>84</v>
      </c>
      <c r="AD3" s="2">
        <f t="shared" ref="AD3:AD17" si="6">K3</f>
        <v>2202.3399999999997</v>
      </c>
      <c r="AE3">
        <f t="shared" ref="AE3:AE17" si="7">AD3*EXP(-AC3/365.25 * $X$2)</f>
        <v>2823.2769657080917</v>
      </c>
      <c r="AF3">
        <f t="shared" ref="AF3:AF17" si="8">L3-$B$2</f>
        <v>121</v>
      </c>
      <c r="AG3" s="2">
        <f t="shared" ref="AG3:AG17" si="9">M3</f>
        <v>130</v>
      </c>
      <c r="AH3">
        <f t="shared" ref="AH3:AH17" si="10">AG3*EXP(-AF3/365.25 * $X$2)</f>
        <v>185.92005905832642</v>
      </c>
      <c r="AI3" s="2">
        <f t="shared" ref="AI3:AI17" ca="1" si="11">TODAY()-$B$2</f>
        <v>183</v>
      </c>
      <c r="AJ3">
        <f t="shared" ref="AJ3:AJ17" si="12">$Q$2*$Q$4</f>
        <v>9068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1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22.67</v>
      </c>
      <c r="R4" s="495">
        <v>-2.9100000000000001E-2</v>
      </c>
      <c r="U4" t="s">
        <v>1021</v>
      </c>
      <c r="W4" s="134"/>
      <c r="Z4">
        <f t="shared" si="2"/>
        <v>32</v>
      </c>
      <c r="AA4" s="2">
        <f t="shared" si="3"/>
        <v>3668</v>
      </c>
      <c r="AB4">
        <f t="shared" si="4"/>
        <v>4032.0167200469227</v>
      </c>
      <c r="AC4">
        <f t="shared" si="5"/>
        <v>98</v>
      </c>
      <c r="AD4" s="2">
        <f t="shared" si="6"/>
        <v>2297.9499999999998</v>
      </c>
      <c r="AE4">
        <f t="shared" si="7"/>
        <v>3070.3499595755325</v>
      </c>
      <c r="AF4">
        <f t="shared" si="8"/>
        <v>-43098</v>
      </c>
      <c r="AG4" s="2">
        <f t="shared" si="9"/>
        <v>0</v>
      </c>
      <c r="AH4">
        <f t="shared" si="10"/>
        <v>0</v>
      </c>
      <c r="AI4" s="2">
        <f t="shared" ca="1" si="11"/>
        <v>183</v>
      </c>
      <c r="AJ4">
        <f t="shared" si="12"/>
        <v>9068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1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9068</v>
      </c>
      <c r="W5" s="134"/>
      <c r="Z5">
        <f t="shared" si="2"/>
        <v>34</v>
      </c>
      <c r="AA5" s="2">
        <f t="shared" si="3"/>
        <v>3416.3399999999997</v>
      </c>
      <c r="AB5">
        <f t="shared" si="4"/>
        <v>3777.6558943258942</v>
      </c>
      <c r="AC5">
        <f t="shared" si="5"/>
        <v>119</v>
      </c>
      <c r="AD5" s="2">
        <f t="shared" si="6"/>
        <v>2388.94</v>
      </c>
      <c r="AE5">
        <f t="shared" si="7"/>
        <v>3396.4077741528404</v>
      </c>
      <c r="AF5">
        <f t="shared" si="8"/>
        <v>-43098</v>
      </c>
      <c r="AG5" s="2">
        <f t="shared" si="9"/>
        <v>0</v>
      </c>
      <c r="AH5">
        <f t="shared" si="10"/>
        <v>0</v>
      </c>
      <c r="AI5" s="2">
        <f t="shared" ca="1" si="11"/>
        <v>183</v>
      </c>
      <c r="AJ5">
        <f t="shared" si="12"/>
        <v>9068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3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884</v>
      </c>
      <c r="W6" s="134"/>
      <c r="Z6">
        <f t="shared" si="2"/>
        <v>34</v>
      </c>
      <c r="AA6" s="2">
        <f t="shared" si="3"/>
        <v>105.66</v>
      </c>
      <c r="AB6">
        <f t="shared" si="4"/>
        <v>116.83471838121322</v>
      </c>
      <c r="AC6">
        <f t="shared" si="5"/>
        <v>174</v>
      </c>
      <c r="AD6" s="2">
        <f t="shared" si="6"/>
        <v>4975.9399999999996</v>
      </c>
      <c r="AE6">
        <f t="shared" si="7"/>
        <v>8323.7362072375236</v>
      </c>
      <c r="AF6">
        <f t="shared" si="8"/>
        <v>-43098</v>
      </c>
      <c r="AG6" s="2">
        <f t="shared" si="9"/>
        <v>0</v>
      </c>
      <c r="AH6">
        <f t="shared" si="10"/>
        <v>0</v>
      </c>
      <c r="AI6" s="2">
        <f t="shared" ca="1" si="11"/>
        <v>183</v>
      </c>
      <c r="AJ6">
        <f t="shared" si="12"/>
        <v>9068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4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-3268.6800000000003</v>
      </c>
      <c r="R7">
        <v>300</v>
      </c>
      <c r="T7" s="1"/>
      <c r="W7" s="134"/>
      <c r="Z7">
        <f t="shared" si="2"/>
        <v>62</v>
      </c>
      <c r="AA7" s="2">
        <f t="shared" si="3"/>
        <v>2828</v>
      </c>
      <c r="AB7">
        <f t="shared" si="4"/>
        <v>3397.0120510903221</v>
      </c>
      <c r="AC7">
        <f t="shared" si="5"/>
        <v>178</v>
      </c>
      <c r="AD7" s="2">
        <f t="shared" si="6"/>
        <v>2527.9699999999998</v>
      </c>
      <c r="AE7">
        <f t="shared" si="7"/>
        <v>4279.092885300427</v>
      </c>
      <c r="AF7">
        <f t="shared" si="8"/>
        <v>-43098</v>
      </c>
      <c r="AG7" s="2">
        <f t="shared" si="9"/>
        <v>0</v>
      </c>
      <c r="AH7">
        <f t="shared" si="10"/>
        <v>0</v>
      </c>
      <c r="AI7" s="2">
        <f t="shared" ca="1" si="11"/>
        <v>183</v>
      </c>
      <c r="AJ7">
        <f t="shared" si="12"/>
        <v>9068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4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-3268.6800000000003</v>
      </c>
      <c r="T8" s="1">
        <v>43121</v>
      </c>
      <c r="U8" t="s">
        <v>903</v>
      </c>
      <c r="W8" s="134"/>
      <c r="Z8">
        <f t="shared" si="2"/>
        <v>62</v>
      </c>
      <c r="AA8" s="2">
        <f t="shared" si="3"/>
        <v>2400</v>
      </c>
      <c r="AB8">
        <f t="shared" si="4"/>
        <v>2882.8956586339368</v>
      </c>
      <c r="AC8">
        <f t="shared" si="5"/>
        <v>-43098</v>
      </c>
      <c r="AD8" s="2">
        <f t="shared" si="6"/>
        <v>0</v>
      </c>
      <c r="AE8">
        <f t="shared" si="7"/>
        <v>0</v>
      </c>
      <c r="AF8">
        <f t="shared" si="8"/>
        <v>-43098</v>
      </c>
      <c r="AG8" s="2">
        <f t="shared" si="9"/>
        <v>0</v>
      </c>
      <c r="AH8">
        <f t="shared" si="10"/>
        <v>0</v>
      </c>
      <c r="AI8" s="2">
        <f t="shared" ca="1" si="11"/>
        <v>183</v>
      </c>
      <c r="AJ8">
        <f t="shared" si="12"/>
        <v>9068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4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-0.264956211881965</v>
      </c>
      <c r="W9" s="134"/>
      <c r="Z9">
        <f t="shared" si="2"/>
        <v>62</v>
      </c>
      <c r="AA9" s="2">
        <f t="shared" si="3"/>
        <v>2258</v>
      </c>
      <c r="AB9">
        <f t="shared" si="4"/>
        <v>2712.3243321647624</v>
      </c>
      <c r="AC9">
        <f t="shared" si="5"/>
        <v>-43098</v>
      </c>
      <c r="AD9" s="2">
        <f t="shared" si="6"/>
        <v>0</v>
      </c>
      <c r="AE9">
        <f t="shared" si="7"/>
        <v>0</v>
      </c>
      <c r="AF9">
        <f t="shared" si="8"/>
        <v>-43098</v>
      </c>
      <c r="AG9" s="2">
        <f t="shared" si="9"/>
        <v>0</v>
      </c>
      <c r="AH9">
        <f t="shared" si="10"/>
        <v>0</v>
      </c>
      <c r="AI9" s="2">
        <f t="shared" ca="1" si="11"/>
        <v>183</v>
      </c>
      <c r="AJ9">
        <f t="shared" si="12"/>
        <v>9068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4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2"/>
        <v>80</v>
      </c>
      <c r="AA10" s="2">
        <f t="shared" si="3"/>
        <v>2328</v>
      </c>
      <c r="AB10">
        <f t="shared" si="4"/>
        <v>2949.2763579708198</v>
      </c>
      <c r="AC10">
        <f t="shared" si="5"/>
        <v>-43098</v>
      </c>
      <c r="AD10" s="2">
        <f t="shared" si="6"/>
        <v>0</v>
      </c>
      <c r="AE10">
        <f t="shared" si="7"/>
        <v>0</v>
      </c>
      <c r="AF10">
        <f t="shared" si="8"/>
        <v>-43098</v>
      </c>
      <c r="AG10" s="2">
        <f t="shared" si="9"/>
        <v>0</v>
      </c>
      <c r="AH10">
        <f t="shared" si="10"/>
        <v>0</v>
      </c>
      <c r="AI10" s="2">
        <f t="shared" ca="1" si="11"/>
        <v>183</v>
      </c>
      <c r="AJ10">
        <f t="shared" si="12"/>
        <v>9068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4"/>
        <v>2143.7000000000003</v>
      </c>
      <c r="H11" s="70"/>
      <c r="O11" s="11" t="s">
        <v>176</v>
      </c>
      <c r="P11" s="33"/>
      <c r="Q11" s="134">
        <f>R11*4/Q4</f>
        <v>4.5875606528451698E-2</v>
      </c>
      <c r="R11">
        <f>0.26</f>
        <v>0.26</v>
      </c>
      <c r="W11" s="134"/>
      <c r="Z11">
        <f t="shared" si="2"/>
        <v>83</v>
      </c>
      <c r="AA11" s="2">
        <f t="shared" si="3"/>
        <v>2143.7000000000003</v>
      </c>
      <c r="AB11">
        <f t="shared" si="4"/>
        <v>2739.9899502560088</v>
      </c>
      <c r="AC11">
        <f t="shared" si="5"/>
        <v>-43098</v>
      </c>
      <c r="AD11" s="2">
        <f t="shared" si="6"/>
        <v>0</v>
      </c>
      <c r="AE11">
        <f t="shared" si="7"/>
        <v>0</v>
      </c>
      <c r="AF11">
        <f t="shared" si="8"/>
        <v>-43098</v>
      </c>
      <c r="AG11" s="2">
        <f t="shared" si="9"/>
        <v>0</v>
      </c>
      <c r="AH11">
        <f t="shared" si="10"/>
        <v>0</v>
      </c>
      <c r="AI11" s="2">
        <f t="shared" ca="1" si="11"/>
        <v>183</v>
      </c>
      <c r="AJ11">
        <f t="shared" si="12"/>
        <v>9068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4"/>
        <v>2210</v>
      </c>
      <c r="H12" s="70"/>
      <c r="O12" s="11" t="s">
        <v>948</v>
      </c>
      <c r="Q12" s="1"/>
      <c r="T12" s="1">
        <v>43223</v>
      </c>
      <c r="U12" t="s">
        <v>1061</v>
      </c>
      <c r="W12" s="134"/>
      <c r="Z12">
        <f t="shared" si="2"/>
        <v>84</v>
      </c>
      <c r="AA12" s="2">
        <f t="shared" si="3"/>
        <v>2210</v>
      </c>
      <c r="AB12">
        <f t="shared" si="4"/>
        <v>2833.0966581975918</v>
      </c>
      <c r="AC12">
        <f t="shared" si="5"/>
        <v>-43098</v>
      </c>
      <c r="AD12" s="2">
        <f t="shared" si="6"/>
        <v>0</v>
      </c>
      <c r="AE12">
        <f t="shared" si="7"/>
        <v>0</v>
      </c>
      <c r="AF12">
        <f t="shared" si="8"/>
        <v>-43098</v>
      </c>
      <c r="AG12" s="2">
        <f t="shared" si="9"/>
        <v>0</v>
      </c>
      <c r="AH12">
        <f t="shared" si="10"/>
        <v>0</v>
      </c>
      <c r="AI12" s="2">
        <f t="shared" ca="1" si="11"/>
        <v>183</v>
      </c>
      <c r="AJ12">
        <f t="shared" si="12"/>
        <v>9068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4"/>
        <v>2327</v>
      </c>
      <c r="H13" s="70"/>
      <c r="O13" s="11" t="s">
        <v>975</v>
      </c>
      <c r="Q13">
        <f>Q4/(1.65+1.75)*2</f>
        <v>13.335294117647059</v>
      </c>
      <c r="U13" t="s">
        <v>1062</v>
      </c>
      <c r="W13" s="134"/>
      <c r="Z13">
        <f t="shared" si="2"/>
        <v>122</v>
      </c>
      <c r="AA13" s="2">
        <f t="shared" si="3"/>
        <v>2327</v>
      </c>
      <c r="AB13">
        <f t="shared" si="4"/>
        <v>3337.8240212501041</v>
      </c>
      <c r="AC13">
        <f t="shared" si="5"/>
        <v>-43098</v>
      </c>
      <c r="AD13" s="2">
        <f t="shared" si="6"/>
        <v>0</v>
      </c>
      <c r="AE13">
        <f t="shared" si="7"/>
        <v>0</v>
      </c>
      <c r="AF13">
        <f t="shared" si="8"/>
        <v>-43098</v>
      </c>
      <c r="AG13" s="2">
        <f t="shared" si="9"/>
        <v>0</v>
      </c>
      <c r="AH13">
        <f t="shared" si="10"/>
        <v>0</v>
      </c>
      <c r="AI13" s="2">
        <f t="shared" ca="1" si="11"/>
        <v>183</v>
      </c>
      <c r="AJ13">
        <f t="shared" si="12"/>
        <v>9068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4"/>
        <v>2208</v>
      </c>
      <c r="G14" s="4"/>
      <c r="H14" s="70"/>
      <c r="O14" s="11" t="s">
        <v>1113</v>
      </c>
      <c r="Q14" s="821">
        <v>-1.08</v>
      </c>
      <c r="U14" t="s">
        <v>1063</v>
      </c>
      <c r="W14" s="134"/>
      <c r="Z14">
        <f t="shared" si="2"/>
        <v>130</v>
      </c>
      <c r="AA14" s="2">
        <f t="shared" si="3"/>
        <v>2208</v>
      </c>
      <c r="AB14">
        <f t="shared" si="4"/>
        <v>3242.9434153422349</v>
      </c>
      <c r="AC14">
        <f t="shared" si="5"/>
        <v>-43098</v>
      </c>
      <c r="AD14" s="2">
        <f t="shared" si="6"/>
        <v>0</v>
      </c>
      <c r="AE14">
        <f t="shared" si="7"/>
        <v>0</v>
      </c>
      <c r="AF14">
        <f t="shared" si="8"/>
        <v>-43098</v>
      </c>
      <c r="AG14" s="2">
        <f t="shared" si="9"/>
        <v>0</v>
      </c>
      <c r="AH14">
        <f t="shared" si="10"/>
        <v>0</v>
      </c>
      <c r="AI14" s="2">
        <f t="shared" ca="1" si="11"/>
        <v>183</v>
      </c>
      <c r="AJ14">
        <f t="shared" si="12"/>
        <v>9068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4"/>
        <v>2358</v>
      </c>
      <c r="H15" s="70"/>
      <c r="O15" s="11" t="s">
        <v>1064</v>
      </c>
      <c r="Q15" s="29">
        <v>43226</v>
      </c>
      <c r="W15" s="134"/>
      <c r="Z15">
        <f t="shared" si="2"/>
        <v>178</v>
      </c>
      <c r="AA15" s="2">
        <f t="shared" si="3"/>
        <v>2358</v>
      </c>
      <c r="AB15">
        <f t="shared" si="4"/>
        <v>3991.3847963141998</v>
      </c>
      <c r="AC15">
        <f t="shared" si="5"/>
        <v>-43098</v>
      </c>
      <c r="AD15" s="2">
        <f t="shared" si="6"/>
        <v>0</v>
      </c>
      <c r="AE15">
        <f t="shared" si="7"/>
        <v>0</v>
      </c>
      <c r="AF15">
        <f t="shared" si="8"/>
        <v>-43098</v>
      </c>
      <c r="AG15" s="2">
        <f t="shared" si="9"/>
        <v>0</v>
      </c>
      <c r="AH15">
        <f t="shared" si="10"/>
        <v>0</v>
      </c>
      <c r="AI15" s="2">
        <f t="shared" ca="1" si="11"/>
        <v>183</v>
      </c>
      <c r="AJ15">
        <f t="shared" si="12"/>
        <v>9068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1075</v>
      </c>
      <c r="W16" s="134"/>
      <c r="Z16">
        <f t="shared" si="2"/>
        <v>-43098</v>
      </c>
      <c r="AA16" s="2">
        <f t="shared" si="3"/>
        <v>0</v>
      </c>
      <c r="AB16">
        <f t="shared" si="4"/>
        <v>0</v>
      </c>
      <c r="AC16">
        <f t="shared" si="5"/>
        <v>-43098</v>
      </c>
      <c r="AD16" s="2">
        <f t="shared" si="6"/>
        <v>0</v>
      </c>
      <c r="AE16">
        <f t="shared" si="7"/>
        <v>0</v>
      </c>
      <c r="AF16">
        <f t="shared" si="8"/>
        <v>-43098</v>
      </c>
      <c r="AG16" s="2">
        <f t="shared" si="9"/>
        <v>0</v>
      </c>
      <c r="AH16">
        <f t="shared" si="10"/>
        <v>0</v>
      </c>
      <c r="AI16" s="2">
        <f t="shared" ca="1" si="11"/>
        <v>183</v>
      </c>
      <c r="AJ16">
        <f t="shared" si="12"/>
        <v>9068</v>
      </c>
    </row>
    <row r="17" spans="1:39" x14ac:dyDescent="0.25">
      <c r="W17" s="134"/>
      <c r="Z17">
        <f t="shared" si="2"/>
        <v>-43098</v>
      </c>
      <c r="AA17" s="2">
        <f t="shared" si="3"/>
        <v>0</v>
      </c>
      <c r="AB17">
        <f t="shared" si="4"/>
        <v>0</v>
      </c>
      <c r="AC17">
        <f t="shared" si="5"/>
        <v>-43098</v>
      </c>
      <c r="AD17" s="2">
        <f t="shared" si="6"/>
        <v>0</v>
      </c>
      <c r="AE17">
        <f t="shared" si="7"/>
        <v>0</v>
      </c>
      <c r="AF17">
        <f t="shared" si="8"/>
        <v>-43098</v>
      </c>
      <c r="AG17" s="2">
        <f t="shared" si="9"/>
        <v>0</v>
      </c>
      <c r="AH17">
        <f t="shared" si="10"/>
        <v>0</v>
      </c>
      <c r="AI17" s="2">
        <f t="shared" ca="1" si="11"/>
        <v>183</v>
      </c>
      <c r="AJ17">
        <f t="shared" si="12"/>
        <v>9068</v>
      </c>
      <c r="AM17" s="2"/>
    </row>
    <row r="18" spans="1:39" ht="20.25" thickBot="1" x14ac:dyDescent="0.35">
      <c r="A18" s="31" t="s">
        <v>81</v>
      </c>
      <c r="B18" s="14"/>
      <c r="C18" s="14">
        <f>SUM(C2:C16)</f>
        <v>1197</v>
      </c>
      <c r="D18" s="18"/>
      <c r="E18" s="18"/>
      <c r="F18" s="18">
        <f>SUM(F2:F16)</f>
        <v>31875.7</v>
      </c>
      <c r="G18" s="14"/>
      <c r="H18" s="71">
        <f>SUM(H2:H8)</f>
        <v>797</v>
      </c>
      <c r="I18" s="18"/>
      <c r="J18" s="18"/>
      <c r="K18" s="18">
        <f>SUM(K2:K8)</f>
        <v>19383.02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797</v>
      </c>
      <c r="D19" s="343"/>
      <c r="E19" s="343"/>
      <c r="F19" s="344">
        <f>SumByColor($A$19,F2:F17)</f>
        <v>18233</v>
      </c>
      <c r="G19" s="343"/>
      <c r="H19" s="343">
        <f>SumByColor($A$19,H2:H17)</f>
        <v>797</v>
      </c>
      <c r="I19" s="343"/>
      <c r="J19" s="343"/>
      <c r="K19" s="344">
        <f>SumByColor($A$19,K2:K17)</f>
        <v>19383</v>
      </c>
      <c r="L19" s="343"/>
      <c r="M19" s="344">
        <f>SumByColor($A$19,M2:M17)</f>
        <v>156</v>
      </c>
      <c r="O19" s="81">
        <v>1.1000000000000001</v>
      </c>
      <c r="P19" s="81">
        <f>O19*$Q$4</f>
        <v>24.937000000000005</v>
      </c>
      <c r="W19" s="134"/>
    </row>
    <row r="20" spans="1:39" x14ac:dyDescent="0.25">
      <c r="O20" s="81">
        <v>1.0900000000000001</v>
      </c>
      <c r="P20" s="81">
        <f t="shared" ref="P20:P39" si="15">O20*$Q$4</f>
        <v>24.710300000000004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5"/>
        <v>24.483600000000003</v>
      </c>
      <c r="W21" s="134"/>
    </row>
    <row r="22" spans="1:39" x14ac:dyDescent="0.25">
      <c r="O22" s="81">
        <v>1.07</v>
      </c>
      <c r="P22" s="81">
        <f t="shared" si="15"/>
        <v>24.256900000000002</v>
      </c>
      <c r="W22" s="134"/>
    </row>
    <row r="23" spans="1:39" x14ac:dyDescent="0.25">
      <c r="O23" s="81">
        <v>1.06</v>
      </c>
      <c r="P23" s="81">
        <f t="shared" si="15"/>
        <v>24.030200000000004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5"/>
        <v>23.803500000000003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6">C25*(E25-D25)</f>
        <v>-11.999999999999744</v>
      </c>
      <c r="G25" s="39">
        <f t="shared" ref="G25" si="17">D25*C25</f>
        <v>3625</v>
      </c>
      <c r="H25" s="222">
        <f t="shared" ref="H25" si="18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5"/>
        <v>23.576800000000002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9">C26*(E26-D26)</f>
        <v>142.99999999999997</v>
      </c>
      <c r="G26" s="39">
        <f t="shared" ref="G26" si="20">D26*C26</f>
        <v>3625</v>
      </c>
      <c r="H26" s="222">
        <f t="shared" ref="H26" si="21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5"/>
        <v>23.350100000000001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2">C27*(E27-D27)</f>
        <v>60.000000000000142</v>
      </c>
      <c r="G27" s="39">
        <f t="shared" ref="G27" si="23">D27*C27</f>
        <v>3625</v>
      </c>
      <c r="H27" s="222">
        <f t="shared" ref="H27" si="24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5"/>
        <v>23.123400000000004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5">C28*(E28-D28)</f>
        <v>176.9999999999996</v>
      </c>
      <c r="G28" s="39">
        <f t="shared" ref="G28:G35" si="26">D28*C28</f>
        <v>3599</v>
      </c>
      <c r="H28" s="222">
        <f t="shared" ref="H28:H35" si="27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5"/>
        <v>22.896700000000003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5"/>
        <v>81.000000000000227</v>
      </c>
      <c r="G29" s="39">
        <f t="shared" si="26"/>
        <v>7267</v>
      </c>
      <c r="H29" s="222">
        <f t="shared" si="27"/>
        <v>1.1146277693683806E-2</v>
      </c>
      <c r="I29" s="39"/>
      <c r="J29" s="39"/>
      <c r="K29" s="39"/>
      <c r="L29" s="155"/>
      <c r="O29" s="81">
        <v>1</v>
      </c>
      <c r="P29" s="81">
        <f t="shared" si="15"/>
        <v>22.67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5"/>
        <v>-90.990000000000038</v>
      </c>
      <c r="G30" s="39">
        <f t="shared" si="26"/>
        <v>10788.99</v>
      </c>
      <c r="H30" s="222">
        <f t="shared" si="27"/>
        <v>-8.4335975842039015E-3</v>
      </c>
      <c r="I30" s="39"/>
      <c r="J30" s="39"/>
      <c r="K30" s="39"/>
      <c r="L30" s="155"/>
      <c r="O30" s="81">
        <v>0.99</v>
      </c>
      <c r="P30" s="81">
        <f t="shared" si="15"/>
        <v>22.443300000000001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5"/>
        <v>-489.98999999999955</v>
      </c>
      <c r="G31" s="39">
        <f t="shared" si="26"/>
        <v>10788.99</v>
      </c>
      <c r="H31" s="222">
        <f t="shared" si="27"/>
        <v>-4.5415743271612963E-2</v>
      </c>
      <c r="I31" s="39"/>
      <c r="J31" s="39"/>
      <c r="K31" s="39"/>
      <c r="L31" s="155"/>
      <c r="O31" s="81">
        <v>0.98</v>
      </c>
      <c r="P31" s="81">
        <f t="shared" si="15"/>
        <v>22.2166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5"/>
        <v>-3975.9999999999991</v>
      </c>
      <c r="G32" s="39">
        <f t="shared" si="26"/>
        <v>13616</v>
      </c>
      <c r="H32" s="222">
        <f t="shared" si="27"/>
        <v>-0.29200940070505282</v>
      </c>
      <c r="I32" s="39"/>
      <c r="J32" s="39"/>
      <c r="K32" s="39"/>
      <c r="L32" s="155"/>
      <c r="O32" s="81">
        <v>0.97</v>
      </c>
      <c r="P32" s="81">
        <f t="shared" si="15"/>
        <v>21.989900000000002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5"/>
        <v>-3965</v>
      </c>
      <c r="G33" s="39">
        <f t="shared" si="26"/>
        <v>16015</v>
      </c>
      <c r="H33" s="222">
        <f t="shared" si="27"/>
        <v>-0.2475803933812051</v>
      </c>
      <c r="I33" s="39"/>
      <c r="J33" s="39"/>
      <c r="K33" s="39"/>
      <c r="L33" s="155"/>
      <c r="O33" s="81">
        <v>0.96</v>
      </c>
      <c r="P33" s="81">
        <f t="shared" si="15"/>
        <v>21.763200000000001</v>
      </c>
      <c r="W33" s="134"/>
    </row>
    <row r="34" spans="1:23" x14ac:dyDescent="0.25">
      <c r="B34" s="184">
        <v>43160</v>
      </c>
      <c r="C34" s="421">
        <v>600</v>
      </c>
      <c r="D34" s="837">
        <v>30.46</v>
      </c>
      <c r="E34" s="39">
        <v>24.1</v>
      </c>
      <c r="F34" s="39">
        <f t="shared" si="25"/>
        <v>-3815.9999999999995</v>
      </c>
      <c r="G34" s="39">
        <f t="shared" si="26"/>
        <v>18276</v>
      </c>
      <c r="H34" s="222">
        <f t="shared" si="27"/>
        <v>-0.20879842416283648</v>
      </c>
      <c r="I34" s="39"/>
      <c r="J34" s="39"/>
      <c r="K34" s="787" t="s">
        <v>945</v>
      </c>
      <c r="L34" s="155"/>
      <c r="O34" s="81">
        <v>0.95</v>
      </c>
      <c r="P34" s="81">
        <f t="shared" si="15"/>
        <v>21.5365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5"/>
        <v>-3305.1200000000008</v>
      </c>
      <c r="G35" s="39">
        <f t="shared" si="26"/>
        <v>13285.12</v>
      </c>
      <c r="H35" s="222">
        <f t="shared" si="27"/>
        <v>-0.24878360150303502</v>
      </c>
      <c r="I35" s="39"/>
      <c r="J35" s="39"/>
      <c r="K35" s="39"/>
      <c r="L35" s="155"/>
      <c r="O35" s="81">
        <v>0.94</v>
      </c>
      <c r="P35" s="81">
        <f t="shared" si="15"/>
        <v>21.309799999999999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8">C36*(E36-D36)</f>
        <v>-3721.1200000000003</v>
      </c>
      <c r="G36" s="39">
        <f t="shared" ref="G36:G40" si="29">D36*C36</f>
        <v>13285.12</v>
      </c>
      <c r="H36" s="222">
        <f t="shared" ref="H36:H40" si="30">(E36-D36)/D36</f>
        <v>-0.28009683013777825</v>
      </c>
      <c r="I36" s="39"/>
      <c r="J36" s="39"/>
      <c r="K36" s="39"/>
      <c r="L36" s="39"/>
      <c r="O36" s="81">
        <v>0.93</v>
      </c>
      <c r="P36" s="81">
        <f t="shared" si="15"/>
        <v>21.083100000000002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8"/>
        <v>-4027.9999999999986</v>
      </c>
      <c r="G37" s="39">
        <f t="shared" si="29"/>
        <v>15613</v>
      </c>
      <c r="H37" s="222">
        <f t="shared" si="30"/>
        <v>-0.25799013642477414</v>
      </c>
      <c r="I37" s="39"/>
      <c r="J37" s="39"/>
      <c r="K37" s="39"/>
      <c r="L37" s="39"/>
      <c r="O37" s="81">
        <v>0.92</v>
      </c>
      <c r="P37" s="81">
        <f t="shared" si="15"/>
        <v>20.856400000000001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8"/>
        <v>-4563.1098000000002</v>
      </c>
      <c r="G38" s="39">
        <f t="shared" si="29"/>
        <v>17756.809799999999</v>
      </c>
      <c r="H38" s="222">
        <f t="shared" si="30"/>
        <v>-0.25697801865287762</v>
      </c>
      <c r="I38" s="39"/>
      <c r="J38" s="39"/>
      <c r="K38" s="39"/>
      <c r="L38" s="39"/>
      <c r="O38" s="81">
        <v>0.91</v>
      </c>
      <c r="P38" s="81">
        <f t="shared" si="15"/>
        <v>20.629700000000003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37">
        <v>29.607500000000002</v>
      </c>
      <c r="E39" s="39">
        <v>21.86</v>
      </c>
      <c r="F39" s="39">
        <f t="shared" si="28"/>
        <v>-4648.5000000000018</v>
      </c>
      <c r="G39" s="39">
        <f t="shared" si="29"/>
        <v>17764.5</v>
      </c>
      <c r="H39" s="222">
        <f t="shared" si="30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5"/>
        <v>20.403000000000002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8"/>
        <v>-4041.4999999999991</v>
      </c>
      <c r="G40" s="39">
        <f t="shared" si="29"/>
        <v>15466.5</v>
      </c>
      <c r="H40" s="222">
        <f t="shared" si="30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1">C41*(E41-D41)</f>
        <v>-4301.5000000000009</v>
      </c>
      <c r="G41" s="39">
        <f t="shared" ref="G41:G43" si="32">D41*C41</f>
        <v>15466.5</v>
      </c>
      <c r="H41" s="222">
        <f t="shared" ref="H41:H43" si="33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1"/>
        <v>-3776.55</v>
      </c>
      <c r="G42" s="39">
        <f t="shared" si="32"/>
        <v>15466.55</v>
      </c>
      <c r="H42" s="222">
        <f t="shared" si="33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1"/>
        <v>-3573.6000000000004</v>
      </c>
      <c r="G43" s="39">
        <f t="shared" si="32"/>
        <v>13077.6</v>
      </c>
      <c r="H43" s="222">
        <f t="shared" si="33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4">C44*(E44-D44)</f>
        <v>-3443.5999999999995</v>
      </c>
      <c r="G44" s="39">
        <f t="shared" ref="G44:G48" si="35">D44*C44</f>
        <v>12947.6</v>
      </c>
      <c r="H44" s="222">
        <f t="shared" ref="H44:H48" si="36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4"/>
        <v>-3635</v>
      </c>
      <c r="G45" s="39">
        <f t="shared" si="35"/>
        <v>15275</v>
      </c>
      <c r="H45" s="222">
        <f t="shared" si="36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4"/>
        <v>-4228.619999999999</v>
      </c>
      <c r="G46" s="39">
        <f t="shared" si="35"/>
        <v>17482.62</v>
      </c>
      <c r="H46" s="222">
        <f t="shared" si="36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37">
        <v>29.14</v>
      </c>
      <c r="E47" s="39">
        <v>22.1</v>
      </c>
      <c r="F47" s="39">
        <f t="shared" si="34"/>
        <v>-4223.9999999999991</v>
      </c>
      <c r="G47" s="39">
        <f t="shared" si="35"/>
        <v>17484</v>
      </c>
      <c r="H47" s="222">
        <f t="shared" si="36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4"/>
        <v>-4620</v>
      </c>
      <c r="G48" s="39">
        <f t="shared" si="35"/>
        <v>17484</v>
      </c>
      <c r="H48" s="222">
        <f t="shared" si="36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:F52" si="37">C49*(E49-D49)</f>
        <v>-4008</v>
      </c>
      <c r="G49" s="39">
        <f t="shared" ref="G49:G52" si="38">D49*C49</f>
        <v>17484</v>
      </c>
      <c r="H49" s="222">
        <f t="shared" ref="H49:H52" si="39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A50">
        <v>400</v>
      </c>
      <c r="B50" s="184">
        <v>43272</v>
      </c>
      <c r="C50" s="425">
        <v>400</v>
      </c>
      <c r="D50" s="426">
        <v>31.2666</v>
      </c>
      <c r="E50" s="39">
        <v>23.29</v>
      </c>
      <c r="F50" s="39">
        <f t="shared" si="37"/>
        <v>-3190.6400000000003</v>
      </c>
      <c r="G50" s="39">
        <f t="shared" si="38"/>
        <v>12506.64</v>
      </c>
      <c r="H50" s="222">
        <f t="shared" si="39"/>
        <v>-0.25511568254942979</v>
      </c>
      <c r="I50" s="193" t="s">
        <v>1144</v>
      </c>
      <c r="J50" s="39"/>
      <c r="K50" s="39"/>
      <c r="L50" s="39">
        <v>13.7</v>
      </c>
      <c r="Q50" s="2"/>
      <c r="T50" s="134"/>
    </row>
    <row r="51" spans="1:23" x14ac:dyDescent="0.25">
      <c r="A51">
        <v>300</v>
      </c>
      <c r="B51" s="184">
        <v>43276</v>
      </c>
      <c r="C51" s="7">
        <v>300</v>
      </c>
      <c r="D51" s="43">
        <v>33.262300000000003</v>
      </c>
      <c r="E51" s="39">
        <v>24.12</v>
      </c>
      <c r="F51" s="39">
        <f t="shared" si="37"/>
        <v>-2742.6900000000005</v>
      </c>
      <c r="G51" s="39">
        <f t="shared" si="38"/>
        <v>9978.69</v>
      </c>
      <c r="H51" s="222">
        <f t="shared" si="39"/>
        <v>-0.27485471539851425</v>
      </c>
      <c r="I51" s="39">
        <v>33</v>
      </c>
      <c r="J51" s="39"/>
      <c r="K51" s="39"/>
      <c r="L51" s="39">
        <v>14.19</v>
      </c>
      <c r="Q51" s="2"/>
      <c r="T51" s="134"/>
    </row>
    <row r="52" spans="1:23" x14ac:dyDescent="0.25">
      <c r="A52">
        <v>300</v>
      </c>
      <c r="B52" s="184">
        <v>43277</v>
      </c>
      <c r="C52" s="425">
        <v>400</v>
      </c>
      <c r="D52" s="426">
        <v>30.841999999999999</v>
      </c>
      <c r="E52" s="39">
        <v>23.75</v>
      </c>
      <c r="F52" s="39">
        <f t="shared" si="37"/>
        <v>-2836.7999999999993</v>
      </c>
      <c r="G52" s="39">
        <f t="shared" si="38"/>
        <v>12336.8</v>
      </c>
      <c r="H52" s="222">
        <f t="shared" si="39"/>
        <v>-0.22994617729070743</v>
      </c>
      <c r="I52" s="193" t="s">
        <v>775</v>
      </c>
      <c r="J52" s="39"/>
      <c r="K52" s="39"/>
      <c r="L52" s="39">
        <v>13.97</v>
      </c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905" priority="21">
      <formula>F25&gt;0</formula>
    </cfRule>
    <cfRule type="expression" dxfId="904" priority="22">
      <formula>F25&lt;0</formula>
    </cfRule>
  </conditionalFormatting>
  <conditionalFormatting sqref="Q7">
    <cfRule type="expression" dxfId="903" priority="19">
      <formula>Q7&gt;0</formula>
    </cfRule>
    <cfRule type="expression" dxfId="902" priority="20">
      <formula>Q7&lt;0</formula>
    </cfRule>
  </conditionalFormatting>
  <conditionalFormatting sqref="Q8">
    <cfRule type="expression" dxfId="901" priority="17">
      <formula>Q8&gt;0</formula>
    </cfRule>
    <cfRule type="expression" dxfId="900" priority="18">
      <formula>Q8&lt;0</formula>
    </cfRule>
  </conditionalFormatting>
  <conditionalFormatting sqref="F89:F110">
    <cfRule type="expression" dxfId="899" priority="11">
      <formula>F89&gt;0</formula>
    </cfRule>
    <cfRule type="expression" dxfId="898" priority="12">
      <formula>F89&lt;0</formula>
    </cfRule>
  </conditionalFormatting>
  <conditionalFormatting sqref="H89:H110">
    <cfRule type="expression" dxfId="897" priority="9">
      <formula>H89&gt;0</formula>
    </cfRule>
    <cfRule type="expression" dxfId="896" priority="10">
      <formula>H89&lt;0</formula>
    </cfRule>
  </conditionalFormatting>
  <conditionalFormatting sqref="Q10">
    <cfRule type="expression" dxfId="895" priority="7">
      <formula>Q10&gt;0</formula>
    </cfRule>
    <cfRule type="expression" dxfId="894" priority="8">
      <formula>Q10&lt;0</formula>
    </cfRule>
  </conditionalFormatting>
  <conditionalFormatting sqref="J25:J38">
    <cfRule type="expression" dxfId="893" priority="5">
      <formula>J25&gt;0</formula>
    </cfRule>
    <cfRule type="expression" dxfId="892" priority="6">
      <formula>J25&lt;0</formula>
    </cfRule>
  </conditionalFormatting>
  <conditionalFormatting sqref="K25:K38">
    <cfRule type="expression" dxfId="891" priority="3">
      <formula>K25&gt;0</formula>
    </cfRule>
    <cfRule type="expression" dxfId="890" priority="4">
      <formula>K25&lt;0</formula>
    </cfRule>
  </conditionalFormatting>
  <conditionalFormatting sqref="L25:L38">
    <cfRule type="expression" dxfId="889" priority="1">
      <formula>L25&gt;0</formula>
    </cfRule>
    <cfRule type="expression" dxfId="88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54.59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54.59</v>
      </c>
      <c r="R4" s="475">
        <v>2.69E-2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60.049000000000007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59.503100000000011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58.957200000000007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58.411300000000004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57.865400000000008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57.319500000000005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56.773600000000009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56.227700000000006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55.681800000000003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55.135900000000007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54.59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54.0441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53.498200000000004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52.952300000000001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52.406399999999998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51.860500000000002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51.314599999999999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50.768700000000003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50.222800000000007</v>
      </c>
    </row>
    <row r="44" spans="1:32" x14ac:dyDescent="0.25">
      <c r="N44" s="4"/>
      <c r="O44" s="81">
        <v>0.91</v>
      </c>
      <c r="P44" s="81">
        <f t="shared" si="0"/>
        <v>49.676900000000003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49.131000000000007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7" priority="137">
      <formula>F30&gt;0</formula>
    </cfRule>
    <cfRule type="expression" dxfId="886" priority="138">
      <formula>F30&lt;0</formula>
    </cfRule>
  </conditionalFormatting>
  <conditionalFormatting sqref="H47:H58">
    <cfRule type="expression" dxfId="885" priority="129">
      <formula>H47&gt;0</formula>
    </cfRule>
    <cfRule type="expression" dxfId="884" priority="130">
      <formula>H47&lt;0</formula>
    </cfRule>
  </conditionalFormatting>
  <conditionalFormatting sqref="H59">
    <cfRule type="expression" dxfId="883" priority="119">
      <formula>H59&gt;0</formula>
    </cfRule>
    <cfRule type="expression" dxfId="882" priority="120">
      <formula>H59&lt;0</formula>
    </cfRule>
  </conditionalFormatting>
  <conditionalFormatting sqref="H60">
    <cfRule type="expression" dxfId="881" priority="115">
      <formula>H60&gt;0</formula>
    </cfRule>
    <cfRule type="expression" dxfId="880" priority="116">
      <formula>H60&lt;0</formula>
    </cfRule>
  </conditionalFormatting>
  <conditionalFormatting sqref="H61:H66">
    <cfRule type="expression" dxfId="879" priority="111">
      <formula>H61&gt;0</formula>
    </cfRule>
    <cfRule type="expression" dxfId="878" priority="112">
      <formula>H61&lt;0</formula>
    </cfRule>
  </conditionalFormatting>
  <conditionalFormatting sqref="Q8">
    <cfRule type="expression" dxfId="877" priority="95">
      <formula>Q8&gt;0</formula>
    </cfRule>
    <cfRule type="expression" dxfId="876" priority="96">
      <formula>Q8&lt;0</formula>
    </cfRule>
  </conditionalFormatting>
  <conditionalFormatting sqref="Q7">
    <cfRule type="expression" dxfId="875" priority="97">
      <formula>Q7&gt;0</formula>
    </cfRule>
    <cfRule type="expression" dxfId="874" priority="98">
      <formula>Q7&lt;0</formula>
    </cfRule>
  </conditionalFormatting>
  <conditionalFormatting sqref="F178 H178">
    <cfRule type="expression" dxfId="873" priority="93">
      <formula>F178&gt;0</formula>
    </cfRule>
    <cfRule type="expression" dxfId="872" priority="94">
      <formula>F178&lt;0</formula>
    </cfRule>
  </conditionalFormatting>
  <conditionalFormatting sqref="Q10">
    <cfRule type="expression" dxfId="871" priority="87">
      <formula>Q10&gt;0</formula>
    </cfRule>
    <cfRule type="expression" dxfId="870" priority="88">
      <formula>Q10&lt;0</formula>
    </cfRule>
  </conditionalFormatting>
  <conditionalFormatting sqref="Q9">
    <cfRule type="expression" dxfId="869" priority="81">
      <formula>Q9&gt;0</formula>
    </cfRule>
    <cfRule type="expression" dxfId="868" priority="82">
      <formula>Q9&lt;0</formula>
    </cfRule>
  </conditionalFormatting>
  <conditionalFormatting sqref="F201:F248">
    <cfRule type="expression" dxfId="867" priority="41">
      <formula>F201&gt;0</formula>
    </cfRule>
    <cfRule type="expression" dxfId="866" priority="42">
      <formula>F201&lt;0</formula>
    </cfRule>
  </conditionalFormatting>
  <conditionalFormatting sqref="H201:H248">
    <cfRule type="expression" dxfId="865" priority="39">
      <formula>H201&gt;0</formula>
    </cfRule>
    <cfRule type="expression" dxfId="864" priority="40">
      <formula>H201&lt;0</formula>
    </cfRule>
  </conditionalFormatting>
  <conditionalFormatting sqref="J208">
    <cfRule type="expression" dxfId="863" priority="37">
      <formula>J208&gt;0</formula>
    </cfRule>
    <cfRule type="expression" dxfId="862" priority="38">
      <formula>J208&lt;0</formula>
    </cfRule>
  </conditionalFormatting>
  <conditionalFormatting sqref="J214:J215">
    <cfRule type="expression" dxfId="861" priority="35">
      <formula>J214&gt;0</formula>
    </cfRule>
    <cfRule type="expression" dxfId="860" priority="36">
      <formula>J214&lt;0</formula>
    </cfRule>
  </conditionalFormatting>
  <conditionalFormatting sqref="J216">
    <cfRule type="expression" dxfId="859" priority="33">
      <formula>J216&gt;0</formula>
    </cfRule>
    <cfRule type="expression" dxfId="858" priority="34">
      <formula>J216&lt;0</formula>
    </cfRule>
  </conditionalFormatting>
  <conditionalFormatting sqref="J217:J219 J221:J224">
    <cfRule type="expression" dxfId="857" priority="31">
      <formula>J217&gt;0</formula>
    </cfRule>
    <cfRule type="expression" dxfId="856" priority="32">
      <formula>J217&lt;0</formula>
    </cfRule>
  </conditionalFormatting>
  <conditionalFormatting sqref="K208">
    <cfRule type="expression" dxfId="855" priority="29">
      <formula>K208&gt;0</formula>
    </cfRule>
    <cfRule type="expression" dxfId="854" priority="30">
      <formula>K208&lt;0</formula>
    </cfRule>
  </conditionalFormatting>
  <conditionalFormatting sqref="K214:K215">
    <cfRule type="expression" dxfId="853" priority="27">
      <formula>K214&gt;0</formula>
    </cfRule>
    <cfRule type="expression" dxfId="852" priority="28">
      <formula>K214&lt;0</formula>
    </cfRule>
  </conditionalFormatting>
  <conditionalFormatting sqref="K216">
    <cfRule type="expression" dxfId="851" priority="25">
      <formula>K216&gt;0</formula>
    </cfRule>
    <cfRule type="expression" dxfId="850" priority="26">
      <formula>K216&lt;0</formula>
    </cfRule>
  </conditionalFormatting>
  <conditionalFormatting sqref="K217:K224">
    <cfRule type="expression" dxfId="849" priority="23">
      <formula>K217&gt;0</formula>
    </cfRule>
    <cfRule type="expression" dxfId="848" priority="24">
      <formula>K217&lt;0</formula>
    </cfRule>
  </conditionalFormatting>
  <conditionalFormatting sqref="L208">
    <cfRule type="expression" dxfId="847" priority="21">
      <formula>L208&gt;0</formula>
    </cfRule>
    <cfRule type="expression" dxfId="846" priority="22">
      <formula>L208&lt;0</formula>
    </cfRule>
  </conditionalFormatting>
  <conditionalFormatting sqref="L214:L215">
    <cfRule type="expression" dxfId="845" priority="19">
      <formula>L214&gt;0</formula>
    </cfRule>
    <cfRule type="expression" dxfId="844" priority="20">
      <formula>L214&lt;0</formula>
    </cfRule>
  </conditionalFormatting>
  <conditionalFormatting sqref="L216">
    <cfRule type="expression" dxfId="843" priority="17">
      <formula>L216&gt;0</formula>
    </cfRule>
    <cfRule type="expression" dxfId="842" priority="18">
      <formula>L216&lt;0</formula>
    </cfRule>
  </conditionalFormatting>
  <conditionalFormatting sqref="L217:L224">
    <cfRule type="expression" dxfId="841" priority="15">
      <formula>L217&gt;0</formula>
    </cfRule>
    <cfRule type="expression" dxfId="840" priority="16">
      <formula>L217&lt;0</formula>
    </cfRule>
  </conditionalFormatting>
  <conditionalFormatting sqref="K225">
    <cfRule type="expression" dxfId="839" priority="13">
      <formula>K225&gt;0</formula>
    </cfRule>
    <cfRule type="expression" dxfId="838" priority="14">
      <formula>K225&lt;0</formula>
    </cfRule>
  </conditionalFormatting>
  <conditionalFormatting sqref="L225:L232">
    <cfRule type="expression" dxfId="837" priority="11">
      <formula>L225&gt;0</formula>
    </cfRule>
    <cfRule type="expression" dxfId="836" priority="12">
      <formula>L225&lt;0</formula>
    </cfRule>
  </conditionalFormatting>
  <conditionalFormatting sqref="K226">
    <cfRule type="expression" dxfId="835" priority="9">
      <formula>K226&gt;0</formula>
    </cfRule>
    <cfRule type="expression" dxfId="834" priority="10">
      <formula>K226&lt;0</formula>
    </cfRule>
  </conditionalFormatting>
  <conditionalFormatting sqref="K227">
    <cfRule type="expression" dxfId="833" priority="7">
      <formula>K227&gt;0</formula>
    </cfRule>
    <cfRule type="expression" dxfId="832" priority="8">
      <formula>K227&lt;0</formula>
    </cfRule>
  </conditionalFormatting>
  <conditionalFormatting sqref="K228:K248">
    <cfRule type="expression" dxfId="831" priority="5">
      <formula>K228&gt;0</formula>
    </cfRule>
    <cfRule type="expression" dxfId="830" priority="6">
      <formula>K228&lt;0</formula>
    </cfRule>
  </conditionalFormatting>
  <conditionalFormatting sqref="L233:L237">
    <cfRule type="expression" dxfId="829" priority="3">
      <formula>L233&gt;0</formula>
    </cfRule>
    <cfRule type="expression" dxfId="828" priority="4">
      <formula>L233&lt;0</formula>
    </cfRule>
  </conditionalFormatting>
  <conditionalFormatting sqref="L238:L243">
    <cfRule type="expression" dxfId="827" priority="1">
      <formula>L238&gt;0</formula>
    </cfRule>
    <cfRule type="expression" dxfId="82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53.2</v>
      </c>
      <c r="R4" s="490">
        <v>3.0000000000000001E-3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58.52000000000001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57.988000000000007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57.45600000000001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56.924000000000007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56.392000000000003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55.860000000000007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55.328000000000003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54.796000000000006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54.264000000000003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53.732000000000006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53.2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52.667999999999999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52.136000000000003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51.603999999999999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51.072000000000003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50.008000000000003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49.476000000000006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48.944000000000003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48.412000000000006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5" priority="11">
      <formula>F27&gt;0</formula>
    </cfRule>
    <cfRule type="expression" dxfId="824" priority="12">
      <formula>F27&lt;0</formula>
    </cfRule>
  </conditionalFormatting>
  <conditionalFormatting sqref="H27:H29">
    <cfRule type="expression" dxfId="823" priority="9">
      <formula>H27&gt;0</formula>
    </cfRule>
    <cfRule type="expression" dxfId="822" priority="10">
      <formula>H27&lt;0</formula>
    </cfRule>
  </conditionalFormatting>
  <conditionalFormatting sqref="F23:F26">
    <cfRule type="expression" dxfId="821" priority="7">
      <formula>F23&gt;0</formula>
    </cfRule>
    <cfRule type="expression" dxfId="820" priority="8">
      <formula>F23&lt;0</formula>
    </cfRule>
  </conditionalFormatting>
  <conditionalFormatting sqref="H23:H26">
    <cfRule type="expression" dxfId="819" priority="5">
      <formula>H23&gt;0</formula>
    </cfRule>
    <cfRule type="expression" dxfId="818" priority="6">
      <formula>H23&lt;0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49.67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49.67</v>
      </c>
      <c r="R4" s="490">
        <v>-2.0500000000000001E-2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54.637000000000008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54.140300000000003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53.643600000000006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53.146900000000002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52.650200000000005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52.153500000000001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51.656800000000004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51.1601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50.663400000000003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50.166699999999999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49.67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49.173300000000005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48.676600000000001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48.179900000000004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47.683199999999999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47.186500000000002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46.689799999999998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46.193100000000001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45.696400000000004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45.1997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44.703000000000003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3" priority="7">
      <formula>F21&gt;0</formula>
    </cfRule>
    <cfRule type="expression" dxfId="812" priority="8">
      <formula>F21&lt;0</formula>
    </cfRule>
  </conditionalFormatting>
  <conditionalFormatting sqref="F22">
    <cfRule type="expression" dxfId="811" priority="5">
      <formula>F22&gt;0</formula>
    </cfRule>
    <cfRule type="expression" dxfId="810" priority="6">
      <formula>F22&lt;0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63.77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63.77</v>
      </c>
      <c r="R4" s="475">
        <v>2.3800000000000002E-2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70.147000000000006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69.50930000000001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68.871600000000001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68.233900000000006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67.59620000000001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66.958500000000001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66.320800000000006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65.68310000000001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65.045400000000001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64.407700000000006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63.77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63.132300000000001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62.494600000000005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61.856900000000003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60.581499999999998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59.943800000000003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59.306100000000008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58.668400000000005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58.030700000000003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57.393000000000001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5" priority="17">
      <formula>F38&gt;0</formula>
    </cfRule>
    <cfRule type="expression" dxfId="804" priority="18">
      <formula>F38&lt;0</formula>
    </cfRule>
  </conditionalFormatting>
  <conditionalFormatting sqref="H38:H72">
    <cfRule type="expression" dxfId="803" priority="9">
      <formula>H38&gt;0</formula>
    </cfRule>
    <cfRule type="expression" dxfId="802" priority="10">
      <formula>H38&lt;0</formula>
    </cfRule>
  </conditionalFormatting>
  <conditionalFormatting sqref="F21:F37">
    <cfRule type="expression" dxfId="801" priority="7">
      <formula>F21&gt;0</formula>
    </cfRule>
    <cfRule type="expression" dxfId="800" priority="8">
      <formula>F21&lt;0</formula>
    </cfRule>
  </conditionalFormatting>
  <conditionalFormatting sqref="H21:H37">
    <cfRule type="expression" dxfId="799" priority="5">
      <formula>H21&gt;0</formula>
    </cfRule>
    <cfRule type="expression" dxfId="798" priority="6">
      <formula>H21&lt;0</formula>
    </cfRule>
  </conditionalFormatting>
  <conditionalFormatting sqref="Q8">
    <cfRule type="expression" dxfId="797" priority="1">
      <formula>Q8&gt;0</formula>
    </cfRule>
    <cfRule type="expression" dxfId="796" priority="2">
      <formula>Q8&lt;0</formula>
    </cfRule>
  </conditionalFormatting>
  <conditionalFormatting sqref="Q7">
    <cfRule type="expression" dxfId="795" priority="3">
      <formula>Q7&gt;0</formula>
    </cfRule>
    <cfRule type="expression" dxfId="7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141.26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141.26</v>
      </c>
      <c r="R4" s="490">
        <v>0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155.386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153.9734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152.5608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151.1482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149.73560000000001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148.32300000000001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146.91039999999998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145.49779999999998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144.08519999999999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142.67259999999999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141.26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139.84739999999999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138.4348</v>
      </c>
      <c r="Q59" s="81"/>
      <c r="R59"/>
    </row>
    <row r="60" spans="1:21" x14ac:dyDescent="0.25">
      <c r="O60" s="81">
        <v>0.97</v>
      </c>
      <c r="P60" s="81">
        <f t="shared" si="1"/>
        <v>137.0222</v>
      </c>
      <c r="Q60" s="81"/>
      <c r="R60"/>
    </row>
    <row r="61" spans="1:21" x14ac:dyDescent="0.25">
      <c r="O61" s="81">
        <v>0.96</v>
      </c>
      <c r="P61" s="81">
        <f t="shared" si="1"/>
        <v>135.6096</v>
      </c>
      <c r="Q61" s="81"/>
      <c r="R61"/>
    </row>
    <row r="62" spans="1:21" x14ac:dyDescent="0.25">
      <c r="O62" s="81">
        <v>0.95</v>
      </c>
      <c r="P62" s="81">
        <f t="shared" si="1"/>
        <v>134.19699999999997</v>
      </c>
      <c r="Q62" s="81"/>
      <c r="R62"/>
    </row>
    <row r="63" spans="1:21" x14ac:dyDescent="0.25">
      <c r="O63" s="81">
        <v>0.94</v>
      </c>
      <c r="P63" s="81">
        <f t="shared" si="1"/>
        <v>132.78439999999998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131.37180000000001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129.95920000000001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128.54659999999998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127.134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3" priority="11">
      <formula>F24&gt;0</formula>
    </cfRule>
    <cfRule type="expression" dxfId="792" priority="12">
      <formula>F24&lt;0</formula>
    </cfRule>
  </conditionalFormatting>
  <conditionalFormatting sqref="H27:H30">
    <cfRule type="expression" dxfId="791" priority="9">
      <formula>H27&gt;0</formula>
    </cfRule>
    <cfRule type="expression" dxfId="790" priority="10">
      <formula>H27&lt;0</formula>
    </cfRule>
  </conditionalFormatting>
  <conditionalFormatting sqref="F25">
    <cfRule type="expression" dxfId="789" priority="7">
      <formula>F25&gt;0</formula>
    </cfRule>
    <cfRule type="expression" dxfId="788" priority="8">
      <formula>F25&lt;0</formula>
    </cfRule>
  </conditionalFormatting>
  <conditionalFormatting sqref="H24:H26">
    <cfRule type="expression" dxfId="787" priority="5">
      <formula>H24&gt;0</formula>
    </cfRule>
    <cfRule type="expression" dxfId="786" priority="6">
      <formula>H24&lt;0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49.48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49.48</v>
      </c>
      <c r="R4" s="491">
        <v>1.46E-2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54.428000000000004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53.933199999999999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53.438400000000001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52.943599999999996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52.448799999999999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51.954000000000001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51.459199999999996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50.964399999999998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50.4696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49.974799999999995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49.48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48.985199999999999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48.490399999999994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47.995599999999996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47.500799999999998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47.005999999999993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46.511199999999995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46.016399999999997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45.521599999999999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45.026800000000001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44.531999999999996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1" priority="17">
      <formula>F28&gt;0</formula>
    </cfRule>
    <cfRule type="expression" dxfId="780" priority="18">
      <formula>F28&lt;0</formula>
    </cfRule>
  </conditionalFormatting>
  <conditionalFormatting sqref="F28 F33:F35">
    <cfRule type="expression" dxfId="779" priority="19">
      <formula>F28&gt;0</formula>
    </cfRule>
    <cfRule type="expression" dxfId="778" priority="20">
      <formula>F28&lt;0</formula>
    </cfRule>
  </conditionalFormatting>
  <conditionalFormatting sqref="H28 H33:H35">
    <cfRule type="expression" dxfId="777" priority="15">
      <formula>H28&gt;0</formula>
    </cfRule>
    <cfRule type="expression" dxfId="776" priority="16">
      <formula>H28&lt;0</formula>
    </cfRule>
  </conditionalFormatting>
  <conditionalFormatting sqref="F21:F27">
    <cfRule type="expression" dxfId="775" priority="13">
      <formula>F21&gt;0</formula>
    </cfRule>
    <cfRule type="expression" dxfId="774" priority="14">
      <formula>F21&lt;0</formula>
    </cfRule>
  </conditionalFormatting>
  <conditionalFormatting sqref="H21:H27">
    <cfRule type="expression" dxfId="773" priority="11">
      <formula>H21&gt;0</formula>
    </cfRule>
    <cfRule type="expression" dxfId="772" priority="12">
      <formula>H21&lt;0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Q7">
    <cfRule type="expression" dxfId="769" priority="9">
      <formula>Q7&gt;0</formula>
    </cfRule>
    <cfRule type="expression" dxfId="768" priority="10">
      <formula>Q7&lt;0</formula>
    </cfRule>
  </conditionalFormatting>
  <conditionalFormatting sqref="F29:F32">
    <cfRule type="expression" dxfId="767" priority="5">
      <formula>F29&gt;0</formula>
    </cfRule>
    <cfRule type="expression" dxfId="766" priority="6">
      <formula>F29&lt;0</formula>
    </cfRule>
  </conditionalFormatting>
  <conditionalFormatting sqref="H29:H32">
    <cfRule type="expression" dxfId="765" priority="3">
      <formula>H29&gt;0</formula>
    </cfRule>
    <cfRule type="expression" dxfId="764" priority="4">
      <formula>H29&lt;0</formula>
    </cfRule>
  </conditionalFormatting>
  <conditionalFormatting sqref="M37">
    <cfRule type="expression" dxfId="763" priority="1">
      <formula>M37&gt;0</formula>
    </cfRule>
    <cfRule type="expression" dxfId="7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8" si="1">H2*I2-J2</f>
        <v>6567.35</v>
      </c>
      <c r="L2" s="1">
        <v>43220</v>
      </c>
      <c r="M2" s="43">
        <v>54.84</v>
      </c>
      <c r="O2" s="11" t="s">
        <v>57</v>
      </c>
      <c r="Q2">
        <f>C18-H18</f>
        <v>35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247.96200000000005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271.27999999999997</v>
      </c>
      <c r="R4" s="475">
        <v>5.7000000000000002E-3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9494.7999999999993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8678.6700000000019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0">
        <f>Q10+Q8</f>
        <v>976.95999999999731</v>
      </c>
      <c r="R7">
        <v>35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816.12999999999738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9.4038602689121398E-2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100</v>
      </c>
      <c r="I18" s="18"/>
      <c r="J18" s="18"/>
      <c r="K18" s="18">
        <f>SUM(K2:K8)</f>
        <v>26648.54</v>
      </c>
      <c r="L18" s="18"/>
      <c r="M18" s="18">
        <f>SUM(M2:M6)</f>
        <v>54.84</v>
      </c>
      <c r="P18" s="81">
        <v>1.1000000000000001</v>
      </c>
      <c r="Q18" s="81">
        <f>P18*$Q$4</f>
        <v>298.40800000000002</v>
      </c>
      <c r="R18" s="81"/>
    </row>
    <row r="19" spans="1:30" x14ac:dyDescent="0.25">
      <c r="P19" s="81">
        <v>1.0900000000000001</v>
      </c>
      <c r="Q19" s="81">
        <f t="shared" ref="Q19:Q38" si="3">P19*$Q$4</f>
        <v>295.6952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292.98239999999998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290.26959999999997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287.55680000000001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284.84399999999999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282.13119999999998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279.41839999999996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276.7056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273.99279999999999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271.27999999999997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268.56719999999996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265.85439999999994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263.14159999999998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260.42879999999997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257.71599999999995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255.00319999999996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252.29039999999998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249.57759999999999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246.86479999999997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:F39" si="13">C38*(E38-D38)</f>
        <v>792.00000000000159</v>
      </c>
      <c r="G38" s="39">
        <f t="shared" ref="G38:G39" si="14">D38*C38</f>
        <v>12819.999999999998</v>
      </c>
      <c r="H38" s="222">
        <f t="shared" ref="H38:H39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244.15199999999999</v>
      </c>
    </row>
    <row r="39" spans="1:18" x14ac:dyDescent="0.25">
      <c r="A39">
        <v>35</v>
      </c>
      <c r="B39" s="184">
        <v>43271</v>
      </c>
      <c r="C39" s="10">
        <v>35</v>
      </c>
      <c r="D39" s="39">
        <v>247.96199999999999</v>
      </c>
      <c r="E39" s="39">
        <v>275.97000000000003</v>
      </c>
      <c r="F39" s="39">
        <f t="shared" si="13"/>
        <v>980.28000000000134</v>
      </c>
      <c r="G39" s="39">
        <f t="shared" si="14"/>
        <v>8678.67</v>
      </c>
      <c r="H39" s="222">
        <f t="shared" si="15"/>
        <v>0.11295279115348335</v>
      </c>
      <c r="I39" s="39"/>
      <c r="J39" s="39">
        <v>1141</v>
      </c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3" t="s">
        <v>113</v>
      </c>
      <c r="C66" s="773" t="s">
        <v>146</v>
      </c>
      <c r="D66" s="774" t="s">
        <v>145</v>
      </c>
      <c r="E66" s="775" t="s">
        <v>147</v>
      </c>
      <c r="F66" s="775" t="s">
        <v>65</v>
      </c>
      <c r="G66" s="776" t="s">
        <v>151</v>
      </c>
      <c r="H66" s="776" t="s">
        <v>88</v>
      </c>
      <c r="I66" s="776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61" priority="45">
      <formula>F25&gt;0</formula>
    </cfRule>
    <cfRule type="expression" dxfId="760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59" priority="33">
      <formula>F21&gt;0</formula>
    </cfRule>
    <cfRule type="expression" dxfId="758" priority="34">
      <formula>F21&lt;0</formula>
    </cfRule>
  </conditionalFormatting>
  <conditionalFormatting sqref="H21:H24">
    <cfRule type="expression" dxfId="757" priority="31">
      <formula>H21&gt;0</formula>
    </cfRule>
    <cfRule type="expression" dxfId="756" priority="32">
      <formula>H21&lt;0</formula>
    </cfRule>
  </conditionalFormatting>
  <conditionalFormatting sqref="Q8">
    <cfRule type="expression" dxfId="755" priority="27">
      <formula>Q8&gt;0</formula>
    </cfRule>
    <cfRule type="expression" dxfId="754" priority="28">
      <formula>Q8&lt;0</formula>
    </cfRule>
  </conditionalFormatting>
  <conditionalFormatting sqref="Q7">
    <cfRule type="expression" dxfId="753" priority="29">
      <formula>Q7&gt;0</formula>
    </cfRule>
    <cfRule type="expression" dxfId="752" priority="30">
      <formula>Q7&lt;0</formula>
    </cfRule>
  </conditionalFormatting>
  <conditionalFormatting sqref="F71:F73">
    <cfRule type="expression" dxfId="751" priority="25">
      <formula>F71&gt;0</formula>
    </cfRule>
    <cfRule type="expression" dxfId="750" priority="26">
      <formula>F71&lt;0</formula>
    </cfRule>
  </conditionalFormatting>
  <conditionalFormatting sqref="F74:F81">
    <cfRule type="expression" dxfId="749" priority="21">
      <formula>F74&gt;0</formula>
    </cfRule>
    <cfRule type="expression" dxfId="748" priority="22">
      <formula>F74&lt;0</formula>
    </cfRule>
  </conditionalFormatting>
  <conditionalFormatting sqref="F74:F81">
    <cfRule type="expression" dxfId="747" priority="23">
      <formula>F74&gt;0</formula>
    </cfRule>
    <cfRule type="expression" dxfId="746" priority="24">
      <formula>F74&lt;0</formula>
    </cfRule>
  </conditionalFormatting>
  <conditionalFormatting sqref="H71:H81">
    <cfRule type="expression" dxfId="745" priority="19">
      <formula>H71&gt;0</formula>
    </cfRule>
    <cfRule type="expression" dxfId="744" priority="20">
      <formula>H71&lt;0</formula>
    </cfRule>
  </conditionalFormatting>
  <conditionalFormatting sqref="F67:F70">
    <cfRule type="expression" dxfId="743" priority="17">
      <formula>F67&gt;0</formula>
    </cfRule>
    <cfRule type="expression" dxfId="742" priority="18">
      <formula>F67&lt;0</formula>
    </cfRule>
  </conditionalFormatting>
  <conditionalFormatting sqref="H67:H70">
    <cfRule type="expression" dxfId="741" priority="15">
      <formula>H67&gt;0</formula>
    </cfRule>
    <cfRule type="expression" dxfId="740" priority="16">
      <formula>H67&lt;0</formula>
    </cfRule>
  </conditionalFormatting>
  <conditionalFormatting sqref="Q10">
    <cfRule type="expression" dxfId="739" priority="13">
      <formula>Q10&gt;0</formula>
    </cfRule>
    <cfRule type="expression" dxfId="738" priority="14">
      <formula>Q10&lt;0</formula>
    </cfRule>
  </conditionalFormatting>
  <conditionalFormatting sqref="H42 F42">
    <cfRule type="expression" dxfId="737" priority="9">
      <formula>F42&gt;0</formula>
    </cfRule>
    <cfRule type="expression" dxfId="736" priority="10">
      <formula>F42&lt;0</formula>
    </cfRule>
  </conditionalFormatting>
  <conditionalFormatting sqref="H36:H38 F36:F38">
    <cfRule type="expression" dxfId="735" priority="7">
      <formula>F36&gt;0</formula>
    </cfRule>
    <cfRule type="expression" dxfId="734" priority="8">
      <formula>F36&lt;0</formula>
    </cfRule>
  </conditionalFormatting>
  <conditionalFormatting sqref="H34:H35 F34:F35">
    <cfRule type="expression" dxfId="733" priority="5">
      <formula>F34&gt;0</formula>
    </cfRule>
    <cfRule type="expression" dxfId="732" priority="6">
      <formula>F34&lt;0</formula>
    </cfRule>
  </conditionalFormatting>
  <conditionalFormatting sqref="H40:H41 F40:F41 J39:J40">
    <cfRule type="expression" dxfId="731" priority="3">
      <formula>F39&gt;0</formula>
    </cfRule>
    <cfRule type="expression" dxfId="730" priority="4">
      <formula>F39&lt;0</formula>
    </cfRule>
  </conditionalFormatting>
  <conditionalFormatting sqref="H39 F39">
    <cfRule type="expression" dxfId="729" priority="1">
      <formula>F39&gt;0</formula>
    </cfRule>
    <cfRule type="expression" dxfId="728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97.8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97.8</v>
      </c>
      <c r="R4" s="475">
        <v>4.3E-3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107.58000000000001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106.602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105.62400000000001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104.646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103.66800000000001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102.69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101.712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100.73399999999999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99.756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98.777999999999992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97.8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96.822000000000003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95.843999999999994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94.866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93.887999999999991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92.91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91.931999999999988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90.954000000000008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89.975999999999999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88.998000000000005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88.02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7" priority="29">
      <formula>F40&gt;0</formula>
    </cfRule>
    <cfRule type="expression" dxfId="726" priority="30">
      <formula>F40&lt;0</formula>
    </cfRule>
  </conditionalFormatting>
  <conditionalFormatting sqref="F40:F45">
    <cfRule type="expression" dxfId="725" priority="31">
      <formula>F40&gt;0</formula>
    </cfRule>
    <cfRule type="expression" dxfId="724" priority="32">
      <formula>F40&lt;0</formula>
    </cfRule>
  </conditionalFormatting>
  <conditionalFormatting sqref="H40:H45">
    <cfRule type="expression" dxfId="723" priority="27">
      <formula>H40&gt;0</formula>
    </cfRule>
    <cfRule type="expression" dxfId="722" priority="28">
      <formula>H40&lt;0</formula>
    </cfRule>
  </conditionalFormatting>
  <conditionalFormatting sqref="F23:F39">
    <cfRule type="expression" dxfId="721" priority="13">
      <formula>F23&gt;0</formula>
    </cfRule>
    <cfRule type="expression" dxfId="720" priority="14">
      <formula>F23&lt;0</formula>
    </cfRule>
  </conditionalFormatting>
  <conditionalFormatting sqref="H23:H39">
    <cfRule type="expression" dxfId="719" priority="11">
      <formula>H23&gt;0</formula>
    </cfRule>
    <cfRule type="expression" dxfId="718" priority="12">
      <formula>H23&lt;0</formula>
    </cfRule>
  </conditionalFormatting>
  <conditionalFormatting sqref="Q7">
    <cfRule type="expression" dxfId="717" priority="9">
      <formula>Q7&gt;0</formula>
    </cfRule>
    <cfRule type="expression" dxfId="716" priority="10">
      <formula>Q7&lt;0</formula>
    </cfRule>
  </conditionalFormatting>
  <conditionalFormatting sqref="Q8">
    <cfRule type="expression" dxfId="715" priority="7">
      <formula>Q8&gt;0</formula>
    </cfRule>
    <cfRule type="expression" dxfId="714" priority="8">
      <formula>Q8&lt;0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80.58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80.58</v>
      </c>
      <c r="R4" s="475">
        <v>1.83E-2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88.638000000000005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87.8322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87.02640000000001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86.220600000000005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85.4148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84.609000000000009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83.803200000000004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82.997399999999999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82.191599999999994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81.385800000000003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80.58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79.774199999999993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78.968400000000003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78.162599999999998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77.356799999999993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76.550999999999988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75.745199999999997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74.939400000000006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74.133600000000001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73.327799999999996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72.522000000000006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1" priority="39">
      <formula>Q12&gt;0</formula>
    </cfRule>
    <cfRule type="expression" dxfId="71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9" priority="33">
      <formula>F25&gt;0</formula>
    </cfRule>
    <cfRule type="expression" dxfId="708" priority="34">
      <formula>F25&lt;0</formula>
    </cfRule>
  </conditionalFormatting>
  <conditionalFormatting sqref="F30">
    <cfRule type="expression" dxfId="707" priority="31">
      <formula>F30&gt;0</formula>
    </cfRule>
    <cfRule type="expression" dxfId="706" priority="32">
      <formula>F30&lt;0</formula>
    </cfRule>
  </conditionalFormatting>
  <conditionalFormatting sqref="F31">
    <cfRule type="expression" dxfId="705" priority="29">
      <formula>F31&gt;0</formula>
    </cfRule>
    <cfRule type="expression" dxfId="704" priority="30">
      <formula>F31&lt;0</formula>
    </cfRule>
  </conditionalFormatting>
  <conditionalFormatting sqref="F32:F34">
    <cfRule type="expression" dxfId="703" priority="27">
      <formula>F32&gt;0</formula>
    </cfRule>
    <cfRule type="expression" dxfId="702" priority="28">
      <formula>F32&lt;0</formula>
    </cfRule>
  </conditionalFormatting>
  <conditionalFormatting sqref="H25:H29">
    <cfRule type="expression" dxfId="701" priority="25">
      <formula>H25&gt;0</formula>
    </cfRule>
    <cfRule type="expression" dxfId="700" priority="26">
      <formula>H25&lt;0</formula>
    </cfRule>
  </conditionalFormatting>
  <conditionalFormatting sqref="H30">
    <cfRule type="expression" dxfId="699" priority="23">
      <formula>H30&gt;0</formula>
    </cfRule>
    <cfRule type="expression" dxfId="698" priority="24">
      <formula>H30&lt;0</formula>
    </cfRule>
  </conditionalFormatting>
  <conditionalFormatting sqref="H31">
    <cfRule type="expression" dxfId="697" priority="21">
      <formula>H31&gt;0</formula>
    </cfRule>
    <cfRule type="expression" dxfId="696" priority="22">
      <formula>H31&lt;0</formula>
    </cfRule>
  </conditionalFormatting>
  <conditionalFormatting sqref="H32:H34">
    <cfRule type="expression" dxfId="695" priority="19">
      <formula>H32&gt;0</formula>
    </cfRule>
    <cfRule type="expression" dxfId="694" priority="20">
      <formula>H32&lt;0</formula>
    </cfRule>
  </conditionalFormatting>
  <conditionalFormatting sqref="F35">
    <cfRule type="expression" dxfId="693" priority="17">
      <formula>F35&gt;0</formula>
    </cfRule>
    <cfRule type="expression" dxfId="692" priority="18">
      <formula>F35&lt;0</formula>
    </cfRule>
  </conditionalFormatting>
  <conditionalFormatting sqref="H35">
    <cfRule type="expression" dxfId="691" priority="15">
      <formula>H35&gt;0</formula>
    </cfRule>
    <cfRule type="expression" dxfId="690" priority="16">
      <formula>H35&lt;0</formula>
    </cfRule>
  </conditionalFormatting>
  <conditionalFormatting sqref="F36">
    <cfRule type="expression" dxfId="689" priority="13">
      <formula>F36&gt;0</formula>
    </cfRule>
    <cfRule type="expression" dxfId="688" priority="14">
      <formula>F36&lt;0</formula>
    </cfRule>
  </conditionalFormatting>
  <conditionalFormatting sqref="H36">
    <cfRule type="expression" dxfId="687" priority="11">
      <formula>H36&gt;0</formula>
    </cfRule>
    <cfRule type="expression" dxfId="686" priority="12">
      <formula>H36&lt;0</formula>
    </cfRule>
  </conditionalFormatting>
  <conditionalFormatting sqref="H23:H24">
    <cfRule type="expression" dxfId="685" priority="5">
      <formula>H23&gt;0</formula>
    </cfRule>
    <cfRule type="expression" dxfId="684" priority="6">
      <formula>H23&lt;0</formula>
    </cfRule>
  </conditionalFormatting>
  <conditionalFormatting sqref="F23:F24">
    <cfRule type="expression" dxfId="683" priority="7">
      <formula>F23&gt;0</formula>
    </cfRule>
    <cfRule type="expression" dxfId="682" priority="8">
      <formula>F23&lt;0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6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48.821083333333384</v>
      </c>
      <c r="T3" s="118"/>
      <c r="W3" s="2"/>
      <c r="X3" s="134"/>
      <c r="AG3" s="225"/>
    </row>
    <row r="4" spans="1:33" x14ac:dyDescent="0.25">
      <c r="B4" s="434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55.44</v>
      </c>
      <c r="R4" s="475">
        <v>6.6E-3</v>
      </c>
      <c r="T4" s="816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>H5*I5-J5</f>
        <v>2729.96</v>
      </c>
      <c r="L5" s="4"/>
      <c r="M5" s="4"/>
      <c r="O5" s="11" t="s">
        <v>67</v>
      </c>
      <c r="Q5" s="3">
        <f>Q4*Q2</f>
        <v>6652.7999999999993</v>
      </c>
      <c r="U5" t="s">
        <v>1004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>H6*I6-J6</f>
        <v>4432.7399999999989</v>
      </c>
      <c r="L6" s="4"/>
      <c r="M6" s="4"/>
      <c r="O6" s="11" t="s">
        <v>64</v>
      </c>
      <c r="Q6" s="2">
        <f>Q3*Q2</f>
        <v>5858.5300000000061</v>
      </c>
      <c r="W6" s="2"/>
      <c r="X6" s="134"/>
    </row>
    <row r="7" spans="1:33" x14ac:dyDescent="0.25">
      <c r="B7" s="72">
        <v>43237</v>
      </c>
      <c r="C7" s="7">
        <v>70</v>
      </c>
      <c r="D7" s="43">
        <v>54.05</v>
      </c>
      <c r="E7" s="43">
        <v>0</v>
      </c>
      <c r="F7" s="43">
        <f t="shared" ref="F7" si="1">C7*D7+E7</f>
        <v>3783.5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2398.8499999999949</v>
      </c>
      <c r="R7">
        <v>120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>C8*D8+E8</f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794.26999999999316</v>
      </c>
      <c r="W8" s="2"/>
      <c r="X8" s="134"/>
    </row>
    <row r="9" spans="1:33" x14ac:dyDescent="0.25">
      <c r="B9" s="72">
        <v>43249</v>
      </c>
      <c r="C9" s="7">
        <v>50</v>
      </c>
      <c r="D9" s="43">
        <v>53.08</v>
      </c>
      <c r="E9" s="43">
        <v>0</v>
      </c>
      <c r="F9" s="43">
        <f>C9*D9+E9</f>
        <v>2654</v>
      </c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0.13557496505095856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2.813852813852814E-2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12.265486725663717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60.984000000000002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330</v>
      </c>
      <c r="I18" s="18"/>
      <c r="J18" s="18"/>
      <c r="K18" s="18">
        <f>SUM(K2:K17)</f>
        <v>18265.869999999995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60.429600000000001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330</v>
      </c>
      <c r="D19" s="343"/>
      <c r="E19" s="343"/>
      <c r="F19" s="344">
        <f>SumByColor($A$19,F2:F17)</f>
        <v>17728</v>
      </c>
      <c r="G19" s="343"/>
      <c r="H19" s="343">
        <f>SumByColor($A$19,H2:H17)</f>
        <v>330</v>
      </c>
      <c r="I19" s="343"/>
      <c r="J19" s="343"/>
      <c r="K19" s="344">
        <f>SumByColor($A$19,K2:K17)</f>
        <v>18266</v>
      </c>
      <c r="L19" s="343"/>
      <c r="M19" s="344">
        <f>SumByColor($A$19,M2:M17)</f>
        <v>156</v>
      </c>
      <c r="P19" s="81">
        <v>1.08</v>
      </c>
      <c r="Q19" s="81">
        <f t="shared" si="2"/>
        <v>59.8752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59.320799999999998</v>
      </c>
      <c r="W20" s="2"/>
      <c r="X20" s="134"/>
    </row>
    <row r="21" spans="1:33" x14ac:dyDescent="0.25">
      <c r="P21" s="81">
        <v>1.06</v>
      </c>
      <c r="Q21" s="81">
        <f t="shared" si="2"/>
        <v>58.766399999999997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58.212000000000003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2"/>
        <v>57.657600000000002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3">C24*(E24-D24)</f>
        <v>71.999999999999886</v>
      </c>
      <c r="G24" s="39">
        <f t="shared" ref="G24" si="4">D24*C24</f>
        <v>2151.1999999999998</v>
      </c>
      <c r="H24" s="222">
        <f t="shared" ref="H24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57.103200000000001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6">C25*(E25-D25)</f>
        <v>14.796000000000049</v>
      </c>
      <c r="G25" s="39">
        <f t="shared" ref="G25" si="7">D25*C25</f>
        <v>6392.0039999999999</v>
      </c>
      <c r="H25" s="222">
        <f t="shared" ref="H25" si="8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56.5488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9">C26*(E26-D26)</f>
        <v>197.19599999999957</v>
      </c>
      <c r="G26" s="39">
        <f t="shared" ref="G26" si="10">D26*C26</f>
        <v>6392.0039999999999</v>
      </c>
      <c r="H26" s="222">
        <f t="shared" ref="H26" si="11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55.994399999999999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2">C27*(E27-D27)</f>
        <v>481.64800000000014</v>
      </c>
      <c r="G27" s="39">
        <f t="shared" ref="G27" si="13">D27*C27</f>
        <v>4100.7520000000004</v>
      </c>
      <c r="H27" s="222">
        <f t="shared" ref="H27" si="14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55.44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5">C28*(E28-D28)</f>
        <v>441.952</v>
      </c>
      <c r="G28" s="39">
        <f t="shared" ref="G28" si="16">D28*C28</f>
        <v>4054.0480000000002</v>
      </c>
      <c r="H28" s="222">
        <f t="shared" ref="H28" si="17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2"/>
        <v>54.885599999999997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8">C29*(E29-D29)</f>
        <v>909.1519999999997</v>
      </c>
      <c r="G29" s="39">
        <f t="shared" ref="G29" si="19">D29*C29</f>
        <v>4054.0480000000002</v>
      </c>
      <c r="H29" s="222">
        <f t="shared" ref="H29" si="20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2"/>
        <v>54.331199999999995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1">C30*(E30-D30)</f>
        <v>1056.3519999999999</v>
      </c>
      <c r="G30" s="39">
        <f t="shared" ref="G30" si="22">D30*C30</f>
        <v>4054.0480000000002</v>
      </c>
      <c r="H30" s="222">
        <f t="shared" ref="H30" si="23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53.776799999999994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4">C31*(E31-D31)</f>
        <v>613.15199999999913</v>
      </c>
      <c r="G31" s="39">
        <f t="shared" ref="G31" si="25">D31*C31</f>
        <v>6366.0480000000007</v>
      </c>
      <c r="H31" s="222">
        <f t="shared" ref="H31" si="26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53.222399999999993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7">C32*(E32-D32)</f>
        <v>322.79999999999973</v>
      </c>
      <c r="G32" s="39">
        <f t="shared" ref="G32" si="28">D32*C32</f>
        <v>6334.8</v>
      </c>
      <c r="H32" s="222">
        <f t="shared" ref="H32" si="29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2"/>
        <v>52.667999999999992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30">C33*(E33-D33)</f>
        <v>-21.999999999999886</v>
      </c>
      <c r="G33" s="39">
        <f t="shared" ref="G33" si="31">D33*C33</f>
        <v>10574</v>
      </c>
      <c r="H33" s="222">
        <f t="shared" ref="H33" si="32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52.113599999999998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3">C34*(E34-D34)</f>
        <v>-116.85999999999979</v>
      </c>
      <c r="G34" s="39">
        <f t="shared" ref="G34" si="34">D34*C34</f>
        <v>10574.859999999999</v>
      </c>
      <c r="H34" s="222">
        <f t="shared" ref="H34" si="35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51.559200000000004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6">C35*(E35-D35)</f>
        <v>-354.85999999999933</v>
      </c>
      <c r="G35" s="39">
        <f t="shared" ref="G35" si="37">D35*C35</f>
        <v>10574.859999999999</v>
      </c>
      <c r="H35" s="222">
        <f t="shared" ref="H35" si="38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51.004800000000003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9">C36*(E36-D36)</f>
        <v>-128.00000000000011</v>
      </c>
      <c r="G36" s="39">
        <f t="shared" ref="G36" si="40">D36*C36</f>
        <v>10574</v>
      </c>
      <c r="H36" s="222">
        <f t="shared" ref="H36" si="41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50.450400000000002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2">C37*(E37-D37)</f>
        <v>-396.8599999999995</v>
      </c>
      <c r="G37" s="39">
        <f t="shared" ref="G37" si="43">D37*C37</f>
        <v>10574.859999999999</v>
      </c>
      <c r="H37" s="222">
        <f t="shared" ref="H37" si="44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49.896000000000001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5">C38*(E38-D38)</f>
        <v>-86.86000000000007</v>
      </c>
      <c r="G38" s="39">
        <f t="shared" ref="G38" si="46">D38*C38</f>
        <v>10574.859999999999</v>
      </c>
      <c r="H38" s="222">
        <f t="shared" ref="H38" si="47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8">C39*(E39-D39)</f>
        <v>357.44399999999956</v>
      </c>
      <c r="G39" s="39">
        <f t="shared" ref="G39" si="49">D39*C39</f>
        <v>6200.5560000000005</v>
      </c>
      <c r="H39" s="222">
        <f t="shared" ref="H39" si="50">(E39-D39)/D39</f>
        <v>5.7647088422393016E-2</v>
      </c>
      <c r="I39" s="833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1">C40*(E40-D40)</f>
        <v>319.44000000000017</v>
      </c>
      <c r="G40" s="39">
        <f t="shared" ref="G40" si="52">D40*C40</f>
        <v>10524.56</v>
      </c>
      <c r="H40" s="222">
        <f t="shared" ref="H40" si="53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4">C41*(E41-D41)</f>
        <v>544.36800000000005</v>
      </c>
      <c r="G41" s="39">
        <f t="shared" ref="G41" si="55">D41*C41</f>
        <v>6086.8319999999994</v>
      </c>
      <c r="H41" s="222">
        <f t="shared" ref="H41" si="56">(E41-D41)/D41</f>
        <v>8.9433715272575307E-2</v>
      </c>
      <c r="I41" s="833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7">C42*(E42-D42)</f>
        <v>488.76000000000062</v>
      </c>
      <c r="G42" s="39">
        <f t="shared" ref="G42" si="58">D42*C42</f>
        <v>10445.24</v>
      </c>
      <c r="H42" s="222">
        <f t="shared" ref="H42" si="59">(E42-D42)/D42</f>
        <v>4.6792606010010361E-2</v>
      </c>
      <c r="I42" s="833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60">C43*(E43-D43)</f>
        <v>138.27500000000015</v>
      </c>
      <c r="G43" s="39">
        <f t="shared" ref="G43" si="61">D43*C43</f>
        <v>13099.225</v>
      </c>
      <c r="H43" s="222">
        <f t="shared" ref="H43" si="62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3">C44*(E44-D44)</f>
        <v>651.27500000000009</v>
      </c>
      <c r="G44" s="39">
        <f t="shared" ref="G44" si="64">D44*C44</f>
        <v>13021.224999999999</v>
      </c>
      <c r="H44" s="222">
        <f t="shared" ref="H44" si="65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ref="F45" si="66">C45*(E45-D45)</f>
        <v>496.71999999999912</v>
      </c>
      <c r="G45" s="39">
        <f t="shared" ref="G45" si="67">D45*C45</f>
        <v>10291.280000000001</v>
      </c>
      <c r="H45" s="222">
        <f t="shared" ref="H45" si="68">(E45-D45)/D45</f>
        <v>4.8266104896572543E-2</v>
      </c>
      <c r="I45" s="833" t="s">
        <v>1155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ref="F46" si="69">C46*(E46-D46)</f>
        <v>364.00000000000006</v>
      </c>
      <c r="G46" s="39">
        <f t="shared" ref="G46" si="70">D46*C46</f>
        <v>10292</v>
      </c>
      <c r="H46" s="222">
        <f t="shared" ref="H46" si="71">(E46-D46)/D46</f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ref="F47" si="72">C47*(E47-D47)</f>
        <v>577.20000000000027</v>
      </c>
      <c r="G47" s="39">
        <f t="shared" ref="G47" si="73">D47*C47</f>
        <v>5858.4</v>
      </c>
      <c r="H47" s="222">
        <f t="shared" ref="H47" si="74">(E47-D47)/D47</f>
        <v>9.8525194592380225E-2</v>
      </c>
      <c r="I47" s="833" t="s">
        <v>1157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7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7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7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7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7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7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7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7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7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7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7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7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7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7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7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77" priority="63">
      <formula>Q8&gt;0</formula>
    </cfRule>
    <cfRule type="expression" dxfId="676" priority="64">
      <formula>Q8&lt;0</formula>
    </cfRule>
  </conditionalFormatting>
  <conditionalFormatting sqref="Q7">
    <cfRule type="expression" dxfId="675" priority="65">
      <formula>Q7&gt;0</formula>
    </cfRule>
    <cfRule type="expression" dxfId="674" priority="66">
      <formula>Q7&lt;0</formula>
    </cfRule>
  </conditionalFormatting>
  <conditionalFormatting sqref="M57">
    <cfRule type="expression" dxfId="673" priority="53">
      <formula>M57&gt;0</formula>
    </cfRule>
    <cfRule type="expression" dxfId="672" priority="54">
      <formula>M57&lt;0</formula>
    </cfRule>
  </conditionalFormatting>
  <conditionalFormatting sqref="M57">
    <cfRule type="expression" dxfId="671" priority="55">
      <formula>M57&gt;0</formula>
    </cfRule>
    <cfRule type="expression" dxfId="670" priority="56">
      <formula>M57&lt;0</formula>
    </cfRule>
  </conditionalFormatting>
  <conditionalFormatting sqref="F24:F47">
    <cfRule type="expression" dxfId="669" priority="41">
      <formula>F24&gt;0</formula>
    </cfRule>
    <cfRule type="expression" dxfId="668" priority="42">
      <formula>F24&lt;0</formula>
    </cfRule>
  </conditionalFormatting>
  <conditionalFormatting sqref="F24:F47">
    <cfRule type="expression" dxfId="667" priority="43">
      <formula>F24&gt;0</formula>
    </cfRule>
    <cfRule type="expression" dxfId="666" priority="44">
      <formula>F24&lt;0</formula>
    </cfRule>
  </conditionalFormatting>
  <conditionalFormatting sqref="H24:H47">
    <cfRule type="expression" dxfId="665" priority="39">
      <formula>H24&gt;0</formula>
    </cfRule>
    <cfRule type="expression" dxfId="664" priority="40">
      <formula>H24&lt;0</formula>
    </cfRule>
  </conditionalFormatting>
  <conditionalFormatting sqref="J27:J38">
    <cfRule type="expression" dxfId="663" priority="9">
      <formula>J27&gt;0</formula>
    </cfRule>
    <cfRule type="expression" dxfId="662" priority="10">
      <formula>J27&lt;0</formula>
    </cfRule>
  </conditionalFormatting>
  <conditionalFormatting sqref="J27:J38">
    <cfRule type="expression" dxfId="661" priority="11">
      <formula>J27&gt;0</formula>
    </cfRule>
    <cfRule type="expression" dxfId="660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59" priority="5">
      <formula>J39&gt;0</formula>
    </cfRule>
    <cfRule type="expression" dxfId="658" priority="6">
      <formula>J39&lt;0</formula>
    </cfRule>
  </conditionalFormatting>
  <conditionalFormatting sqref="J39">
    <cfRule type="expression" dxfId="657" priority="7">
      <formula>J39&gt;0</formula>
    </cfRule>
    <cfRule type="expression" dxfId="656" priority="8">
      <formula>J39&lt;0</formula>
    </cfRule>
  </conditionalFormatting>
  <conditionalFormatting sqref="J40:J54">
    <cfRule type="expression" dxfId="655" priority="1">
      <formula>J40&gt;0</formula>
    </cfRule>
    <cfRule type="expression" dxfId="654" priority="2">
      <formula>J40&lt;0</formula>
    </cfRule>
  </conditionalFormatting>
  <conditionalFormatting sqref="J40:J54">
    <cfRule type="expression" dxfId="653" priority="3">
      <formula>J40&gt;0</formula>
    </cfRule>
    <cfRule type="expression" dxfId="652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45.8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45.8</v>
      </c>
      <c r="R4" s="475">
        <v>3.3599999999999998E-2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50.38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49.921999999999997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49.463999999999999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49.006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48.548000000000002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48.089999999999996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47.631999999999998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47.173999999999999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46.716000000000001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46.257999999999996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45.8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45.341999999999999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44.883999999999993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44.425999999999995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43.967999999999996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43.51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43.051999999999992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42.594000000000001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42.135999999999996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41.677999999999997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41.22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1" priority="66">
      <formula>F22&gt;0</formula>
    </cfRule>
    <cfRule type="expression" dxfId="65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49" priority="53">
      <formula>F41&gt;0</formula>
    </cfRule>
    <cfRule type="expression" dxfId="648" priority="54">
      <formula>F41&lt;0</formula>
    </cfRule>
  </conditionalFormatting>
  <conditionalFormatting sqref="F41">
    <cfRule type="expression" dxfId="647" priority="57">
      <formula>F41&gt;0</formula>
    </cfRule>
    <cfRule type="expression" dxfId="646" priority="58">
      <formula>F41&lt;0</formula>
    </cfRule>
  </conditionalFormatting>
  <conditionalFormatting sqref="H41">
    <cfRule type="expression" dxfId="645" priority="35">
      <formula>H41&gt;0</formula>
    </cfRule>
    <cfRule type="expression" dxfId="644" priority="36">
      <formula>H41&lt;0</formula>
    </cfRule>
  </conditionalFormatting>
  <conditionalFormatting sqref="F89:F95">
    <cfRule type="expression" dxfId="643" priority="29">
      <formula>F89&gt;0</formula>
    </cfRule>
    <cfRule type="expression" dxfId="642" priority="30">
      <formula>F89&lt;0</formula>
    </cfRule>
  </conditionalFormatting>
  <conditionalFormatting sqref="F96:F110">
    <cfRule type="expression" dxfId="641" priority="25">
      <formula>F96&gt;0</formula>
    </cfRule>
    <cfRule type="expression" dxfId="640" priority="26">
      <formula>F96&lt;0</formula>
    </cfRule>
  </conditionalFormatting>
  <conditionalFormatting sqref="F96:F110">
    <cfRule type="expression" dxfId="639" priority="27">
      <formula>F96&gt;0</formula>
    </cfRule>
    <cfRule type="expression" dxfId="638" priority="28">
      <formula>F96&lt;0</formula>
    </cfRule>
  </conditionalFormatting>
  <conditionalFormatting sqref="H89:H100">
    <cfRule type="expression" dxfId="637" priority="23">
      <formula>H89&gt;0</formula>
    </cfRule>
    <cfRule type="expression" dxfId="636" priority="24">
      <formula>H89&lt;0</formula>
    </cfRule>
  </conditionalFormatting>
  <conditionalFormatting sqref="H101">
    <cfRule type="expression" dxfId="635" priority="21">
      <formula>H101&gt;0</formula>
    </cfRule>
    <cfRule type="expression" dxfId="634" priority="22">
      <formula>H101&lt;0</formula>
    </cfRule>
  </conditionalFormatting>
  <conditionalFormatting sqref="F111:F116">
    <cfRule type="expression" dxfId="633" priority="19">
      <formula>F111&gt;0</formula>
    </cfRule>
    <cfRule type="expression" dxfId="632" priority="20">
      <formula>F111&lt;0</formula>
    </cfRule>
  </conditionalFormatting>
  <conditionalFormatting sqref="H103:H116">
    <cfRule type="expression" dxfId="631" priority="17">
      <formula>H103&gt;0</formula>
    </cfRule>
    <cfRule type="expression" dxfId="630" priority="18">
      <formula>H103&lt;0</formula>
    </cfRule>
  </conditionalFormatting>
  <conditionalFormatting sqref="H102">
    <cfRule type="expression" dxfId="629" priority="15">
      <formula>H102&gt;0</formula>
    </cfRule>
    <cfRule type="expression" dxfId="628" priority="16">
      <formula>H102&lt;0</formula>
    </cfRule>
  </conditionalFormatting>
  <conditionalFormatting sqref="M42">
    <cfRule type="expression" dxfId="627" priority="13">
      <formula>M42&gt;0</formula>
    </cfRule>
    <cfRule type="expression" dxfId="626" priority="14">
      <formula>M42&lt;0</formula>
    </cfRule>
  </conditionalFormatting>
  <conditionalFormatting sqref="Q7">
    <cfRule type="expression" dxfId="625" priority="9">
      <formula>Q7&gt;0</formula>
    </cfRule>
    <cfRule type="expression" dxfId="624" priority="10">
      <formula>Q7&lt;0</formula>
    </cfRule>
  </conditionalFormatting>
  <conditionalFormatting sqref="Q8">
    <cfRule type="expression" dxfId="623" priority="7">
      <formula>Q8&gt;0</formula>
    </cfRule>
    <cfRule type="expression" dxfId="622" priority="8">
      <formula>Q8&lt;0</formula>
    </cfRule>
  </conditionalFormatting>
  <conditionalFormatting sqref="F117:F130 H117:H130">
    <cfRule type="expression" dxfId="621" priority="1">
      <formula>F117&gt;0</formula>
    </cfRule>
    <cfRule type="expression" dxfId="62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44.1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44.1</v>
      </c>
      <c r="R4" s="493">
        <v>2.7000000000000001E-3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48.510000000000005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48.069000000000003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47.628000000000007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47.187000000000005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46.746000000000002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46.305000000000007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45.864000000000004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45.423000000000002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44.981999999999999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44.541000000000004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44.1</v>
      </c>
      <c r="W39" s="134"/>
    </row>
    <row r="40" spans="1:23" x14ac:dyDescent="0.25">
      <c r="O40" s="81">
        <v>0.99</v>
      </c>
      <c r="P40" s="81">
        <f t="shared" si="0"/>
        <v>43.658999999999999</v>
      </c>
      <c r="W40" s="134"/>
    </row>
    <row r="41" spans="1:23" x14ac:dyDescent="0.25">
      <c r="O41" s="81">
        <v>0.98</v>
      </c>
      <c r="P41" s="81">
        <f t="shared" si="0"/>
        <v>43.218000000000004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42.777000000000001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42.335999999999999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41.894999999999996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41.454000000000001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41.013000000000005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40.572000000000003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40.131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39.690000000000005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19" priority="84">
      <formula>F7&gt;0</formula>
    </cfRule>
    <cfRule type="expression" dxfId="618" priority="85">
      <formula>F7&lt;0</formula>
    </cfRule>
  </conditionalFormatting>
  <conditionalFormatting sqref="Q8">
    <cfRule type="expression" dxfId="617" priority="82">
      <formula>Q8&gt;0</formula>
    </cfRule>
    <cfRule type="expression" dxfId="616" priority="83">
      <formula>Q8&lt;0</formula>
    </cfRule>
  </conditionalFormatting>
  <conditionalFormatting sqref="F29:F36">
    <cfRule type="expression" dxfId="615" priority="62">
      <formula>F29&gt;0</formula>
    </cfRule>
    <cfRule type="expression" dxfId="614" priority="63">
      <formula>F29&lt;0</formula>
    </cfRule>
  </conditionalFormatting>
  <conditionalFormatting sqref="J32:J38">
    <cfRule type="expression" dxfId="613" priority="57">
      <formula>J32&gt;0</formula>
    </cfRule>
    <cfRule type="expression" dxfId="612" priority="58">
      <formula>J32&lt;0</formula>
    </cfRule>
  </conditionalFormatting>
  <conditionalFormatting sqref="M42">
    <cfRule type="expression" dxfId="611" priority="55">
      <formula>M42&gt;0</formula>
    </cfRule>
    <cfRule type="expression" dxfId="610" priority="56">
      <formula>M42&lt;0</formula>
    </cfRule>
  </conditionalFormatting>
  <conditionalFormatting sqref="F98:F134 H98:H134 H137:H142 F137:F142 F144:F153 H144:H153">
    <cfRule type="expression" dxfId="609" priority="53">
      <formula>F98&gt;0</formula>
    </cfRule>
    <cfRule type="expression" dxfId="608" priority="54">
      <formula>F98&lt;0</formula>
    </cfRule>
  </conditionalFormatting>
  <conditionalFormatting sqref="F90:F97">
    <cfRule type="expression" dxfId="607" priority="51">
      <formula>F90&gt;0</formula>
    </cfRule>
    <cfRule type="expression" dxfId="606" priority="52">
      <formula>F90&lt;0</formula>
    </cfRule>
  </conditionalFormatting>
  <conditionalFormatting sqref="H90:H97">
    <cfRule type="expression" dxfId="605" priority="49">
      <formula>H90&gt;0</formula>
    </cfRule>
    <cfRule type="expression" dxfId="604" priority="50">
      <formula>H90&lt;0</formula>
    </cfRule>
  </conditionalFormatting>
  <conditionalFormatting sqref="F135:F136 H135:H136">
    <cfRule type="expression" dxfId="603" priority="47">
      <formula>F135&gt;0</formula>
    </cfRule>
    <cfRule type="expression" dxfId="602" priority="48">
      <formula>F135&lt;0</formula>
    </cfRule>
  </conditionalFormatting>
  <conditionalFormatting sqref="H143 F143">
    <cfRule type="expression" dxfId="601" priority="45">
      <formula>F143&gt;0</formula>
    </cfRule>
    <cfRule type="expression" dxfId="600" priority="46">
      <formula>F143&lt;0</formula>
    </cfRule>
  </conditionalFormatting>
  <conditionalFormatting sqref="F154:F161">
    <cfRule type="expression" dxfId="599" priority="31">
      <formula>F154&gt;0</formula>
    </cfRule>
    <cfRule type="expression" dxfId="598" priority="32">
      <formula>F154&lt;0</formula>
    </cfRule>
  </conditionalFormatting>
  <conditionalFormatting sqref="H154:H161">
    <cfRule type="expression" dxfId="597" priority="29">
      <formula>H154&gt;0</formula>
    </cfRule>
    <cfRule type="expression" dxfId="596" priority="30">
      <formula>H154&lt;0</formula>
    </cfRule>
  </conditionalFormatting>
  <conditionalFormatting sqref="Q10">
    <cfRule type="expression" dxfId="595" priority="27">
      <formula>Q10&gt;0</formula>
    </cfRule>
    <cfRule type="expression" dxfId="594" priority="28">
      <formula>Q10&lt;0</formula>
    </cfRule>
  </conditionalFormatting>
  <conditionalFormatting sqref="F37:F38">
    <cfRule type="expression" dxfId="593" priority="25">
      <formula>F37&gt;0</formula>
    </cfRule>
    <cfRule type="expression" dxfId="592" priority="26">
      <formula>F37&lt;0</formula>
    </cfRule>
  </conditionalFormatting>
  <conditionalFormatting sqref="H37:H38">
    <cfRule type="expression" dxfId="591" priority="23">
      <formula>H37&gt;0</formula>
    </cfRule>
    <cfRule type="expression" dxfId="590" priority="24">
      <formula>H37&lt;0</formula>
    </cfRule>
  </conditionalFormatting>
  <conditionalFormatting sqref="F167">
    <cfRule type="expression" dxfId="589" priority="21">
      <formula>F167&gt;0</formula>
    </cfRule>
    <cfRule type="expression" dxfId="588" priority="22">
      <formula>F167&lt;0</formula>
    </cfRule>
  </conditionalFormatting>
  <conditionalFormatting sqref="F168:F179">
    <cfRule type="expression" dxfId="587" priority="19">
      <formula>F168&gt;0</formula>
    </cfRule>
    <cfRule type="expression" dxfId="586" priority="20">
      <formula>F168&lt;0</formula>
    </cfRule>
  </conditionalFormatting>
  <conditionalFormatting sqref="H167:H179">
    <cfRule type="expression" dxfId="585" priority="17">
      <formula>H167&gt;0</formula>
    </cfRule>
    <cfRule type="expression" dxfId="584" priority="18">
      <formula>H167&lt;0</formula>
    </cfRule>
  </conditionalFormatting>
  <conditionalFormatting sqref="J175:J197 J201">
    <cfRule type="expression" dxfId="583" priority="15">
      <formula>J175&gt;0</formula>
    </cfRule>
    <cfRule type="expression" dxfId="582" priority="16">
      <formula>J175&lt;0</formula>
    </cfRule>
  </conditionalFormatting>
  <conditionalFormatting sqref="F180:F197 F201">
    <cfRule type="expression" dxfId="581" priority="13">
      <formula>F180&gt;0</formula>
    </cfRule>
    <cfRule type="expression" dxfId="580" priority="14">
      <formula>F180&lt;0</formula>
    </cfRule>
  </conditionalFormatting>
  <conditionalFormatting sqref="H180:H197 H201">
    <cfRule type="expression" dxfId="579" priority="11">
      <formula>H180&gt;0</formula>
    </cfRule>
    <cfRule type="expression" dxfId="578" priority="12">
      <formula>H180&lt;0</formula>
    </cfRule>
  </conditionalFormatting>
  <conditionalFormatting sqref="I32:J35">
    <cfRule type="expression" dxfId="577" priority="9">
      <formula>I32&gt;0</formula>
    </cfRule>
    <cfRule type="expression" dxfId="576" priority="10">
      <formula>I32&lt;0</formula>
    </cfRule>
  </conditionalFormatting>
  <conditionalFormatting sqref="F198:F200">
    <cfRule type="expression" dxfId="575" priority="7">
      <formula>F198&gt;0</formula>
    </cfRule>
    <cfRule type="expression" dxfId="574" priority="8">
      <formula>F198&lt;0</formula>
    </cfRule>
  </conditionalFormatting>
  <conditionalFormatting sqref="H198:H200">
    <cfRule type="expression" dxfId="573" priority="5">
      <formula>H198&gt;0</formula>
    </cfRule>
    <cfRule type="expression" dxfId="572" priority="6">
      <formula>H198&lt;0</formula>
    </cfRule>
  </conditionalFormatting>
  <conditionalFormatting sqref="J198:J200">
    <cfRule type="expression" dxfId="571" priority="3">
      <formula>J198&gt;0</formula>
    </cfRule>
    <cfRule type="expression" dxfId="570" priority="4">
      <formula>J198&lt;0</formula>
    </cfRule>
  </conditionalFormatting>
  <conditionalFormatting sqref="F202:F211 H202:H211 J202:J211">
    <cfRule type="expression" dxfId="569" priority="1">
      <formula>F202&gt;0</formula>
    </cfRule>
    <cfRule type="expression" dxfId="56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76.33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76.33</v>
      </c>
      <c r="R4" s="493">
        <v>-6.7999999999999996E-3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14.539047619047619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83.963000000000008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83.199700000000007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82.436400000000006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81.673100000000005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80.909800000000004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80.146500000000003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79.383200000000002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78.619900000000001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77.8566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77.093299999999999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76.33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75.566699999999997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74.803399999999996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74.040099999999995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73.276799999999994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72.513499999999993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71.750199999999992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70.986900000000006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70.223600000000005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69.460300000000004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68.697000000000003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67" priority="80">
      <formula>Q7&gt;0</formula>
    </cfRule>
    <cfRule type="expression" dxfId="566" priority="81">
      <formula>Q7&lt;0</formula>
    </cfRule>
  </conditionalFormatting>
  <conditionalFormatting sqref="Q8">
    <cfRule type="expression" dxfId="565" priority="78">
      <formula>Q8&gt;0</formula>
    </cfRule>
    <cfRule type="expression" dxfId="564" priority="79">
      <formula>Q8&lt;0</formula>
    </cfRule>
  </conditionalFormatting>
  <conditionalFormatting sqref="F29:F43">
    <cfRule type="expression" dxfId="563" priority="62">
      <formula>F29&gt;0</formula>
    </cfRule>
    <cfRule type="expression" dxfId="562" priority="63">
      <formula>F29&lt;0</formula>
    </cfRule>
  </conditionalFormatting>
  <conditionalFormatting sqref="H45 H47:H48 H50:H51 H53 H29:H43">
    <cfRule type="expression" dxfId="561" priority="60">
      <formula>H29&gt;0</formula>
    </cfRule>
    <cfRule type="expression" dxfId="560" priority="61">
      <formula>H29&lt;0</formula>
    </cfRule>
  </conditionalFormatting>
  <conditionalFormatting sqref="J35">
    <cfRule type="expression" dxfId="559" priority="56">
      <formula>J35&gt;0</formula>
    </cfRule>
    <cfRule type="expression" dxfId="558" priority="57">
      <formula>J35&lt;0</formula>
    </cfRule>
  </conditionalFormatting>
  <conditionalFormatting sqref="J36:J37">
    <cfRule type="expression" dxfId="557" priority="54">
      <formula>J36&gt;0</formula>
    </cfRule>
    <cfRule type="expression" dxfId="556" priority="55">
      <formula>J36&lt;0</formula>
    </cfRule>
  </conditionalFormatting>
  <conditionalFormatting sqref="J38:J45 J48 J51">
    <cfRule type="expression" dxfId="555" priority="52">
      <formula>J38&gt;0</formula>
    </cfRule>
    <cfRule type="expression" dxfId="55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3" priority="49">
      <formula>M59&gt;0</formula>
    </cfRule>
    <cfRule type="expression" dxfId="552" priority="50">
      <formula>M59&lt;0</formula>
    </cfRule>
  </conditionalFormatting>
  <conditionalFormatting sqref="Q10">
    <cfRule type="expression" dxfId="551" priority="47">
      <formula>Q10&gt;0</formula>
    </cfRule>
    <cfRule type="expression" dxfId="550" priority="48">
      <formula>Q10&lt;0</formula>
    </cfRule>
  </conditionalFormatting>
  <conditionalFormatting sqref="F84:F103">
    <cfRule type="expression" dxfId="549" priority="45">
      <formula>F84&gt;0</formula>
    </cfRule>
    <cfRule type="expression" dxfId="548" priority="46">
      <formula>F84&lt;0</formula>
    </cfRule>
  </conditionalFormatting>
  <conditionalFormatting sqref="H107 H84:H103">
    <cfRule type="expression" dxfId="547" priority="43">
      <formula>H84&gt;0</formula>
    </cfRule>
    <cfRule type="expression" dxfId="546" priority="44">
      <formula>H84&lt;0</formula>
    </cfRule>
  </conditionalFormatting>
  <conditionalFormatting sqref="J89">
    <cfRule type="expression" dxfId="545" priority="41">
      <formula>J89&gt;0</formula>
    </cfRule>
    <cfRule type="expression" dxfId="544" priority="42">
      <formula>J89&lt;0</formula>
    </cfRule>
  </conditionalFormatting>
  <conditionalFormatting sqref="J90:J95">
    <cfRule type="expression" dxfId="543" priority="39">
      <formula>J90&gt;0</formula>
    </cfRule>
    <cfRule type="expression" dxfId="542" priority="40">
      <formula>J90&lt;0</formula>
    </cfRule>
  </conditionalFormatting>
  <conditionalFormatting sqref="J96:J97">
    <cfRule type="expression" dxfId="541" priority="37">
      <formula>J96&gt;0</formula>
    </cfRule>
    <cfRule type="expression" dxfId="540" priority="38">
      <formula>J96&lt;0</formula>
    </cfRule>
  </conditionalFormatting>
  <conditionalFormatting sqref="J98:J104">
    <cfRule type="expression" dxfId="539" priority="35">
      <formula>J98&gt;0</formula>
    </cfRule>
    <cfRule type="expression" dxfId="538" priority="36">
      <formula>J98&lt;0</formula>
    </cfRule>
  </conditionalFormatting>
  <conditionalFormatting sqref="J25">
    <cfRule type="expression" dxfId="537" priority="31">
      <formula>J25&gt;0</formula>
    </cfRule>
    <cfRule type="expression" dxfId="536" priority="32">
      <formula>J25&lt;0</formula>
    </cfRule>
  </conditionalFormatting>
  <conditionalFormatting sqref="F105:F106">
    <cfRule type="expression" dxfId="535" priority="29">
      <formula>F105&gt;0</formula>
    </cfRule>
    <cfRule type="expression" dxfId="534" priority="30">
      <formula>F105&lt;0</formula>
    </cfRule>
  </conditionalFormatting>
  <conditionalFormatting sqref="H105:H106">
    <cfRule type="expression" dxfId="533" priority="27">
      <formula>H105&gt;0</formula>
    </cfRule>
    <cfRule type="expression" dxfId="532" priority="28">
      <formula>H105&lt;0</formula>
    </cfRule>
  </conditionalFormatting>
  <conditionalFormatting sqref="J105">
    <cfRule type="expression" dxfId="531" priority="25">
      <formula>J105&gt;0</formula>
    </cfRule>
    <cfRule type="expression" dxfId="530" priority="26">
      <formula>J105&lt;0</formula>
    </cfRule>
  </conditionalFormatting>
  <conditionalFormatting sqref="J106">
    <cfRule type="expression" dxfId="529" priority="23">
      <formula>J106&gt;0</formula>
    </cfRule>
    <cfRule type="expression" dxfId="528" priority="24">
      <formula>J106&lt;0</formula>
    </cfRule>
  </conditionalFormatting>
  <conditionalFormatting sqref="F24 F27:F28">
    <cfRule type="expression" dxfId="527" priority="21">
      <formula>F24&gt;0</formula>
    </cfRule>
    <cfRule type="expression" dxfId="526" priority="22">
      <formula>F24&lt;0</formula>
    </cfRule>
  </conditionalFormatting>
  <conditionalFormatting sqref="H24:H28">
    <cfRule type="expression" dxfId="525" priority="19">
      <formula>H24&gt;0</formula>
    </cfRule>
    <cfRule type="expression" dxfId="524" priority="20">
      <formula>H24&lt;0</formula>
    </cfRule>
  </conditionalFormatting>
  <conditionalFormatting sqref="J26:J34">
    <cfRule type="expression" dxfId="523" priority="17">
      <formula>J26&gt;0</formula>
    </cfRule>
    <cfRule type="expression" dxfId="522" priority="18">
      <formula>J26&lt;0</formula>
    </cfRule>
  </conditionalFormatting>
  <conditionalFormatting sqref="F113">
    <cfRule type="expression" dxfId="521" priority="15">
      <formula>F113&gt;0</formula>
    </cfRule>
    <cfRule type="expression" dxfId="520" priority="16">
      <formula>F113&lt;0</formula>
    </cfRule>
  </conditionalFormatting>
  <conditionalFormatting sqref="H113">
    <cfRule type="expression" dxfId="519" priority="13">
      <formula>H113&gt;0</formula>
    </cfRule>
    <cfRule type="expression" dxfId="518" priority="14">
      <formula>H113&lt;0</formula>
    </cfRule>
  </conditionalFormatting>
  <conditionalFormatting sqref="J109">
    <cfRule type="expression" dxfId="517" priority="11">
      <formula>J109&gt;0</formula>
    </cfRule>
    <cfRule type="expression" dxfId="516" priority="12">
      <formula>J109&lt;0</formula>
    </cfRule>
  </conditionalFormatting>
  <conditionalFormatting sqref="F108:F112">
    <cfRule type="expression" dxfId="515" priority="9">
      <formula>F108&gt;0</formula>
    </cfRule>
    <cfRule type="expression" dxfId="514" priority="10">
      <formula>F108&lt;0</formula>
    </cfRule>
  </conditionalFormatting>
  <conditionalFormatting sqref="H108:H112">
    <cfRule type="expression" dxfId="513" priority="7">
      <formula>H108&gt;0</formula>
    </cfRule>
    <cfRule type="expression" dxfId="512" priority="8">
      <formula>H108&lt;0</formula>
    </cfRule>
  </conditionalFormatting>
  <conditionalFormatting sqref="J110:J113">
    <cfRule type="expression" dxfId="511" priority="5">
      <formula>J110&gt;0</formula>
    </cfRule>
    <cfRule type="expression" dxfId="510" priority="6">
      <formula>J110&lt;0</formula>
    </cfRule>
  </conditionalFormatting>
  <conditionalFormatting sqref="F25:F26">
    <cfRule type="expression" dxfId="509" priority="3">
      <formula>F25&gt;0</formula>
    </cfRule>
    <cfRule type="expression" dxfId="508" priority="4">
      <formula>F25&lt;0</formula>
    </cfRule>
  </conditionalFormatting>
  <conditionalFormatting sqref="Q9">
    <cfRule type="expression" dxfId="507" priority="1">
      <formula>Q9&gt;0</formula>
    </cfRule>
    <cfRule type="expression" dxfId="50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25.79</v>
      </c>
      <c r="R4" s="223">
        <v>-9.5999999999999992E-3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9800.1999999999989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-2773.3399999999915</v>
      </c>
      <c r="R7">
        <v>380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-2848.3599999999915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-0.2251924329726066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3.567274137262505E-2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9.6591760299625467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28.369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28.1111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27.853200000000001</v>
      </c>
      <c r="U21" t="s">
        <v>915</v>
      </c>
    </row>
    <row r="22" spans="1:21" x14ac:dyDescent="0.25">
      <c r="O22" s="81">
        <v>1.07</v>
      </c>
      <c r="P22" s="81">
        <f t="shared" si="4"/>
        <v>27.595300000000002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27.337399999999999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27.079499999999999</v>
      </c>
    </row>
    <row r="25" spans="1:21" x14ac:dyDescent="0.25">
      <c r="O25" s="81">
        <v>1.04</v>
      </c>
      <c r="P25" s="81">
        <f t="shared" si="4"/>
        <v>26.8216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26.563700000000001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26.305799999999998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26.047899999999998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25.79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25.5321</v>
      </c>
      <c r="T30" s="1">
        <v>43175</v>
      </c>
      <c r="U30" t="s">
        <v>1121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25.2742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25.016299999999998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24.758399999999998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24.500499999999999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24.242599999999999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23.9847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23.726800000000001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23.468900000000001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23.210999999999999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94" priority="69">
      <formula>F31&gt;0</formula>
    </cfRule>
    <cfRule type="expression" dxfId="493" priority="70">
      <formula>F31&lt;0</formula>
    </cfRule>
  </conditionalFormatting>
  <conditionalFormatting sqref="H31:H33">
    <cfRule type="expression" dxfId="492" priority="67">
      <formula>H31&gt;0</formula>
    </cfRule>
    <cfRule type="expression" dxfId="491" priority="68">
      <formula>H31&lt;0</formula>
    </cfRule>
  </conditionalFormatting>
  <conditionalFormatting sqref="H34">
    <cfRule type="expression" dxfId="490" priority="65">
      <formula>H34&gt;0</formula>
    </cfRule>
    <cfRule type="expression" dxfId="489" priority="66">
      <formula>H34&lt;0</formula>
    </cfRule>
  </conditionalFormatting>
  <conditionalFormatting sqref="H35">
    <cfRule type="expression" dxfId="488" priority="63">
      <formula>H35&gt;0</formula>
    </cfRule>
    <cfRule type="expression" dxfId="487" priority="64">
      <formula>H35&lt;0</formula>
    </cfRule>
  </conditionalFormatting>
  <conditionalFormatting sqref="F27:F30">
    <cfRule type="expression" dxfId="486" priority="59">
      <formula>F27&gt;0</formula>
    </cfRule>
    <cfRule type="expression" dxfId="485" priority="60">
      <formula>F27&lt;0</formula>
    </cfRule>
  </conditionalFormatting>
  <conditionalFormatting sqref="H27:H30">
    <cfRule type="expression" dxfId="484" priority="57">
      <formula>H27&gt;0</formula>
    </cfRule>
    <cfRule type="expression" dxfId="483" priority="58">
      <formula>H27&lt;0</formula>
    </cfRule>
  </conditionalFormatting>
  <conditionalFormatting sqref="F36:F37">
    <cfRule type="expression" dxfId="482" priority="53">
      <formula>F36&gt;0</formula>
    </cfRule>
    <cfRule type="expression" dxfId="481" priority="54">
      <formula>F36&lt;0</formula>
    </cfRule>
  </conditionalFormatting>
  <conditionalFormatting sqref="I31:L33">
    <cfRule type="expression" dxfId="480" priority="51">
      <formula>I31&gt;0</formula>
    </cfRule>
    <cfRule type="expression" dxfId="479" priority="52">
      <formula>I31&lt;0</formula>
    </cfRule>
  </conditionalFormatting>
  <conditionalFormatting sqref="I40:I45 I37:L38">
    <cfRule type="expression" dxfId="478" priority="45">
      <formula>I37&gt;0</formula>
    </cfRule>
    <cfRule type="expression" dxfId="477" priority="46">
      <formula>I37&lt;0</formula>
    </cfRule>
  </conditionalFormatting>
  <conditionalFormatting sqref="I27:L30">
    <cfRule type="expression" dxfId="476" priority="43">
      <formula>I27&gt;0</formula>
    </cfRule>
    <cfRule type="expression" dxfId="475" priority="44">
      <formula>I27&lt;0</formula>
    </cfRule>
  </conditionalFormatting>
  <conditionalFormatting sqref="F38:F49">
    <cfRule type="expression" dxfId="474" priority="41">
      <formula>F38&gt;0</formula>
    </cfRule>
    <cfRule type="expression" dxfId="473" priority="42">
      <formula>F38&lt;0</formula>
    </cfRule>
  </conditionalFormatting>
  <conditionalFormatting sqref="Q8">
    <cfRule type="expression" dxfId="472" priority="37">
      <formula>Q8&gt;0</formula>
    </cfRule>
    <cfRule type="expression" dxfId="471" priority="38">
      <formula>Q8&lt;0</formula>
    </cfRule>
  </conditionalFormatting>
  <conditionalFormatting sqref="Q7">
    <cfRule type="expression" dxfId="470" priority="39">
      <formula>Q7&gt;0</formula>
    </cfRule>
    <cfRule type="expression" dxfId="469" priority="40">
      <formula>Q7&lt;0</formula>
    </cfRule>
  </conditionalFormatting>
  <conditionalFormatting sqref="F92:F96">
    <cfRule type="expression" dxfId="468" priority="35">
      <formula>F92&gt;0</formula>
    </cfRule>
    <cfRule type="expression" dxfId="467" priority="36">
      <formula>F92&lt;0</formula>
    </cfRule>
  </conditionalFormatting>
  <conditionalFormatting sqref="H92:H94">
    <cfRule type="expression" dxfId="466" priority="33">
      <formula>H92&gt;0</formula>
    </cfRule>
    <cfRule type="expression" dxfId="465" priority="34">
      <formula>H92&lt;0</formula>
    </cfRule>
  </conditionalFormatting>
  <conditionalFormatting sqref="H95">
    <cfRule type="expression" dxfId="464" priority="31">
      <formula>H95&gt;0</formula>
    </cfRule>
    <cfRule type="expression" dxfId="463" priority="32">
      <formula>H95&lt;0</formula>
    </cfRule>
  </conditionalFormatting>
  <conditionalFormatting sqref="H96">
    <cfRule type="expression" dxfId="462" priority="29">
      <formula>H96&gt;0</formula>
    </cfRule>
    <cfRule type="expression" dxfId="461" priority="30">
      <formula>H96&lt;0</formula>
    </cfRule>
  </conditionalFormatting>
  <conditionalFormatting sqref="H97:H106">
    <cfRule type="expression" dxfId="460" priority="27">
      <formula>H97&gt;0</formula>
    </cfRule>
    <cfRule type="expression" dxfId="459" priority="28">
      <formula>H97&lt;0</formula>
    </cfRule>
  </conditionalFormatting>
  <conditionalFormatting sqref="F88:F91">
    <cfRule type="expression" dxfId="458" priority="25">
      <formula>F88&gt;0</formula>
    </cfRule>
    <cfRule type="expression" dxfId="457" priority="26">
      <formula>F88&lt;0</formula>
    </cfRule>
  </conditionalFormatting>
  <conditionalFormatting sqref="H88:H91">
    <cfRule type="expression" dxfId="456" priority="23">
      <formula>H88&gt;0</formula>
    </cfRule>
    <cfRule type="expression" dxfId="455" priority="24">
      <formula>H88&lt;0</formula>
    </cfRule>
  </conditionalFormatting>
  <conditionalFormatting sqref="F97:F98">
    <cfRule type="expression" dxfId="454" priority="21">
      <formula>F97&gt;0</formula>
    </cfRule>
    <cfRule type="expression" dxfId="453" priority="22">
      <formula>F97&lt;0</formula>
    </cfRule>
  </conditionalFormatting>
  <conditionalFormatting sqref="I92:I94">
    <cfRule type="expression" dxfId="452" priority="19">
      <formula>I92&gt;0</formula>
    </cfRule>
    <cfRule type="expression" dxfId="451" priority="20">
      <formula>I92&lt;0</formula>
    </cfRule>
  </conditionalFormatting>
  <conditionalFormatting sqref="I95">
    <cfRule type="expression" dxfId="450" priority="17">
      <formula>I95&gt;0</formula>
    </cfRule>
    <cfRule type="expression" dxfId="449" priority="18">
      <formula>I95&lt;0</formula>
    </cfRule>
  </conditionalFormatting>
  <conditionalFormatting sqref="I96">
    <cfRule type="expression" dxfId="448" priority="15">
      <formula>I96&gt;0</formula>
    </cfRule>
    <cfRule type="expression" dxfId="447" priority="16">
      <formula>I96&lt;0</formula>
    </cfRule>
  </conditionalFormatting>
  <conditionalFormatting sqref="I97:I106">
    <cfRule type="expression" dxfId="446" priority="13">
      <formula>I97&gt;0</formula>
    </cfRule>
    <cfRule type="expression" dxfId="445" priority="14">
      <formula>I97&lt;0</formula>
    </cfRule>
  </conditionalFormatting>
  <conditionalFormatting sqref="I88:I91">
    <cfRule type="expression" dxfId="444" priority="11">
      <formula>I88&gt;0</formula>
    </cfRule>
    <cfRule type="expression" dxfId="443" priority="12">
      <formula>I88&lt;0</formula>
    </cfRule>
  </conditionalFormatting>
  <conditionalFormatting sqref="F99">
    <cfRule type="expression" dxfId="442" priority="9">
      <formula>F99&gt;0</formula>
    </cfRule>
    <cfRule type="expression" dxfId="441" priority="10">
      <formula>F99&lt;0</formula>
    </cfRule>
  </conditionalFormatting>
  <conditionalFormatting sqref="F52:F54 H53:H54 H52:L52">
    <cfRule type="expression" dxfId="440" priority="7">
      <formula>F52&gt;0</formula>
    </cfRule>
    <cfRule type="expression" dxfId="439" priority="8">
      <formula>F52&lt;0</formula>
    </cfRule>
  </conditionalFormatting>
  <conditionalFormatting sqref="R4">
    <cfRule type="expression" dxfId="438" priority="5">
      <formula>R4&gt;0</formula>
    </cfRule>
    <cfRule type="expression" dxfId="437" priority="6">
      <formula>R4&lt;0</formula>
    </cfRule>
  </conditionalFormatting>
  <conditionalFormatting sqref="F58:F61 H58:K61">
    <cfRule type="expression" dxfId="436" priority="3">
      <formula>F58&gt;0</formula>
    </cfRule>
    <cfRule type="expression" dxfId="435" priority="4">
      <formula>F58&lt;0</formula>
    </cfRule>
  </conditionalFormatting>
  <conditionalFormatting sqref="F63:F65 H63:K65">
    <cfRule type="expression" dxfId="434" priority="1">
      <formula>F63&gt;0</formula>
    </cfRule>
    <cfRule type="expression" dxfId="433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</v>
      </c>
      <c r="R4" s="475">
        <v>1.9300000000000001E-2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74.800000000000011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72.760000000000005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71.400000000000006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70.72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70.040000000000006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69.36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68.680000000000007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67.319999999999993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66.64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65.959999999999994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64.599999999999994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63.919999999999995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2" priority="11">
      <formula>Q8&gt;0</formula>
    </cfRule>
    <cfRule type="expression" dxfId="431" priority="12">
      <formula>Q8&lt;0</formula>
    </cfRule>
  </conditionalFormatting>
  <conditionalFormatting sqref="Q7">
    <cfRule type="expression" dxfId="430" priority="13">
      <formula>Q7&gt;0</formula>
    </cfRule>
    <cfRule type="expression" dxfId="429" priority="14">
      <formula>Q7&lt;0</formula>
    </cfRule>
  </conditionalFormatting>
  <conditionalFormatting sqref="F22">
    <cfRule type="expression" dxfId="428" priority="9">
      <formula>F22&gt;0</formula>
    </cfRule>
    <cfRule type="expression" dxfId="427" priority="10">
      <formula>F22&lt;0</formula>
    </cfRule>
  </conditionalFormatting>
  <conditionalFormatting sqref="H22">
    <cfRule type="expression" dxfId="426" priority="7">
      <formula>H22&gt;0</formula>
    </cfRule>
    <cfRule type="expression" dxfId="425" priority="8">
      <formula>H22&lt;0</formula>
    </cfRule>
  </conditionalFormatting>
  <conditionalFormatting sqref="F59">
    <cfRule type="expression" dxfId="424" priority="5">
      <formula>F59&gt;0</formula>
    </cfRule>
    <cfRule type="expression" dxfId="423" priority="6">
      <formula>F59&lt;0</formula>
    </cfRule>
  </conditionalFormatting>
  <conditionalFormatting sqref="H59">
    <cfRule type="expression" dxfId="422" priority="3">
      <formula>H59&gt;0</formula>
    </cfRule>
    <cfRule type="expression" dxfId="421" priority="4">
      <formula>H59&lt;0</formula>
    </cfRule>
  </conditionalFormatting>
  <conditionalFormatting sqref="M30">
    <cfRule type="expression" dxfId="420" priority="1">
      <formula>M30&gt;0</formula>
    </cfRule>
    <cfRule type="expression" dxfId="419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92.22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92.22</v>
      </c>
      <c r="R4" s="475">
        <v>6.7000000000000002E-3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101.44200000000001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100.5198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99.5976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98.67540000000001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97.753200000000007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96.831000000000003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95.908799999999999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94.986599999999996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94.064400000000006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93.142200000000003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92.22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91.297799999999995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90.375599999999991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89.453400000000002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88.531199999999998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87.608999999999995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86.686799999999991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85.764600000000002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84.842399999999998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83.920200000000008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82.998000000000005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8" priority="19">
      <formula>F27&gt;0</formula>
    </cfRule>
    <cfRule type="expression" dxfId="417" priority="20">
      <formula>F27&lt;0</formula>
    </cfRule>
  </conditionalFormatting>
  <conditionalFormatting sqref="F37:F38">
    <cfRule type="expression" dxfId="416" priority="17">
      <formula>F37&gt;0</formula>
    </cfRule>
    <cfRule type="expression" dxfId="415" priority="18">
      <formula>F37&lt;0</formula>
    </cfRule>
  </conditionalFormatting>
  <conditionalFormatting sqref="H27:H32">
    <cfRule type="expression" dxfId="414" priority="15">
      <formula>H27&gt;0</formula>
    </cfRule>
    <cfRule type="expression" dxfId="413" priority="16">
      <formula>H27&lt;0</formula>
    </cfRule>
  </conditionalFormatting>
  <conditionalFormatting sqref="Q7">
    <cfRule type="expression" dxfId="412" priority="3">
      <formula>Q7&gt;0</formula>
    </cfRule>
    <cfRule type="expression" dxfId="411" priority="4">
      <formula>Q7&lt;0</formula>
    </cfRule>
  </conditionalFormatting>
  <conditionalFormatting sqref="Q8">
    <cfRule type="expression" dxfId="410" priority="1">
      <formula>Q8&gt;0</formula>
    </cfRule>
    <cfRule type="expression" dxfId="409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151.06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151.06</v>
      </c>
      <c r="R4" s="475">
        <v>-7.7000000000000002E-3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166.16600000000003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164.65540000000001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163.1448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161.63420000000002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160.12360000000001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158.613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157.10240000000002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155.59180000000001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154.0812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152.57060000000001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151.06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149.54939999999999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148.03880000000001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146.5282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145.01759999999999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143.50700000000001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141.99639999999999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140.48580000000001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138.9752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137.46460000000002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135.95400000000001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8" priority="25">
      <formula>F24&gt;0</formula>
    </cfRule>
    <cfRule type="expression" dxfId="407" priority="26">
      <formula>F24&lt;0</formula>
    </cfRule>
  </conditionalFormatting>
  <conditionalFormatting sqref="H21:H27">
    <cfRule type="expression" dxfId="406" priority="19">
      <formula>H21&gt;0</formula>
    </cfRule>
    <cfRule type="expression" dxfId="405" priority="20">
      <formula>H21&lt;0</formula>
    </cfRule>
  </conditionalFormatting>
  <conditionalFormatting sqref="F21:F23">
    <cfRule type="expression" dxfId="404" priority="5">
      <formula>F21&gt;0</formula>
    </cfRule>
    <cfRule type="expression" dxfId="403" priority="6">
      <formula>F21&lt;0</formula>
    </cfRule>
  </conditionalFormatting>
  <conditionalFormatting sqref="Q8">
    <cfRule type="expression" dxfId="402" priority="1">
      <formula>Q8&gt;0</formula>
    </cfRule>
    <cfRule type="expression" dxfId="401" priority="2">
      <formula>Q8&lt;0</formula>
    </cfRule>
  </conditionalFormatting>
  <conditionalFormatting sqref="Q7">
    <cfRule type="expression" dxfId="400" priority="3">
      <formula>Q7&gt;0</formula>
    </cfRule>
    <cfRule type="expression" dxfId="39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251.54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251.54</v>
      </c>
      <c r="R4" s="475">
        <v>-3.5000000000000001E-3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276.69400000000002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274.17860000000002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271.66320000000002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269.14780000000002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266.63240000000002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264.11700000000002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261.60160000000002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259.08620000000002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256.57080000000002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254.05539999999999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251.54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249.02459999999999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246.50919999999999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243.99379999999999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241.47839999999999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238.96299999999999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236.44759999999997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233.93219999999999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231.41679999999999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228.9014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226.386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8" priority="11">
      <formula>F21&gt;0</formula>
    </cfRule>
    <cfRule type="expression" dxfId="397" priority="12">
      <formula>F21&lt;0</formula>
    </cfRule>
  </conditionalFormatting>
  <conditionalFormatting sqref="H21:H23">
    <cfRule type="expression" dxfId="396" priority="9">
      <formula>H21&gt;0</formula>
    </cfRule>
    <cfRule type="expression" dxfId="395" priority="10">
      <formula>H21&lt;0</formula>
    </cfRule>
  </conditionalFormatting>
  <conditionalFormatting sqref="Q8">
    <cfRule type="expression" dxfId="394" priority="1">
      <formula>Q8&gt;0</formula>
    </cfRule>
    <cfRule type="expression" dxfId="393" priority="2">
      <formula>Q8&lt;0</formula>
    </cfRule>
  </conditionalFormatting>
  <conditionalFormatting sqref="Q7">
    <cfRule type="expression" dxfId="392" priority="3">
      <formula>Q7&gt;0</formula>
    </cfRule>
    <cfRule type="expression" dxfId="391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71.02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71.02</v>
      </c>
      <c r="R4" s="475">
        <v>-4.3E-3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78.122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77.411799999999999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76.701599999999999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75.991399999999999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75.281199999999998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74.570999999999998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73.860799999999998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73.150599999999997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72.440399999999997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71.730199999999996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71.02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70.309799999999996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69.599599999999995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68.889399999999995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68.179199999999994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67.468999999999994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66.758799999999994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66.048599999999993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65.338399999999993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64.628199999999993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63.917999999999999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0" priority="15">
      <formula>F29&gt;0</formula>
    </cfRule>
    <cfRule type="expression" dxfId="389" priority="16">
      <formula>F29&lt;0</formula>
    </cfRule>
  </conditionalFormatting>
  <conditionalFormatting sqref="F34:F62">
    <cfRule type="expression" dxfId="388" priority="11">
      <formula>F34&gt;0</formula>
    </cfRule>
    <cfRule type="expression" dxfId="387" priority="12">
      <formula>F34&lt;0</formula>
    </cfRule>
  </conditionalFormatting>
  <conditionalFormatting sqref="F34:F62">
    <cfRule type="expression" dxfId="386" priority="13">
      <formula>F34&gt;0</formula>
    </cfRule>
    <cfRule type="expression" dxfId="385" priority="14">
      <formula>F34&lt;0</formula>
    </cfRule>
  </conditionalFormatting>
  <conditionalFormatting sqref="H29:H62">
    <cfRule type="expression" dxfId="384" priority="9">
      <formula>H29&gt;0</formula>
    </cfRule>
    <cfRule type="expression" dxfId="383" priority="10">
      <formula>H29&lt;0</formula>
    </cfRule>
  </conditionalFormatting>
  <conditionalFormatting sqref="F25:F28">
    <cfRule type="expression" dxfId="382" priority="7">
      <formula>F25&gt;0</formula>
    </cfRule>
    <cfRule type="expression" dxfId="381" priority="8">
      <formula>F25&lt;0</formula>
    </cfRule>
  </conditionalFormatting>
  <conditionalFormatting sqref="H25:H28">
    <cfRule type="expression" dxfId="380" priority="5">
      <formula>H25&gt;0</formula>
    </cfRule>
    <cfRule type="expression" dxfId="379" priority="6">
      <formula>H25&lt;0</formula>
    </cfRule>
  </conditionalFormatting>
  <conditionalFormatting sqref="Q7">
    <cfRule type="expression" dxfId="378" priority="3">
      <formula>Q7&gt;0</formula>
    </cfRule>
    <cfRule type="expression" dxfId="377" priority="4">
      <formula>Q7&lt;0</formula>
    </cfRule>
  </conditionalFormatting>
  <conditionalFormatting sqref="Q8">
    <cfRule type="expression" dxfId="376" priority="1">
      <formula>Q8&gt;0</formula>
    </cfRule>
    <cfRule type="expression" dxfId="375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53.32</v>
      </c>
      <c r="R4" s="492">
        <v>-5.9999999999999995E-4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58.652000000000008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58.118800000000007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57.585600000000007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57.052400000000006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56.519200000000005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55.986000000000004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55.452800000000003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54.919600000000003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54.386400000000002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53.853200000000001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53.32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52.786799999999999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52.253599999999999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51.720399999999998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51.187199999999997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50.653999999999996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50.120799999999996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49.587600000000002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49.054400000000001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48.5212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47.988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74" priority="73">
      <formula>F25&gt;0</formula>
    </cfRule>
    <cfRule type="expression" dxfId="373" priority="74">
      <formula>F25&lt;0</formula>
    </cfRule>
  </conditionalFormatting>
  <conditionalFormatting sqref="F57:F64 F66">
    <cfRule type="expression" dxfId="372" priority="69">
      <formula>F57&gt;0</formula>
    </cfRule>
    <cfRule type="expression" dxfId="371" priority="70">
      <formula>F57&lt;0</formula>
    </cfRule>
  </conditionalFormatting>
  <conditionalFormatting sqref="F57:F64 F66">
    <cfRule type="expression" dxfId="370" priority="71">
      <formula>F57&gt;0</formula>
    </cfRule>
    <cfRule type="expression" dxfId="369" priority="72">
      <formula>F57&lt;0</formula>
    </cfRule>
  </conditionalFormatting>
  <conditionalFormatting sqref="H57:H64 H66">
    <cfRule type="expression" dxfId="368" priority="67">
      <formula>H57&gt;0</formula>
    </cfRule>
    <cfRule type="expression" dxfId="367" priority="68">
      <formula>H57&lt;0</formula>
    </cfRule>
  </conditionalFormatting>
  <conditionalFormatting sqref="Q7">
    <cfRule type="expression" dxfId="366" priority="49">
      <formula>Q7&gt;0</formula>
    </cfRule>
    <cfRule type="expression" dxfId="365" priority="50">
      <formula>Q7&lt;0</formula>
    </cfRule>
  </conditionalFormatting>
  <conditionalFormatting sqref="Q8">
    <cfRule type="expression" dxfId="364" priority="47">
      <formula>Q8&gt;0</formula>
    </cfRule>
    <cfRule type="expression" dxfId="363" priority="48">
      <formula>Q8&lt;0</formula>
    </cfRule>
  </conditionalFormatting>
  <conditionalFormatting sqref="F24">
    <cfRule type="expression" dxfId="362" priority="33">
      <formula>F24&gt;0</formula>
    </cfRule>
    <cfRule type="expression" dxfId="361" priority="34">
      <formula>F24&lt;0</formula>
    </cfRule>
  </conditionalFormatting>
  <conditionalFormatting sqref="H24">
    <cfRule type="expression" dxfId="360" priority="31">
      <formula>H24&gt;0</formula>
    </cfRule>
    <cfRule type="expression" dxfId="359" priority="32">
      <formula>H24&lt;0</formula>
    </cfRule>
  </conditionalFormatting>
  <conditionalFormatting sqref="M67">
    <cfRule type="expression" dxfId="358" priority="29">
      <formula>M67&gt;0</formula>
    </cfRule>
    <cfRule type="expression" dxfId="357" priority="30">
      <formula>M67&lt;0</formula>
    </cfRule>
  </conditionalFormatting>
  <conditionalFormatting sqref="F65">
    <cfRule type="expression" dxfId="356" priority="25">
      <formula>F65&gt;0</formula>
    </cfRule>
    <cfRule type="expression" dxfId="355" priority="26">
      <formula>F65&lt;0</formula>
    </cfRule>
  </conditionalFormatting>
  <conditionalFormatting sqref="F65">
    <cfRule type="expression" dxfId="354" priority="27">
      <formula>F65&gt;0</formula>
    </cfRule>
    <cfRule type="expression" dxfId="353" priority="28">
      <formula>F65&lt;0</formula>
    </cfRule>
  </conditionalFormatting>
  <conditionalFormatting sqref="H65">
    <cfRule type="expression" dxfId="352" priority="23">
      <formula>H65&gt;0</formula>
    </cfRule>
    <cfRule type="expression" dxfId="351" priority="24">
      <formula>H65&lt;0</formula>
    </cfRule>
  </conditionalFormatting>
  <conditionalFormatting sqref="F93:F97 H93:H97 H99:H124 F99:F124">
    <cfRule type="expression" dxfId="350" priority="19">
      <formula>F93&gt;0</formula>
    </cfRule>
    <cfRule type="expression" dxfId="349" priority="20">
      <formula>F93&lt;0</formula>
    </cfRule>
  </conditionalFormatting>
  <conditionalFormatting sqref="F125:F132 F134">
    <cfRule type="expression" dxfId="348" priority="15">
      <formula>F125&gt;0</formula>
    </cfRule>
    <cfRule type="expression" dxfId="347" priority="16">
      <formula>F125&lt;0</formula>
    </cfRule>
  </conditionalFormatting>
  <conditionalFormatting sqref="F125:F132 F134">
    <cfRule type="expression" dxfId="346" priority="17">
      <formula>F125&gt;0</formula>
    </cfRule>
    <cfRule type="expression" dxfId="345" priority="18">
      <formula>F125&lt;0</formula>
    </cfRule>
  </conditionalFormatting>
  <conditionalFormatting sqref="H125:H132 H134">
    <cfRule type="expression" dxfId="344" priority="13">
      <formula>H125&gt;0</formula>
    </cfRule>
    <cfRule type="expression" dxfId="343" priority="14">
      <formula>H125&lt;0</formula>
    </cfRule>
  </conditionalFormatting>
  <conditionalFormatting sqref="F92">
    <cfRule type="expression" dxfId="342" priority="11">
      <formula>F92&gt;0</formula>
    </cfRule>
    <cfRule type="expression" dxfId="341" priority="12">
      <formula>F92&lt;0</formula>
    </cfRule>
  </conditionalFormatting>
  <conditionalFormatting sqref="H92">
    <cfRule type="expression" dxfId="340" priority="9">
      <formula>H92&gt;0</formula>
    </cfRule>
    <cfRule type="expression" dxfId="339" priority="10">
      <formula>H92&lt;0</formula>
    </cfRule>
  </conditionalFormatting>
  <conditionalFormatting sqref="F133">
    <cfRule type="expression" dxfId="338" priority="5">
      <formula>F133&gt;0</formula>
    </cfRule>
    <cfRule type="expression" dxfId="337" priority="6">
      <formula>F133&lt;0</formula>
    </cfRule>
  </conditionalFormatting>
  <conditionalFormatting sqref="F133">
    <cfRule type="expression" dxfId="336" priority="7">
      <formula>F133&gt;0</formula>
    </cfRule>
    <cfRule type="expression" dxfId="335" priority="8">
      <formula>F133&lt;0</formula>
    </cfRule>
  </conditionalFormatting>
  <conditionalFormatting sqref="H133">
    <cfRule type="expression" dxfId="334" priority="3">
      <formula>H133&gt;0</formula>
    </cfRule>
    <cfRule type="expression" dxfId="333" priority="4">
      <formula>H133&lt;0</formula>
    </cfRule>
  </conditionalFormatting>
  <conditionalFormatting sqref="F98 H98">
    <cfRule type="expression" dxfId="332" priority="1">
      <formula>F98&gt;0</formula>
    </cfRule>
    <cfRule type="expression" dxfId="331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200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47.110650000000007</v>
      </c>
      <c r="T3" s="29">
        <v>42565</v>
      </c>
      <c r="U3" t="s">
        <v>233</v>
      </c>
    </row>
    <row r="4" spans="1:21" x14ac:dyDescent="0.25">
      <c r="B4" s="474">
        <v>43278</v>
      </c>
      <c r="C4" s="4">
        <v>50</v>
      </c>
      <c r="D4" s="3">
        <v>49.88</v>
      </c>
      <c r="E4" s="3">
        <v>0</v>
      </c>
      <c r="F4" s="3">
        <f>C4*D4+E4</f>
        <v>2494</v>
      </c>
      <c r="G4" s="72"/>
      <c r="H4" s="176"/>
      <c r="I4" s="3"/>
      <c r="J4" s="3"/>
      <c r="K4" s="3"/>
      <c r="L4" s="4"/>
      <c r="M4" s="4"/>
      <c r="O4" s="11" t="s">
        <v>66</v>
      </c>
      <c r="Q4" s="192">
        <v>49.54</v>
      </c>
      <c r="R4" s="494">
        <v>-1.8E-3</v>
      </c>
      <c r="T4" s="29">
        <v>42568</v>
      </c>
      <c r="U4" t="s">
        <v>242</v>
      </c>
    </row>
    <row r="5" spans="1:21" x14ac:dyDescent="0.25">
      <c r="B5" s="474">
        <v>43279</v>
      </c>
      <c r="C5" s="4">
        <v>50</v>
      </c>
      <c r="D5" s="3">
        <v>49.08</v>
      </c>
      <c r="E5" s="3">
        <v>0</v>
      </c>
      <c r="F5" s="3">
        <f>C5*D5+E5</f>
        <v>2454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9908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9422.130000000001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1684.3399999999961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485.86999999999898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5.1566896232592731E-2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2.4626564392410174E-2</v>
      </c>
      <c r="R11">
        <f>0.305</f>
        <v>0.30499999999999999</v>
      </c>
      <c r="T11" s="29">
        <v>43257</v>
      </c>
      <c r="U11" t="s">
        <v>1124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7.9391025641025639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300</v>
      </c>
      <c r="D29" s="18"/>
      <c r="E29" s="18"/>
      <c r="F29" s="18">
        <f>SUM(F2:F19)</f>
        <v>15061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5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3"/>
        <v>657.36999999999955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3"/>
        <v>967.9000000000002</v>
      </c>
      <c r="G42" s="39">
        <f t="shared" ref="G42:G45" si="6">D42*C42</f>
        <v>4474.1000000000004</v>
      </c>
      <c r="H42" s="222">
        <f t="shared" ref="H42:H45" si="7">(E42-D42)/D42</f>
        <v>0.21633401130953717</v>
      </c>
      <c r="I42" s="39"/>
      <c r="J42" s="39">
        <v>2166</v>
      </c>
      <c r="O42" s="848" t="s">
        <v>78</v>
      </c>
      <c r="P42" s="84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3"/>
        <v>655.99999999999955</v>
      </c>
      <c r="G43" s="39">
        <f t="shared" si="6"/>
        <v>4474</v>
      </c>
      <c r="H43" s="222">
        <f t="shared" si="7"/>
        <v>0.1466249441215913</v>
      </c>
      <c r="I43" s="39"/>
      <c r="J43" s="39">
        <v>1855</v>
      </c>
      <c r="O43" s="81">
        <v>1.1000000000000001</v>
      </c>
      <c r="P43" s="81">
        <f>O43*$Q$4</f>
        <v>54.494000000000007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3"/>
        <v>515.37000000000012</v>
      </c>
      <c r="G44" s="39">
        <f t="shared" si="6"/>
        <v>6968.13</v>
      </c>
      <c r="H44" s="222">
        <f t="shared" si="7"/>
        <v>7.3961019670987782E-2</v>
      </c>
      <c r="I44" s="39"/>
      <c r="J44" s="39">
        <v>1714</v>
      </c>
      <c r="O44" s="81">
        <v>1.0900000000000001</v>
      </c>
      <c r="P44" s="81">
        <f t="shared" ref="P44:P63" si="8">O44*$Q$4</f>
        <v>53.998600000000003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3"/>
        <v>537.85999999999922</v>
      </c>
      <c r="G45" s="39">
        <f t="shared" si="6"/>
        <v>9422.14</v>
      </c>
      <c r="H45" s="222">
        <f t="shared" si="7"/>
        <v>5.7084696257962537E-2</v>
      </c>
      <c r="I45" s="39"/>
      <c r="J45" s="39">
        <v>1736</v>
      </c>
      <c r="O45" s="81">
        <v>1.08</v>
      </c>
      <c r="P45" s="81">
        <f t="shared" si="8"/>
        <v>53.5032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53.007800000000003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52.5124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52.017000000000003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51.521599999999999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51.026200000000003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50.530799999999999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50.035400000000003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49.54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49.044599999999996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48.549199999999999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48.053799999999995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47.558399999999999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47.062999999999995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46.567599999999999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46.072200000000002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45.576799999999999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45.081400000000002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44.585999999999999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30" priority="61">
      <formula>F45&gt;0</formula>
    </cfRule>
    <cfRule type="expression" dxfId="329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8" priority="63">
      <formula>F44&gt;0</formula>
    </cfRule>
    <cfRule type="expression" dxfId="327" priority="64">
      <formula>F44&lt;0</formula>
    </cfRule>
  </conditionalFormatting>
  <conditionalFormatting sqref="F45:F59 F61:F91 F93:F102">
    <cfRule type="expression" dxfId="326" priority="59">
      <formula>F45&gt;0</formula>
    </cfRule>
    <cfRule type="expression" dxfId="325" priority="60">
      <formula>F45&lt;0</formula>
    </cfRule>
  </conditionalFormatting>
  <conditionalFormatting sqref="H43:H59 H61:H91 H93:H102">
    <cfRule type="expression" dxfId="324" priority="57">
      <formula>H43&gt;0</formula>
    </cfRule>
    <cfRule type="expression" dxfId="323" priority="58">
      <formula>H43&lt;0</formula>
    </cfRule>
  </conditionalFormatting>
  <conditionalFormatting sqref="F36:F43">
    <cfRule type="expression" dxfId="322" priority="55">
      <formula>F36&gt;0</formula>
    </cfRule>
    <cfRule type="expression" dxfId="321" priority="56">
      <formula>F36&lt;0</formula>
    </cfRule>
  </conditionalFormatting>
  <conditionalFormatting sqref="H36:H42">
    <cfRule type="expression" dxfId="320" priority="53">
      <formula>H36&gt;0</formula>
    </cfRule>
    <cfRule type="expression" dxfId="319" priority="54">
      <formula>H36&lt;0</formula>
    </cfRule>
  </conditionalFormatting>
  <conditionalFormatting sqref="Q7">
    <cfRule type="expression" dxfId="318" priority="47">
      <formula>Q7&gt;0</formula>
    </cfRule>
    <cfRule type="expression" dxfId="317" priority="48">
      <formula>Q7&lt;0</formula>
    </cfRule>
  </conditionalFormatting>
  <conditionalFormatting sqref="Q8">
    <cfRule type="expression" dxfId="316" priority="45">
      <formula>Q8&gt;0</formula>
    </cfRule>
    <cfRule type="expression" dxfId="315" priority="46">
      <formula>Q8&lt;0</formula>
    </cfRule>
  </conditionalFormatting>
  <conditionalFormatting sqref="Q10">
    <cfRule type="expression" dxfId="314" priority="43">
      <formula>Q10&gt;0</formula>
    </cfRule>
    <cfRule type="expression" dxfId="313" priority="44">
      <formula>Q10&lt;0</formula>
    </cfRule>
  </conditionalFormatting>
  <conditionalFormatting sqref="F60">
    <cfRule type="expression" dxfId="312" priority="41">
      <formula>F60&gt;0</formula>
    </cfRule>
    <cfRule type="expression" dxfId="311" priority="42">
      <formula>F60&lt;0</formula>
    </cfRule>
  </conditionalFormatting>
  <conditionalFormatting sqref="F60">
    <cfRule type="expression" dxfId="310" priority="39">
      <formula>F60&gt;0</formula>
    </cfRule>
    <cfRule type="expression" dxfId="309" priority="40">
      <formula>F60&lt;0</formula>
    </cfRule>
  </conditionalFormatting>
  <conditionalFormatting sqref="H60">
    <cfRule type="expression" dxfId="308" priority="37">
      <formula>H60&gt;0</formula>
    </cfRule>
    <cfRule type="expression" dxfId="307" priority="38">
      <formula>H60&lt;0</formula>
    </cfRule>
  </conditionalFormatting>
  <conditionalFormatting sqref="F92">
    <cfRule type="expression" dxfId="306" priority="35">
      <formula>F92&gt;0</formula>
    </cfRule>
    <cfRule type="expression" dxfId="305" priority="36">
      <formula>F92&lt;0</formula>
    </cfRule>
  </conditionalFormatting>
  <conditionalFormatting sqref="F92">
    <cfRule type="expression" dxfId="304" priority="33">
      <formula>F92&gt;0</formula>
    </cfRule>
    <cfRule type="expression" dxfId="303" priority="34">
      <formula>F92&lt;0</formula>
    </cfRule>
  </conditionalFormatting>
  <conditionalFormatting sqref="H92">
    <cfRule type="expression" dxfId="302" priority="31">
      <formula>H92&gt;0</formula>
    </cfRule>
    <cfRule type="expression" dxfId="301" priority="32">
      <formula>H92&lt;0</formula>
    </cfRule>
  </conditionalFormatting>
  <conditionalFormatting sqref="F169:F183 F185:F215 F217:F226">
    <cfRule type="expression" dxfId="300" priority="27">
      <formula>F169&gt;0</formula>
    </cfRule>
    <cfRule type="expression" dxfId="299" priority="28">
      <formula>F169&lt;0</formula>
    </cfRule>
  </conditionalFormatting>
  <conditionalFormatting sqref="F164:F168">
    <cfRule type="expression" dxfId="298" priority="29">
      <formula>F164&gt;0</formula>
    </cfRule>
    <cfRule type="expression" dxfId="297" priority="30">
      <formula>F164&lt;0</formula>
    </cfRule>
  </conditionalFormatting>
  <conditionalFormatting sqref="F169:F183 F185:F215 F217:F226">
    <cfRule type="expression" dxfId="296" priority="25">
      <formula>F169&gt;0</formula>
    </cfRule>
    <cfRule type="expression" dxfId="295" priority="26">
      <formula>F169&lt;0</formula>
    </cfRule>
  </conditionalFormatting>
  <conditionalFormatting sqref="H164:H183 H185:H215 H217:H226">
    <cfRule type="expression" dxfId="294" priority="23">
      <formula>H164&gt;0</formula>
    </cfRule>
    <cfRule type="expression" dxfId="293" priority="24">
      <formula>H164&lt;0</formula>
    </cfRule>
  </conditionalFormatting>
  <conditionalFormatting sqref="F160:F163">
    <cfRule type="expression" dxfId="292" priority="21">
      <formula>F160&gt;0</formula>
    </cfRule>
    <cfRule type="expression" dxfId="291" priority="22">
      <formula>F160&lt;0</formula>
    </cfRule>
  </conditionalFormatting>
  <conditionalFormatting sqref="H160:H163">
    <cfRule type="expression" dxfId="290" priority="19">
      <formula>H160&gt;0</formula>
    </cfRule>
    <cfRule type="expression" dxfId="289" priority="20">
      <formula>H160&lt;0</formula>
    </cfRule>
  </conditionalFormatting>
  <conditionalFormatting sqref="F184">
    <cfRule type="expression" dxfId="288" priority="17">
      <formula>F184&gt;0</formula>
    </cfRule>
    <cfRule type="expression" dxfId="287" priority="18">
      <formula>F184&lt;0</formula>
    </cfRule>
  </conditionalFormatting>
  <conditionalFormatting sqref="F184">
    <cfRule type="expression" dxfId="286" priority="15">
      <formula>F184&gt;0</formula>
    </cfRule>
    <cfRule type="expression" dxfId="285" priority="16">
      <formula>F184&lt;0</formula>
    </cfRule>
  </conditionalFormatting>
  <conditionalFormatting sqref="H184">
    <cfRule type="expression" dxfId="284" priority="13">
      <formula>H184&gt;0</formula>
    </cfRule>
    <cfRule type="expression" dxfId="283" priority="14">
      <formula>H184&lt;0</formula>
    </cfRule>
  </conditionalFormatting>
  <conditionalFormatting sqref="F216">
    <cfRule type="expression" dxfId="282" priority="11">
      <formula>F216&gt;0</formula>
    </cfRule>
    <cfRule type="expression" dxfId="281" priority="12">
      <formula>F216&lt;0</formula>
    </cfRule>
  </conditionalFormatting>
  <conditionalFormatting sqref="F216">
    <cfRule type="expression" dxfId="280" priority="9">
      <formula>F216&gt;0</formula>
    </cfRule>
    <cfRule type="expression" dxfId="279" priority="10">
      <formula>F216&lt;0</formula>
    </cfRule>
  </conditionalFormatting>
  <conditionalFormatting sqref="H216">
    <cfRule type="expression" dxfId="278" priority="7">
      <formula>H216&gt;0</formula>
    </cfRule>
    <cfRule type="expression" dxfId="277" priority="8">
      <formula>H216&lt;0</formula>
    </cfRule>
  </conditionalFormatting>
  <conditionalFormatting sqref="J38:J39">
    <cfRule type="expression" dxfId="276" priority="5">
      <formula>J38&gt;0</formula>
    </cfRule>
    <cfRule type="expression" dxfId="275" priority="6">
      <formula>J38&lt;0</formula>
    </cfRule>
  </conditionalFormatting>
  <conditionalFormatting sqref="J41:J51">
    <cfRule type="expression" dxfId="274" priority="3">
      <formula>J41&gt;0</formula>
    </cfRule>
    <cfRule type="expression" dxfId="273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23.62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23.62</v>
      </c>
      <c r="R4" s="475">
        <v>2.0999999999999999E-3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9.6408163265306115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25.982000000000003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25.745800000000003</v>
      </c>
      <c r="U18" t="s">
        <v>1083</v>
      </c>
    </row>
    <row r="19" spans="1:21" x14ac:dyDescent="0.25">
      <c r="O19" s="81">
        <v>1.08</v>
      </c>
      <c r="P19" s="81">
        <f t="shared" si="0"/>
        <v>25.509600000000002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25.273400000000002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25.037200000000002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24.801000000000002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24.564800000000002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24.328600000000002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24.092400000000001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23.856200000000001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23.62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23.383800000000001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23.147600000000001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22.9114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22.6752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22.439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22.2028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21.966600000000003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21.730400000000003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21.494200000000003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21.258000000000003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2" priority="99">
      <formula>F27&gt;0</formula>
    </cfRule>
    <cfRule type="expression" dxfId="271" priority="100">
      <formula>F27&lt;0</formula>
    </cfRule>
  </conditionalFormatting>
  <conditionalFormatting sqref="H27:H29">
    <cfRule type="expression" dxfId="270" priority="97">
      <formula>H27&gt;0</formula>
    </cfRule>
    <cfRule type="expression" dxfId="269" priority="98">
      <formula>H27&lt;0</formula>
    </cfRule>
  </conditionalFormatting>
  <conditionalFormatting sqref="H30">
    <cfRule type="expression" dxfId="268" priority="93">
      <formula>H30&gt;0</formula>
    </cfRule>
    <cfRule type="expression" dxfId="267" priority="94">
      <formula>H30&lt;0</formula>
    </cfRule>
  </conditionalFormatting>
  <conditionalFormatting sqref="H31:H55">
    <cfRule type="expression" dxfId="266" priority="91">
      <formula>H31&gt;0</formula>
    </cfRule>
    <cfRule type="expression" dxfId="265" priority="92">
      <formula>H31&lt;0</formula>
    </cfRule>
  </conditionalFormatting>
  <conditionalFormatting sqref="F31">
    <cfRule type="expression" dxfId="264" priority="85">
      <formula>F31&gt;0</formula>
    </cfRule>
    <cfRule type="expression" dxfId="263" priority="86">
      <formula>F31&lt;0</formula>
    </cfRule>
  </conditionalFormatting>
  <conditionalFormatting sqref="I25:I29">
    <cfRule type="expression" dxfId="262" priority="83">
      <formula>I25&gt;0</formula>
    </cfRule>
    <cfRule type="expression" dxfId="261" priority="84">
      <formula>I25&lt;0</formula>
    </cfRule>
  </conditionalFormatting>
  <conditionalFormatting sqref="I30:I33 I35 I38:K38 I40:K55">
    <cfRule type="expression" dxfId="260" priority="77">
      <formula>I30&gt;0</formula>
    </cfRule>
    <cfRule type="expression" dxfId="259" priority="78">
      <formula>I30&lt;0</formula>
    </cfRule>
  </conditionalFormatting>
  <conditionalFormatting sqref="I21:K24">
    <cfRule type="expression" dxfId="258" priority="75">
      <formula>I21&gt;0</formula>
    </cfRule>
    <cfRule type="expression" dxfId="257" priority="76">
      <formula>I21&lt;0</formula>
    </cfRule>
  </conditionalFormatting>
  <conditionalFormatting sqref="F32:F55">
    <cfRule type="expression" dxfId="256" priority="73">
      <formula>F32&gt;0</formula>
    </cfRule>
    <cfRule type="expression" dxfId="255" priority="74">
      <formula>F32&lt;0</formula>
    </cfRule>
  </conditionalFormatting>
  <conditionalFormatting sqref="Q8">
    <cfRule type="expression" dxfId="254" priority="69">
      <formula>Q8&gt;0</formula>
    </cfRule>
    <cfRule type="expression" dxfId="253" priority="70">
      <formula>Q8&lt;0</formula>
    </cfRule>
  </conditionalFormatting>
  <conditionalFormatting sqref="Q7">
    <cfRule type="expression" dxfId="252" priority="71">
      <formula>Q7&gt;0</formula>
    </cfRule>
    <cfRule type="expression" dxfId="251" priority="72">
      <formula>Q7&lt;0</formula>
    </cfRule>
  </conditionalFormatting>
  <conditionalFormatting sqref="F82">
    <cfRule type="expression" dxfId="250" priority="57">
      <formula>F82&gt;0</formula>
    </cfRule>
    <cfRule type="expression" dxfId="249" priority="58">
      <formula>F82&lt;0</formula>
    </cfRule>
  </conditionalFormatting>
  <conditionalFormatting sqref="H82">
    <cfRule type="expression" dxfId="248" priority="55">
      <formula>H82&gt;0</formula>
    </cfRule>
    <cfRule type="expression" dxfId="247" priority="56">
      <formula>H82&lt;0</formula>
    </cfRule>
  </conditionalFormatting>
  <conditionalFormatting sqref="I82">
    <cfRule type="expression" dxfId="246" priority="43">
      <formula>I82&gt;0</formula>
    </cfRule>
    <cfRule type="expression" dxfId="245" priority="44">
      <formula>I82&lt;0</formula>
    </cfRule>
  </conditionalFormatting>
  <conditionalFormatting sqref="F25:F26">
    <cfRule type="expression" dxfId="244" priority="39">
      <formula>F25&gt;0</formula>
    </cfRule>
    <cfRule type="expression" dxfId="243" priority="40">
      <formula>F25&lt;0</formula>
    </cfRule>
  </conditionalFormatting>
  <conditionalFormatting sqref="H25:H26">
    <cfRule type="expression" dxfId="242" priority="37">
      <formula>H25&gt;0</formula>
    </cfRule>
    <cfRule type="expression" dxfId="241" priority="38">
      <formula>H25&lt;0</formula>
    </cfRule>
  </conditionalFormatting>
  <conditionalFormatting sqref="F88:F92">
    <cfRule type="expression" dxfId="240" priority="35">
      <formula>F88&gt;0</formula>
    </cfRule>
    <cfRule type="expression" dxfId="239" priority="36">
      <formula>F88&lt;0</formula>
    </cfRule>
  </conditionalFormatting>
  <conditionalFormatting sqref="H88:H90">
    <cfRule type="expression" dxfId="238" priority="33">
      <formula>H88&gt;0</formula>
    </cfRule>
    <cfRule type="expression" dxfId="237" priority="34">
      <formula>H88&lt;0</formula>
    </cfRule>
  </conditionalFormatting>
  <conditionalFormatting sqref="H91:H92">
    <cfRule type="expression" dxfId="236" priority="31">
      <formula>H91&gt;0</formula>
    </cfRule>
    <cfRule type="expression" dxfId="235" priority="32">
      <formula>H91&lt;0</formula>
    </cfRule>
  </conditionalFormatting>
  <conditionalFormatting sqref="H93:H118">
    <cfRule type="expression" dxfId="234" priority="29">
      <formula>H93&gt;0</formula>
    </cfRule>
    <cfRule type="expression" dxfId="233" priority="30">
      <formula>H93&lt;0</formula>
    </cfRule>
  </conditionalFormatting>
  <conditionalFormatting sqref="F83:F86">
    <cfRule type="expression" dxfId="232" priority="27">
      <formula>F83&gt;0</formula>
    </cfRule>
    <cfRule type="expression" dxfId="231" priority="28">
      <formula>F83&lt;0</formula>
    </cfRule>
  </conditionalFormatting>
  <conditionalFormatting sqref="H83:H86">
    <cfRule type="expression" dxfId="230" priority="25">
      <formula>H83&gt;0</formula>
    </cfRule>
    <cfRule type="expression" dxfId="229" priority="26">
      <formula>H83&lt;0</formula>
    </cfRule>
  </conditionalFormatting>
  <conditionalFormatting sqref="F93">
    <cfRule type="expression" dxfId="228" priority="23">
      <formula>F93&gt;0</formula>
    </cfRule>
    <cfRule type="expression" dxfId="227" priority="24">
      <formula>F93&lt;0</formula>
    </cfRule>
  </conditionalFormatting>
  <conditionalFormatting sqref="I87:I89">
    <cfRule type="expression" dxfId="226" priority="21">
      <formula>I87&gt;0</formula>
    </cfRule>
    <cfRule type="expression" dxfId="225" priority="22">
      <formula>I87&lt;0</formula>
    </cfRule>
  </conditionalFormatting>
  <conditionalFormatting sqref="I90">
    <cfRule type="expression" dxfId="224" priority="19">
      <formula>I90&gt;0</formula>
    </cfRule>
    <cfRule type="expression" dxfId="223" priority="20">
      <formula>I90&lt;0</formula>
    </cfRule>
  </conditionalFormatting>
  <conditionalFormatting sqref="I91">
    <cfRule type="expression" dxfId="222" priority="17">
      <formula>I91&gt;0</formula>
    </cfRule>
    <cfRule type="expression" dxfId="221" priority="18">
      <formula>I91&lt;0</formula>
    </cfRule>
  </conditionalFormatting>
  <conditionalFormatting sqref="I92:I95 I97 I100 I102:I118">
    <cfRule type="expression" dxfId="220" priority="15">
      <formula>I92&gt;0</formula>
    </cfRule>
    <cfRule type="expression" dxfId="219" priority="16">
      <formula>I92&lt;0</formula>
    </cfRule>
  </conditionalFormatting>
  <conditionalFormatting sqref="I83:I86">
    <cfRule type="expression" dxfId="218" priority="13">
      <formula>I83&gt;0</formula>
    </cfRule>
    <cfRule type="expression" dxfId="217" priority="14">
      <formula>I83&lt;0</formula>
    </cfRule>
  </conditionalFormatting>
  <conditionalFormatting sqref="F94:F118">
    <cfRule type="expression" dxfId="216" priority="11">
      <formula>F94&gt;0</formula>
    </cfRule>
    <cfRule type="expression" dxfId="215" priority="12">
      <formula>F94&lt;0</formula>
    </cfRule>
  </conditionalFormatting>
  <conditionalFormatting sqref="F87">
    <cfRule type="expression" dxfId="214" priority="9">
      <formula>F87&gt;0</formula>
    </cfRule>
    <cfRule type="expression" dxfId="213" priority="10">
      <formula>F87&lt;0</formula>
    </cfRule>
  </conditionalFormatting>
  <conditionalFormatting sqref="H87">
    <cfRule type="expression" dxfId="212" priority="7">
      <formula>H87&gt;0</formula>
    </cfRule>
    <cfRule type="expression" dxfId="211" priority="8">
      <formula>H87&lt;0</formula>
    </cfRule>
  </conditionalFormatting>
  <conditionalFormatting sqref="F21:F24">
    <cfRule type="expression" dxfId="210" priority="5">
      <formula>F21&gt;0</formula>
    </cfRule>
    <cfRule type="expression" dxfId="209" priority="6">
      <formula>F21&lt;0</formula>
    </cfRule>
  </conditionalFormatting>
  <conditionalFormatting sqref="H21:H24">
    <cfRule type="expression" dxfId="208" priority="3">
      <formula>H21&gt;0</formula>
    </cfRule>
    <cfRule type="expression" dxfId="207" priority="4">
      <formula>H21&lt;0</formula>
    </cfRule>
  </conditionalFormatting>
  <conditionalFormatting sqref="J25:K27 J30:K37 J28:J29">
    <cfRule type="expression" dxfId="206" priority="1">
      <formula>J25&gt;0</formula>
    </cfRule>
    <cfRule type="expression" dxfId="205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104.26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104.26</v>
      </c>
      <c r="R4" s="475">
        <v>-1.9E-3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114.68600000000002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113.64340000000001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112.60080000000001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111.55820000000001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110.51560000000001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109.47300000000001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108.43040000000001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107.38780000000001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106.34520000000001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105.30260000000001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104.26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103.2174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102.1748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101.1322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100.0896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99.046999999999997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98.004400000000004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96.961800000000011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95.919200000000004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94.87660000000001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93.834000000000003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04" priority="15">
      <formula>F25&gt;0</formula>
    </cfRule>
    <cfRule type="expression" dxfId="203" priority="16">
      <formula>F25&lt;0</formula>
    </cfRule>
  </conditionalFormatting>
  <conditionalFormatting sqref="F32:F70">
    <cfRule type="expression" dxfId="202" priority="11">
      <formula>F32&gt;0</formula>
    </cfRule>
    <cfRule type="expression" dxfId="201" priority="12">
      <formula>F32&lt;0</formula>
    </cfRule>
  </conditionalFormatting>
  <conditionalFormatting sqref="F32:F70">
    <cfRule type="expression" dxfId="200" priority="13">
      <formula>F32&gt;0</formula>
    </cfRule>
    <cfRule type="expression" dxfId="199" priority="14">
      <formula>F32&lt;0</formula>
    </cfRule>
  </conditionalFormatting>
  <conditionalFormatting sqref="H25 H30:H70">
    <cfRule type="expression" dxfId="198" priority="9">
      <formula>H25&gt;0</formula>
    </cfRule>
    <cfRule type="expression" dxfId="197" priority="10">
      <formula>H25&lt;0</formula>
    </cfRule>
  </conditionalFormatting>
  <conditionalFormatting sqref="F26:F29">
    <cfRule type="expression" dxfId="196" priority="7">
      <formula>F26&gt;0</formula>
    </cfRule>
    <cfRule type="expression" dxfId="195" priority="8">
      <formula>F26&lt;0</formula>
    </cfRule>
  </conditionalFormatting>
  <conditionalFormatting sqref="H26:H29">
    <cfRule type="expression" dxfId="194" priority="5">
      <formula>H26&gt;0</formula>
    </cfRule>
    <cfRule type="expression" dxfId="193" priority="6">
      <formula>H26&lt;0</formula>
    </cfRule>
  </conditionalFormatting>
  <conditionalFormatting sqref="Q7">
    <cfRule type="expression" dxfId="192" priority="3">
      <formula>Q7&gt;0</formula>
    </cfRule>
    <cfRule type="expression" dxfId="191" priority="4">
      <formula>Q7&lt;0</formula>
    </cfRule>
  </conditionalFormatting>
  <conditionalFormatting sqref="Q8">
    <cfRule type="expression" dxfId="190" priority="1">
      <formula>Q8&gt;0</formula>
    </cfRule>
    <cfRule type="expression" dxfId="189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6.16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6.16</v>
      </c>
      <c r="R4" s="475">
        <v>-1.6000000000000001E-3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6.7760000000000007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6.7144000000000004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6.6528000000000009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6.5912000000000006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6.5296000000000003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6.4680000000000009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6.4064000000000005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6.3448000000000002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6.2831999999999999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6.2216000000000005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6.16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6.0983999999999998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6.0368000000000004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5.9752000000000001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5.9135999999999997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5.8519999999999994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5.7904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5.7288000000000006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5.6672000000000002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5.6055999999999999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5.5440000000000005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8" priority="25">
      <formula>F34&gt;0</formula>
    </cfRule>
    <cfRule type="expression" dxfId="187" priority="26">
      <formula>F34&lt;0</formula>
    </cfRule>
  </conditionalFormatting>
  <conditionalFormatting sqref="H124:H131">
    <cfRule type="expression" dxfId="186" priority="23">
      <formula>H124&gt;0</formula>
    </cfRule>
    <cfRule type="expression" dxfId="185" priority="24">
      <formula>H124&lt;0</formula>
    </cfRule>
  </conditionalFormatting>
  <conditionalFormatting sqref="H132">
    <cfRule type="expression" dxfId="184" priority="21">
      <formula>H132&gt;0</formula>
    </cfRule>
    <cfRule type="expression" dxfId="183" priority="22">
      <formula>H132&lt;0</formula>
    </cfRule>
  </conditionalFormatting>
  <conditionalFormatting sqref="Q8">
    <cfRule type="expression" dxfId="182" priority="11">
      <formula>Q8&gt;0</formula>
    </cfRule>
    <cfRule type="expression" dxfId="181" priority="12">
      <formula>Q8&lt;0</formula>
    </cfRule>
  </conditionalFormatting>
  <conditionalFormatting sqref="Q7">
    <cfRule type="expression" dxfId="180" priority="13">
      <formula>Q7&gt;0</formula>
    </cfRule>
    <cfRule type="expression" dxfId="179" priority="14">
      <formula>Q7&lt;0</formula>
    </cfRule>
  </conditionalFormatting>
  <conditionalFormatting sqref="F36:F39">
    <cfRule type="expression" dxfId="178" priority="9">
      <formula>F36&gt;0</formula>
    </cfRule>
    <cfRule type="expression" dxfId="177" priority="10">
      <formula>F36&lt;0</formula>
    </cfRule>
  </conditionalFormatting>
  <conditionalFormatting sqref="H36:H39">
    <cfRule type="expression" dxfId="176" priority="7">
      <formula>H36&gt;0</formula>
    </cfRule>
    <cfRule type="expression" dxfId="175" priority="8">
      <formula>H36&lt;0</formula>
    </cfRule>
  </conditionalFormatting>
  <conditionalFormatting sqref="K65:K99">
    <cfRule type="expression" dxfId="174" priority="5">
      <formula>K65&gt;0</formula>
    </cfRule>
    <cfRule type="expression" dxfId="173" priority="6">
      <formula>K65&lt;0</formula>
    </cfRule>
  </conditionalFormatting>
  <conditionalFormatting sqref="K72">
    <cfRule type="expression" dxfId="172" priority="3">
      <formula>K72&gt;0</formula>
    </cfRule>
    <cfRule type="expression" dxfId="171" priority="4">
      <formula>K72&lt;0</formula>
    </cfRule>
  </conditionalFormatting>
  <conditionalFormatting sqref="M69">
    <cfRule type="expression" dxfId="170" priority="1">
      <formula>M69&gt;0</formula>
    </cfRule>
    <cfRule type="expression" dxfId="169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221">
        <f>(F24-K24-M24)/Q2</f>
        <v>70.510000000000005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70.84</v>
      </c>
      <c r="R4" s="475">
        <v>2.46E-2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3542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3525.5000000000005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826.62999999998965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16.499999999999545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4.6801872074881696E-3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2.9361942405420664E-2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10.965944272445821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57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56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:F35" si="23">C33*(E33-D33)</f>
        <v>-282.99999999999983</v>
      </c>
      <c r="G33" s="39">
        <f t="shared" ref="G33:G35" si="24">D33*C33</f>
        <v>3554</v>
      </c>
      <c r="H33" s="222">
        <f t="shared" ref="H33:H35" si="25">(E33-D33)/D33</f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23"/>
        <v>3.0000000000001137</v>
      </c>
      <c r="G34" s="39">
        <f t="shared" si="24"/>
        <v>3554</v>
      </c>
      <c r="H34" s="223">
        <f t="shared" si="25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23"/>
        <v>-9.0000000000003411</v>
      </c>
      <c r="G35" s="39">
        <f t="shared" si="24"/>
        <v>3525.5000000000005</v>
      </c>
      <c r="H35" s="223">
        <f t="shared" si="25"/>
        <v>-2.5528293859028053E-3</v>
      </c>
      <c r="I35" s="339"/>
      <c r="J35" s="10"/>
      <c r="K35" s="39">
        <v>801</v>
      </c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77.924000000000007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77.215600000000009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76.507200000000012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75.798800000000014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75.090400000000002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74.382000000000005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73.673600000000008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72.96520000000001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72.256799999999998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71.548400000000001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70.84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70.131600000000006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69.423200000000008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68.714799999999997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68.006399999999999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67.298000000000002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66.589600000000004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65.881200000000007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65.172800000000009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64.464400000000012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63.756000000000007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39">C207*(E207-D207)</f>
        <v>39.000000000000057</v>
      </c>
      <c r="G207" s="802">
        <f t="shared" ref="G207:G225" si="40">D207*C207</f>
        <v>4094</v>
      </c>
      <c r="H207" s="806">
        <f t="shared" ref="H207:H225" si="41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39"/>
        <v>160.99999999999994</v>
      </c>
      <c r="G208" s="802">
        <f t="shared" si="40"/>
        <v>4094</v>
      </c>
      <c r="H208" s="806">
        <f t="shared" si="41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39"/>
        <v>43.500000000000227</v>
      </c>
      <c r="G209" s="802">
        <f t="shared" si="40"/>
        <v>8184.5</v>
      </c>
      <c r="H209" s="806">
        <f t="shared" si="41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39"/>
        <v>93.9</v>
      </c>
      <c r="G210" s="802">
        <f t="shared" si="40"/>
        <v>4005.1000000000004</v>
      </c>
      <c r="H210" s="806">
        <f t="shared" si="41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39"/>
        <v>78.900000000000148</v>
      </c>
      <c r="G211" s="802">
        <f t="shared" si="40"/>
        <v>8089.1</v>
      </c>
      <c r="H211" s="803">
        <f t="shared" si="41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39"/>
        <v>-791.10000000000014</v>
      </c>
      <c r="G212" s="802">
        <f t="shared" si="40"/>
        <v>11783.1</v>
      </c>
      <c r="H212" s="803">
        <f t="shared" si="41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39"/>
        <v>-341.19000000000028</v>
      </c>
      <c r="G213" s="802">
        <f t="shared" si="40"/>
        <v>7969.1900000000005</v>
      </c>
      <c r="H213" s="803">
        <f t="shared" si="41"/>
        <v>-4.2813636015705522E-2</v>
      </c>
      <c r="I213" s="808" t="s">
        <v>757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39"/>
        <v>-623.00000000000045</v>
      </c>
      <c r="G214" s="802">
        <f t="shared" si="40"/>
        <v>7969</v>
      </c>
      <c r="H214" s="803">
        <f t="shared" si="41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39"/>
        <v>-875.99999999999841</v>
      </c>
      <c r="G215" s="802">
        <f t="shared" si="40"/>
        <v>11548.5</v>
      </c>
      <c r="H215" s="803">
        <f t="shared" si="41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39"/>
        <v>-472.27999999999923</v>
      </c>
      <c r="G216" s="802">
        <f t="shared" si="40"/>
        <v>7839.28</v>
      </c>
      <c r="H216" s="803">
        <f t="shared" si="41"/>
        <v>-6.0245328652631269E-2</v>
      </c>
      <c r="I216" s="808" t="s">
        <v>767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39"/>
        <v>-550.27500000000134</v>
      </c>
      <c r="G217" s="802">
        <f t="shared" si="40"/>
        <v>11503.275000000001</v>
      </c>
      <c r="H217" s="803">
        <f t="shared" si="41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39"/>
        <v>-651.29999999999984</v>
      </c>
      <c r="G218" s="802">
        <f t="shared" si="40"/>
        <v>11451.3</v>
      </c>
      <c r="H218" s="803">
        <f t="shared" si="41"/>
        <v>-5.6875638573786365E-2</v>
      </c>
      <c r="I218" s="804" t="s">
        <v>823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39"/>
        <v>-706.00000000000023</v>
      </c>
      <c r="G219" s="802">
        <f t="shared" si="40"/>
        <v>15034</v>
      </c>
      <c r="H219" s="803">
        <f t="shared" si="41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39"/>
        <v>-239.85000000000056</v>
      </c>
      <c r="G220" s="802">
        <f t="shared" si="40"/>
        <v>11354.85</v>
      </c>
      <c r="H220" s="806">
        <f t="shared" si="41"/>
        <v>-2.1123132405976353E-2</v>
      </c>
      <c r="I220" s="808" t="s">
        <v>828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39"/>
        <v>-177.40000000000009</v>
      </c>
      <c r="G221" s="802">
        <f t="shared" si="40"/>
        <v>7629.4</v>
      </c>
      <c r="H221" s="803">
        <f t="shared" si="41"/>
        <v>-2.3252156132854498E-2</v>
      </c>
      <c r="I221" s="808" t="s">
        <v>854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39"/>
        <v>180.99999999999881</v>
      </c>
      <c r="G222" s="802">
        <f t="shared" si="40"/>
        <v>7629.0000000000009</v>
      </c>
      <c r="H222" s="803">
        <f t="shared" si="41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39"/>
        <v>241.99999999999875</v>
      </c>
      <c r="G223" s="802">
        <f t="shared" si="40"/>
        <v>7629.0000000000009</v>
      </c>
      <c r="H223" s="803">
        <f t="shared" si="41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39"/>
        <v>544.99999999999886</v>
      </c>
      <c r="G224" s="802">
        <f t="shared" si="40"/>
        <v>7629.0000000000009</v>
      </c>
      <c r="H224" s="803">
        <f t="shared" si="41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39"/>
        <v>767.49999999999977</v>
      </c>
      <c r="G225" s="802">
        <f t="shared" si="40"/>
        <v>3431</v>
      </c>
      <c r="H225" s="803">
        <f t="shared" si="41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68" priority="92">
      <formula>F24&gt;0</formula>
    </cfRule>
    <cfRule type="expression" dxfId="167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66" priority="75">
      <formula>F30&gt;0</formula>
    </cfRule>
    <cfRule type="expression" dxfId="165" priority="76">
      <formula>F30&lt;0</formula>
    </cfRule>
  </conditionalFormatting>
  <conditionalFormatting sqref="H43 H30:H33">
    <cfRule type="expression" dxfId="164" priority="73">
      <formula>H30&gt;0</formula>
    </cfRule>
    <cfRule type="expression" dxfId="163" priority="74">
      <formula>H30&lt;0</formula>
    </cfRule>
  </conditionalFormatting>
  <conditionalFormatting sqref="Q8">
    <cfRule type="expression" dxfId="162" priority="67">
      <formula>Q8&gt;0</formula>
    </cfRule>
    <cfRule type="expression" dxfId="161" priority="68">
      <formula>Q8&lt;0</formula>
    </cfRule>
  </conditionalFormatting>
  <conditionalFormatting sqref="Q7">
    <cfRule type="expression" dxfId="160" priority="69">
      <formula>Q7&gt;0</formula>
    </cfRule>
    <cfRule type="expression" dxfId="159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8" priority="55">
      <formula>F115&gt;0</formula>
    </cfRule>
    <cfRule type="expression" dxfId="157" priority="56">
      <formula>F115&lt;0</formula>
    </cfRule>
  </conditionalFormatting>
  <conditionalFormatting sqref="F112:F114">
    <cfRule type="expression" dxfId="156" priority="53">
      <formula>F112&gt;0</formula>
    </cfRule>
    <cfRule type="expression" dxfId="155" priority="54">
      <formula>F112&lt;0</formula>
    </cfRule>
  </conditionalFormatting>
  <conditionalFormatting sqref="H112:I112">
    <cfRule type="expression" dxfId="154" priority="51">
      <formula>H112&gt;0</formula>
    </cfRule>
    <cfRule type="expression" dxfId="153" priority="52">
      <formula>H112&lt;0</formula>
    </cfRule>
  </conditionalFormatting>
  <conditionalFormatting sqref="H113:I113">
    <cfRule type="expression" dxfId="152" priority="49">
      <formula>H113&gt;0</formula>
    </cfRule>
    <cfRule type="expression" dxfId="151" priority="50">
      <formula>H113&lt;0</formula>
    </cfRule>
  </conditionalFormatting>
  <conditionalFormatting sqref="H114:I114">
    <cfRule type="expression" dxfId="150" priority="47">
      <formula>H114&gt;0</formula>
    </cfRule>
    <cfRule type="expression" dxfId="149" priority="48">
      <formula>H114&lt;0</formula>
    </cfRule>
  </conditionalFormatting>
  <conditionalFormatting sqref="F105:F111">
    <cfRule type="expression" dxfId="148" priority="45">
      <formula>F105&gt;0</formula>
    </cfRule>
    <cfRule type="expression" dxfId="147" priority="46">
      <formula>F105&lt;0</formula>
    </cfRule>
  </conditionalFormatting>
  <conditionalFormatting sqref="H105:I111">
    <cfRule type="expression" dxfId="146" priority="43">
      <formula>H105&gt;0</formula>
    </cfRule>
    <cfRule type="expression" dxfId="145" priority="44">
      <formula>H105&lt;0</formula>
    </cfRule>
  </conditionalFormatting>
  <conditionalFormatting sqref="I117 F117:F119">
    <cfRule type="expression" dxfId="144" priority="41">
      <formula>F117&gt;0</formula>
    </cfRule>
    <cfRule type="expression" dxfId="143" priority="42">
      <formula>F117&lt;0</formula>
    </cfRule>
  </conditionalFormatting>
  <conditionalFormatting sqref="F189:F196 H189:H196">
    <cfRule type="expression" dxfId="142" priority="39">
      <formula>F189&gt;0</formula>
    </cfRule>
    <cfRule type="expression" dxfId="141" priority="40">
      <formula>F189&lt;0</formula>
    </cfRule>
  </conditionalFormatting>
  <conditionalFormatting sqref="H202 F202">
    <cfRule type="expression" dxfId="140" priority="37">
      <formula>F202&gt;0</formula>
    </cfRule>
    <cfRule type="expression" dxfId="139" priority="38">
      <formula>F202&lt;0</formula>
    </cfRule>
  </conditionalFormatting>
  <conditionalFormatting sqref="I204">
    <cfRule type="expression" dxfId="138" priority="35">
      <formula>I204&gt;0</formula>
    </cfRule>
    <cfRule type="expression" dxfId="137" priority="36">
      <formula>I204&lt;0</formula>
    </cfRule>
  </conditionalFormatting>
  <conditionalFormatting sqref="H204 F204">
    <cfRule type="expression" dxfId="136" priority="33">
      <formula>F204&gt;0</formula>
    </cfRule>
    <cfRule type="expression" dxfId="135" priority="34">
      <formula>F204&lt;0</formula>
    </cfRule>
  </conditionalFormatting>
  <conditionalFormatting sqref="M54">
    <cfRule type="expression" dxfId="134" priority="31">
      <formula>M54&gt;0</formula>
    </cfRule>
    <cfRule type="expression" dxfId="133" priority="32">
      <formula>M54&lt;0</formula>
    </cfRule>
  </conditionalFormatting>
  <conditionalFormatting sqref="K39:K49">
    <cfRule type="expression" dxfId="132" priority="29">
      <formula>K39&gt;0</formula>
    </cfRule>
    <cfRule type="expression" dxfId="131" priority="30">
      <formula>K39&lt;0</formula>
    </cfRule>
  </conditionalFormatting>
  <conditionalFormatting sqref="Q10">
    <cfRule type="expression" dxfId="130" priority="27">
      <formula>Q10&gt;0</formula>
    </cfRule>
    <cfRule type="expression" dxfId="129" priority="28">
      <formula>Q10&lt;0</formula>
    </cfRule>
  </conditionalFormatting>
  <conditionalFormatting sqref="Z10">
    <cfRule type="expression" dxfId="128" priority="25">
      <formula>Z10&gt;0</formula>
    </cfRule>
    <cfRule type="expression" dxfId="127" priority="26">
      <formula>Z10&lt;0</formula>
    </cfRule>
  </conditionalFormatting>
  <conditionalFormatting sqref="AA10:AE10">
    <cfRule type="expression" dxfId="126" priority="23">
      <formula>AA10&gt;0</formula>
    </cfRule>
    <cfRule type="expression" dxfId="125" priority="24">
      <formula>AA10&lt;0</formula>
    </cfRule>
  </conditionalFormatting>
  <conditionalFormatting sqref="Z24">
    <cfRule type="expression" dxfId="124" priority="21">
      <formula>Z24&gt;0</formula>
    </cfRule>
    <cfRule type="expression" dxfId="123" priority="22">
      <formula>Z24&lt;0</formula>
    </cfRule>
  </conditionalFormatting>
  <conditionalFormatting sqref="AF10:AG10">
    <cfRule type="expression" dxfId="122" priority="13">
      <formula>AF10&gt;0</formula>
    </cfRule>
    <cfRule type="expression" dxfId="121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120" priority="11">
      <formula>F208&gt;0</formula>
    </cfRule>
    <cfRule type="expression" dxfId="119" priority="12">
      <formula>F208&lt;0</formula>
    </cfRule>
  </conditionalFormatting>
  <conditionalFormatting sqref="F220 F207:F210">
    <cfRule type="expression" dxfId="118" priority="9">
      <formula>F207&gt;0</formula>
    </cfRule>
    <cfRule type="expression" dxfId="117" priority="10">
      <formula>F207&lt;0</formula>
    </cfRule>
  </conditionalFormatting>
  <conditionalFormatting sqref="H207:I207 H220 H208:H210">
    <cfRule type="expression" dxfId="116" priority="7">
      <formula>H207&gt;0</formula>
    </cfRule>
    <cfRule type="expression" dxfId="115" priority="8">
      <formula>H207&lt;0</formula>
    </cfRule>
  </conditionalFormatting>
  <conditionalFormatting sqref="K210:K225">
    <cfRule type="expression" dxfId="114" priority="5">
      <formula>K210&gt;0</formula>
    </cfRule>
    <cfRule type="expression" dxfId="113" priority="6">
      <formula>K210&lt;0</formula>
    </cfRule>
  </conditionalFormatting>
  <conditionalFormatting sqref="K31">
    <cfRule type="expression" dxfId="112" priority="3">
      <formula>K31&gt;0</formula>
    </cfRule>
    <cfRule type="expression" dxfId="111" priority="4">
      <formula>K31&lt;0</formula>
    </cfRule>
  </conditionalFormatting>
  <conditionalFormatting sqref="K32:K38">
    <cfRule type="expression" dxfId="110" priority="1">
      <formula>K32&gt;0</formula>
    </cfRule>
    <cfRule type="expression" dxfId="109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76.78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76.78</v>
      </c>
      <c r="R4" s="475">
        <v>6.4000000000000003E-3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84.458000000000013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83.690200000000004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82.92240000000001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82.154600000000002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81.386800000000008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80.619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79.851200000000006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79.083399999999997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78.315600000000003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77.547799999999995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76.78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76.012200000000007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75.244399999999999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74.476600000000005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73.708799999999997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72.941000000000003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72.173199999999994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71.4054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70.637600000000006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69.869799999999998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69.102000000000004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8" priority="5">
      <formula>F21&gt;0</formula>
    </cfRule>
    <cfRule type="expression" dxfId="107" priority="6">
      <formula>F21&lt;0</formula>
    </cfRule>
  </conditionalFormatting>
  <conditionalFormatting sqref="Q8">
    <cfRule type="expression" dxfId="106" priority="1">
      <formula>Q8&gt;0</formula>
    </cfRule>
    <cfRule type="expression" dxfId="105" priority="2">
      <formula>Q8&lt;0</formula>
    </cfRule>
  </conditionalFormatting>
  <conditionalFormatting sqref="Q7">
    <cfRule type="expression" dxfId="104" priority="3">
      <formula>Q7&gt;0</formula>
    </cfRule>
    <cfRule type="expression" dxfId="10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41" activePane="bottomLeft" state="frozen"/>
      <selection activeCell="A2" sqref="A2"/>
      <selection pane="bottomLeft" activeCell="P56" sqref="P56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44.26</v>
      </c>
      <c r="R4" s="475">
        <v>-2.3E-2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6639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-1164.0099999999993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-1213.9599999999991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-0.15458629612273575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4.4283777677361053E-2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14.370129870129869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48.686</v>
      </c>
    </row>
    <row r="19" spans="1:16" x14ac:dyDescent="0.25">
      <c r="H19" s="70"/>
      <c r="O19" s="81">
        <v>1.0900000000000001</v>
      </c>
      <c r="P19" s="81">
        <f t="shared" ref="P19:P38" si="2">O19*$Q$4</f>
        <v>48.243400000000001</v>
      </c>
    </row>
    <row r="20" spans="1:16" x14ac:dyDescent="0.25">
      <c r="H20" s="70"/>
      <c r="O20" s="81">
        <v>1.08</v>
      </c>
      <c r="P20" s="81">
        <f t="shared" si="2"/>
        <v>47.800800000000002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47.358200000000004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46.915599999999998</v>
      </c>
    </row>
    <row r="23" spans="1:16" x14ac:dyDescent="0.25">
      <c r="O23" s="81">
        <v>1.05</v>
      </c>
      <c r="P23" s="81">
        <f t="shared" si="2"/>
        <v>46.472999999999999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46.0304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45.587800000000001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45.145199999999996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44.702599999999997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44.26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43.817399999999999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43.3748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42.932199999999995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42.489599999999996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42.046999999999997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41.604399999999998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41.161799999999999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40.719200000000001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40.276600000000002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39.833999999999996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ref="F66" si="36">C66*(E66-D66)</f>
        <v>-1150.9500000000003</v>
      </c>
      <c r="G66" s="39">
        <f t="shared" ref="G66" si="37">D66*C66</f>
        <v>7852.95</v>
      </c>
      <c r="H66" s="222">
        <f t="shared" ref="H66" si="38">(E66-D66)/D66</f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208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102" priority="37">
      <formula>F25&gt;0</formula>
    </cfRule>
    <cfRule type="expression" dxfId="101" priority="38">
      <formula>F25&lt;0</formula>
    </cfRule>
  </conditionalFormatting>
  <conditionalFormatting sqref="Q8">
    <cfRule type="expression" dxfId="100" priority="31">
      <formula>Q8&gt;0</formula>
    </cfRule>
    <cfRule type="expression" dxfId="99" priority="32">
      <formula>Q8&lt;0</formula>
    </cfRule>
  </conditionalFormatting>
  <conditionalFormatting sqref="Q7">
    <cfRule type="expression" dxfId="98" priority="33">
      <formula>Q7&gt;0</formula>
    </cfRule>
    <cfRule type="expression" dxfId="97" priority="34">
      <formula>Q7&lt;0</formula>
    </cfRule>
  </conditionalFormatting>
  <conditionalFormatting sqref="M75">
    <cfRule type="expression" dxfId="96" priority="29">
      <formula>M75&gt;0</formula>
    </cfRule>
    <cfRule type="expression" dxfId="95" priority="30">
      <formula>M75&lt;0</formula>
    </cfRule>
  </conditionalFormatting>
  <conditionalFormatting sqref="J39">
    <cfRule type="expression" dxfId="94" priority="27">
      <formula>J39&gt;0</formula>
    </cfRule>
    <cfRule type="expression" dxfId="93" priority="28">
      <formula>J39&lt;0</formula>
    </cfRule>
  </conditionalFormatting>
  <conditionalFormatting sqref="J40:J52 J53:K61 J70:K71 K63:K65">
    <cfRule type="expression" dxfId="92" priority="25">
      <formula>J40&gt;0</formula>
    </cfRule>
    <cfRule type="expression" dxfId="91" priority="26">
      <formula>J40&lt;0</formula>
    </cfRule>
  </conditionalFormatting>
  <conditionalFormatting sqref="Q10">
    <cfRule type="expression" dxfId="90" priority="23">
      <formula>Q10&gt;0</formula>
    </cfRule>
    <cfRule type="expression" dxfId="89" priority="24">
      <formula>Q10&lt;0</formula>
    </cfRule>
  </conditionalFormatting>
  <conditionalFormatting sqref="Q9">
    <cfRule type="expression" dxfId="88" priority="21">
      <formula>Q9&gt;0</formula>
    </cfRule>
    <cfRule type="expression" dxfId="87" priority="22">
      <formula>Q9&lt;0</formula>
    </cfRule>
  </conditionalFormatting>
  <conditionalFormatting sqref="F62 H62">
    <cfRule type="expression" dxfId="86" priority="19">
      <formula>F62&gt;0</formula>
    </cfRule>
    <cfRule type="expression" dxfId="85" priority="20">
      <formula>F62&lt;0</formula>
    </cfRule>
  </conditionalFormatting>
  <conditionalFormatting sqref="J62:K62">
    <cfRule type="expression" dxfId="84" priority="17">
      <formula>J62&gt;0</formula>
    </cfRule>
    <cfRule type="expression" dxfId="83" priority="18">
      <formula>J62&lt;0</formula>
    </cfRule>
  </conditionalFormatting>
  <conditionalFormatting sqref="F63 H63">
    <cfRule type="expression" dxfId="82" priority="15">
      <formula>F63&gt;0</formula>
    </cfRule>
    <cfRule type="expression" dxfId="81" priority="16">
      <formula>F63&lt;0</formula>
    </cfRule>
  </conditionalFormatting>
  <conditionalFormatting sqref="J63">
    <cfRule type="expression" dxfId="80" priority="13">
      <formula>J63&gt;0</formula>
    </cfRule>
    <cfRule type="expression" dxfId="79" priority="14">
      <formula>J63&lt;0</formula>
    </cfRule>
  </conditionalFormatting>
  <conditionalFormatting sqref="F64:F66 H64:H66">
    <cfRule type="expression" dxfId="78" priority="11">
      <formula>F64&gt;0</formula>
    </cfRule>
    <cfRule type="expression" dxfId="77" priority="12">
      <formula>F64&lt;0</formula>
    </cfRule>
  </conditionalFormatting>
  <conditionalFormatting sqref="J64:J66">
    <cfRule type="expression" dxfId="76" priority="9">
      <formula>J64&gt;0</formula>
    </cfRule>
    <cfRule type="expression" dxfId="75" priority="10">
      <formula>J64&lt;0</formula>
    </cfRule>
  </conditionalFormatting>
  <conditionalFormatting sqref="L53:L57">
    <cfRule type="expression" dxfId="74" priority="7">
      <formula>L53&gt;0</formula>
    </cfRule>
    <cfRule type="expression" dxfId="73" priority="8">
      <formula>L53&lt;0</formula>
    </cfRule>
  </conditionalFormatting>
  <conditionalFormatting sqref="F67:F69 H67:H69">
    <cfRule type="expression" dxfId="72" priority="3">
      <formula>F67&gt;0</formula>
    </cfRule>
    <cfRule type="expression" dxfId="71" priority="4">
      <formula>F67&lt;0</formula>
    </cfRule>
  </conditionalFormatting>
  <conditionalFormatting sqref="J67:K67 K66">
    <cfRule type="expression" dxfId="70" priority="1">
      <formula>J66&gt;0</formula>
    </cfRule>
    <cfRule type="expression" dxfId="69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41.01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41.01</v>
      </c>
      <c r="R4" s="475">
        <v>9.7999999999999997E-3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45.111000000000004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44.700900000000004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44.290799999999997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43.880699999999997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43.470599999999997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43.060499999999998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42.650399999999998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42.240299999999998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41.830199999999998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41.420099999999998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41.01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40.599899999999998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40.189799999999998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39.779699999999998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39.369599999999998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38.959499999999998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38.549399999999999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38.139299999999999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37.729199999999999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37.319099999999999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36.908999999999999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8" priority="7">
      <formula>F22&gt;0</formula>
    </cfRule>
    <cfRule type="expression" dxfId="67" priority="8">
      <formula>F22&lt;0</formula>
    </cfRule>
  </conditionalFormatting>
  <conditionalFormatting sqref="H22:H26">
    <cfRule type="expression" dxfId="66" priority="5">
      <formula>H22&gt;0</formula>
    </cfRule>
    <cfRule type="expression" dxfId="65" priority="6">
      <formula>H22&lt;0</formula>
    </cfRule>
  </conditionalFormatting>
  <conditionalFormatting sqref="Q8">
    <cfRule type="expression" dxfId="64" priority="1">
      <formula>Q8&gt;0</formula>
    </cfRule>
    <cfRule type="expression" dxfId="63" priority="2">
      <formula>Q8&lt;0</formula>
    </cfRule>
  </conditionalFormatting>
  <conditionalFormatting sqref="Q7">
    <cfRule type="expression" dxfId="62" priority="3">
      <formula>Q7&gt;0</formula>
    </cfRule>
    <cfRule type="expression" dxfId="61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205.16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205.16</v>
      </c>
      <c r="R4" s="475">
        <v>1.1999999999999999E-3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225.67600000000002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223.62440000000001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221.5728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219.52120000000002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217.46960000000001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215.41800000000001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213.3664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211.31479999999999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209.26320000000001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207.2116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205.16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203.10839999999999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201.05679999999998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199.0052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196.95359999999999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194.90199999999999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192.85039999999998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190.7988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188.74719999999999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186.69560000000001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184.64400000000001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60" priority="17">
      <formula>F21&gt;0</formula>
    </cfRule>
    <cfRule type="expression" dxfId="59" priority="18">
      <formula>F21&lt;0</formula>
    </cfRule>
  </conditionalFormatting>
  <conditionalFormatting sqref="H26 H31:H41 H21">
    <cfRule type="expression" dxfId="58" priority="15">
      <formula>H21&gt;0</formula>
    </cfRule>
    <cfRule type="expression" dxfId="57" priority="16">
      <formula>H21&lt;0</formula>
    </cfRule>
  </conditionalFormatting>
  <conditionalFormatting sqref="Q7">
    <cfRule type="expression" dxfId="56" priority="9">
      <formula>Q7&gt;0</formula>
    </cfRule>
    <cfRule type="expression" dxfId="55" priority="10">
      <formula>Q7&lt;0</formula>
    </cfRule>
  </conditionalFormatting>
  <conditionalFormatting sqref="Q8">
    <cfRule type="expression" dxfId="54" priority="7">
      <formula>Q8&gt;0</formula>
    </cfRule>
    <cfRule type="expression" dxfId="53" priority="8">
      <formula>Q8&lt;0</formula>
    </cfRule>
  </conditionalFormatting>
  <conditionalFormatting sqref="F27:F30 F22:F25">
    <cfRule type="expression" dxfId="52" priority="5">
      <formula>F22&gt;0</formula>
    </cfRule>
    <cfRule type="expression" dxfId="51" priority="6">
      <formula>F22&lt;0</formula>
    </cfRule>
  </conditionalFormatting>
  <conditionalFormatting sqref="H27:H30 H22:H25">
    <cfRule type="expression" dxfId="50" priority="3">
      <formula>H22&gt;0</formula>
    </cfRule>
    <cfRule type="expression" dxfId="49" priority="4">
      <formula>H22&lt;0</formula>
    </cfRule>
  </conditionalFormatting>
  <conditionalFormatting sqref="M43">
    <cfRule type="expression" dxfId="48" priority="1">
      <formula>M43&gt;0</formula>
    </cfRule>
    <cfRule type="expression" dxfId="47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44.25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44.25</v>
      </c>
      <c r="R4" s="475">
        <v>4.4999999999999997E-3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48.675000000000004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48.232500000000002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47.790000000000006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47.347500000000004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46.905000000000001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46.462499999999999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46.02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45.577500000000001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45.134999999999998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44.692500000000003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44.25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43.807499999999997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43.365000000000002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42.922499999999999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42.48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42.037500000000001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41.594999999999999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41.152500000000003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40.71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40.267499999999998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39.825000000000003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6" priority="7">
      <formula>F21&gt;0</formula>
    </cfRule>
    <cfRule type="expression" dxfId="45" priority="8">
      <formula>F21&lt;0</formula>
    </cfRule>
  </conditionalFormatting>
  <conditionalFormatting sqref="H21:H32">
    <cfRule type="expression" dxfId="44" priority="5">
      <formula>H21&gt;0</formula>
    </cfRule>
    <cfRule type="expression" dxfId="43" priority="6">
      <formula>H21&lt;0</formula>
    </cfRule>
  </conditionalFormatting>
  <conditionalFormatting sqref="Q8">
    <cfRule type="expression" dxfId="42" priority="1">
      <formula>Q8&gt;0</formula>
    </cfRule>
    <cfRule type="expression" dxfId="41" priority="2">
      <formula>Q8&lt;0</formula>
    </cfRule>
  </conditionalFormatting>
  <conditionalFormatting sqref="Q7">
    <cfRule type="expression" dxfId="40" priority="3">
      <formula>Q7&gt;0</formula>
    </cfRule>
    <cfRule type="expression" dxfId="39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125.64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125.64</v>
      </c>
      <c r="R4" s="475">
        <v>8.3000000000000001E-3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138.20400000000001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136.94760000000002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135.69120000000001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134.4348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133.17840000000001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131.922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130.66560000000001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129.4092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128.15280000000001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126.8964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125.64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124.3836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123.1272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121.8708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120.61439999999999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119.35799999999999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118.10159999999999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116.84520000000001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115.58880000000001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114.33240000000001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113.07600000000001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8" priority="3">
      <formula>Q7&gt;0</formula>
    </cfRule>
    <cfRule type="expression" dxfId="37" priority="4">
      <formula>Q7&lt;0</formula>
    </cfRule>
  </conditionalFormatting>
  <conditionalFormatting sqref="Q8">
    <cfRule type="expression" dxfId="36" priority="1">
      <formula>Q8&gt;0</formula>
    </cfRule>
    <cfRule type="expression" dxfId="35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249.77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249.77</v>
      </c>
      <c r="R4" s="475">
        <v>-3.8999999999999998E-3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274.74700000000001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272.24930000000001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269.75160000000005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267.25390000000004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264.75620000000004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262.25850000000003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259.76080000000002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257.26310000000001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254.76540000000003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252.26770000000002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249.77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247.2723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244.77459999999999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242.27690000000001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239.7792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237.28149999999999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234.78379999999999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232.28610000000003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229.78840000000002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227.29070000000002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224.79300000000001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4" priority="13">
      <formula>F21&gt;0</formula>
    </cfRule>
    <cfRule type="expression" dxfId="33" priority="14">
      <formula>F21&lt;0</formula>
    </cfRule>
  </conditionalFormatting>
  <conditionalFormatting sqref="F22">
    <cfRule type="expression" dxfId="32" priority="11">
      <formula>F22&gt;0</formula>
    </cfRule>
    <cfRule type="expression" dxfId="31" priority="12">
      <formula>F22&lt;0</formula>
    </cfRule>
  </conditionalFormatting>
  <conditionalFormatting sqref="F23:F30">
    <cfRule type="expression" dxfId="30" priority="9">
      <formula>F23&gt;0</formula>
    </cfRule>
    <cfRule type="expression" dxfId="29" priority="10">
      <formula>F23&lt;0</formula>
    </cfRule>
  </conditionalFormatting>
  <conditionalFormatting sqref="H21:H31">
    <cfRule type="expression" dxfId="28" priority="7">
      <formula>H21&gt;0</formula>
    </cfRule>
    <cfRule type="expression" dxfId="27" priority="8">
      <formula>H21&lt;0</formula>
    </cfRule>
  </conditionalFormatting>
  <conditionalFormatting sqref="F24">
    <cfRule type="expression" dxfId="26" priority="5">
      <formula>F24&gt;0</formula>
    </cfRule>
    <cfRule type="expression" dxfId="25" priority="6">
      <formula>F24&lt;0</formula>
    </cfRule>
  </conditionalFormatting>
  <conditionalFormatting sqref="Q8">
    <cfRule type="expression" dxfId="24" priority="1">
      <formula>Q8&gt;0</formula>
    </cfRule>
    <cfRule type="expression" dxfId="23" priority="2">
      <formula>Q8&lt;0</formula>
    </cfRule>
  </conditionalFormatting>
  <conditionalFormatting sqref="Q7">
    <cfRule type="expression" dxfId="22" priority="3">
      <formula>Q7&gt;0</formula>
    </cfRule>
    <cfRule type="expression" dxfId="2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76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2018-06-30T21:50:11Z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