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4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0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CVS" sheetId="69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2" i="88" l="1"/>
  <c r="F52" i="88"/>
  <c r="H52" i="88"/>
  <c r="F15" i="88"/>
  <c r="A676" i="38"/>
  <c r="D676" i="38"/>
  <c r="E676" i="38"/>
  <c r="G676" i="38"/>
  <c r="H676" i="38"/>
  <c r="K676" i="38"/>
  <c r="L676" i="38" s="1"/>
  <c r="M676" i="38"/>
  <c r="U676" i="38" s="1"/>
  <c r="N676" i="38"/>
  <c r="O676" i="38" s="1"/>
  <c r="S676" i="38"/>
  <c r="V676" i="38"/>
  <c r="X676" i="38" s="1"/>
  <c r="P676" i="38" l="1"/>
  <c r="Q676" i="38" s="1"/>
  <c r="W676" i="38"/>
  <c r="Y676" i="38" s="1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F51" i="88" l="1"/>
  <c r="H51" i="88"/>
  <c r="G51" i="88"/>
  <c r="K7" i="88"/>
  <c r="H18" i="88"/>
  <c r="F231" i="25"/>
  <c r="G231" i="25"/>
  <c r="H231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Z675" i="38"/>
  <c r="P675" i="38"/>
  <c r="C32" i="58"/>
  <c r="H18" i="84"/>
  <c r="F45" i="45" l="1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C18" i="88"/>
  <c r="F50" i="88"/>
  <c r="H50" i="88"/>
  <c r="G50" i="88"/>
  <c r="K6" i="88"/>
  <c r="F230" i="25"/>
  <c r="H230" i="25"/>
  <c r="G230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H19" i="88"/>
  <c r="C19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2" i="84"/>
  <c r="H62" i="84"/>
  <c r="G62" i="84"/>
  <c r="K8" i="84"/>
  <c r="F71" i="81"/>
  <c r="H71" i="81"/>
  <c r="G71" i="81"/>
  <c r="K13" i="81"/>
  <c r="F39" i="47"/>
  <c r="H39" i="47"/>
  <c r="G39" i="47"/>
  <c r="K8" i="47"/>
  <c r="F37" i="99"/>
  <c r="H37" i="99"/>
  <c r="G37" i="99"/>
  <c r="K4" i="99"/>
  <c r="F39" i="101"/>
  <c r="H39" i="101"/>
  <c r="G39" i="101"/>
  <c r="K6" i="101"/>
  <c r="H18" i="101"/>
  <c r="F229" i="25"/>
  <c r="G229" i="25"/>
  <c r="H229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28" i="25"/>
  <c r="H228" i="25"/>
  <c r="G228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1" i="84"/>
  <c r="H61" i="84"/>
  <c r="G61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27" i="25"/>
  <c r="H227" i="25"/>
  <c r="G227" i="25"/>
  <c r="F82" i="25"/>
  <c r="F37" i="86"/>
  <c r="H37" i="86"/>
  <c r="G37" i="86"/>
  <c r="F7" i="86"/>
  <c r="F226" i="25"/>
  <c r="H226" i="25"/>
  <c r="G226" i="25"/>
  <c r="F81" i="25"/>
  <c r="F80" i="25"/>
  <c r="F150" i="51"/>
  <c r="H150" i="51"/>
  <c r="G150" i="51"/>
  <c r="F45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49" i="88"/>
  <c r="G49" i="88"/>
  <c r="H49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9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6" i="58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18" i="58"/>
  <c r="AH23" i="58"/>
  <c r="AE25" i="58"/>
  <c r="AH4" i="86"/>
  <c r="AH11" i="88"/>
  <c r="AE12" i="86"/>
  <c r="AE4" i="86"/>
  <c r="AB15" i="86"/>
  <c r="AB7" i="86"/>
  <c r="AE10" i="86"/>
  <c r="AH19" i="58"/>
  <c r="AE21" i="58"/>
  <c r="AB12" i="86"/>
  <c r="AE15" i="86"/>
  <c r="AE7" i="86"/>
  <c r="AH7" i="86"/>
  <c r="AB16" i="88"/>
  <c r="AH14" i="58"/>
  <c r="AH21" i="58"/>
  <c r="AH15" i="86"/>
  <c r="AH14" i="86"/>
  <c r="AH30" i="58"/>
  <c r="AB13" i="86"/>
  <c r="AE16" i="86"/>
  <c r="AE8" i="86"/>
  <c r="AH16" i="88"/>
  <c r="AH15" i="88"/>
  <c r="AH3" i="58"/>
  <c r="AH7" i="58"/>
  <c r="AH9" i="58"/>
  <c r="AH11" i="58"/>
  <c r="AH15" i="58"/>
  <c r="AE24" i="58"/>
  <c r="AH6" i="86"/>
  <c r="AH26" i="58"/>
  <c r="AB11" i="86"/>
  <c r="AE14" i="86"/>
  <c r="AE6" i="86"/>
  <c r="AH11" i="86"/>
  <c r="AH3" i="86"/>
  <c r="AH14" i="88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H13" i="88"/>
  <c r="AB28" i="58"/>
  <c r="AB16" i="86"/>
  <c r="AB8" i="86"/>
  <c r="AE11" i="86"/>
  <c r="AH16" i="86"/>
  <c r="AH8" i="86"/>
  <c r="AH4" i="58"/>
  <c r="AH8" i="58"/>
  <c r="AE20" i="58"/>
  <c r="AH9" i="88"/>
  <c r="AE13" i="88"/>
  <c r="AE14" i="88"/>
  <c r="AE15" i="88"/>
  <c r="AE16" i="88"/>
  <c r="AE17" i="88"/>
  <c r="AH5" i="58"/>
  <c r="AH20" i="58"/>
  <c r="AH25" i="58"/>
  <c r="AH10" i="58"/>
  <c r="AB27" i="58"/>
  <c r="AE28" i="58"/>
  <c r="AH29" i="58"/>
  <c r="AB31" i="58"/>
  <c r="AH2" i="58"/>
  <c r="AH13" i="58"/>
  <c r="AH22" i="58"/>
  <c r="AE27" i="58"/>
  <c r="AH28" i="58"/>
  <c r="AB30" i="58"/>
  <c r="AE31" i="58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85" i="104"/>
  <c r="M19" i="104"/>
  <c r="K19" i="104"/>
  <c r="F85" i="104"/>
  <c r="H19" i="104"/>
  <c r="F19" i="104"/>
  <c r="M85" i="104"/>
  <c r="K85" i="104"/>
  <c r="C85" i="104"/>
  <c r="C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40" i="51"/>
  <c r="K26" i="5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70" i="81"/>
  <c r="H70" i="81"/>
  <c r="G70" i="81"/>
  <c r="H69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AD5" i="88" l="1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0" i="88"/>
  <c r="H40" i="88"/>
  <c r="G40" i="88"/>
  <c r="K4" i="88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AA22" i="58" s="1"/>
  <c r="AB22" i="58" s="1"/>
  <c r="F210" i="25"/>
  <c r="G210" i="25"/>
  <c r="H210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61" i="81"/>
  <c r="G61" i="81"/>
  <c r="F61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0" i="25"/>
  <c r="H200" i="25"/>
  <c r="G200" i="25"/>
  <c r="F70" i="25"/>
  <c r="AD3" i="88" l="1"/>
  <c r="AE3" i="88" s="1"/>
  <c r="P611" i="38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F19" i="103"/>
  <c r="H19" i="103"/>
  <c r="C19" i="103"/>
  <c r="C85" i="103"/>
  <c r="K85" i="103"/>
  <c r="F85" i="103"/>
  <c r="K19" i="103"/>
  <c r="M85" i="103"/>
  <c r="H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M19" i="102"/>
  <c r="K85" i="102"/>
  <c r="F85" i="102"/>
  <c r="K19" i="102"/>
  <c r="H85" i="102"/>
  <c r="C85" i="102"/>
  <c r="H19" i="102"/>
  <c r="C19" i="102"/>
  <c r="F19" i="102"/>
  <c r="M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M19" i="100"/>
  <c r="K19" i="101"/>
  <c r="H85" i="101"/>
  <c r="K19" i="100"/>
  <c r="H19" i="99"/>
  <c r="M85" i="101"/>
  <c r="H85" i="99"/>
  <c r="C85" i="101"/>
  <c r="F85" i="101"/>
  <c r="K85" i="99"/>
  <c r="F19" i="100"/>
  <c r="F19" i="101"/>
  <c r="H19" i="100"/>
  <c r="M19" i="101"/>
  <c r="M85" i="100"/>
  <c r="C85" i="99"/>
  <c r="C19" i="101"/>
  <c r="K85" i="100"/>
  <c r="M85" i="99"/>
  <c r="H85" i="100"/>
  <c r="C85" i="100"/>
  <c r="M19" i="99"/>
  <c r="C19" i="100"/>
  <c r="H19" i="101"/>
  <c r="F85" i="100"/>
  <c r="K85" i="101"/>
  <c r="F19" i="99"/>
  <c r="C19" i="99"/>
  <c r="F85" i="99"/>
  <c r="K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55" i="81"/>
  <c r="G55" i="81"/>
  <c r="H55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H85" i="98"/>
  <c r="K85" i="98"/>
  <c r="H85" i="97"/>
  <c r="M19" i="97"/>
  <c r="C19" i="97"/>
  <c r="K19" i="98"/>
  <c r="C85" i="97"/>
  <c r="C19" i="98"/>
  <c r="H19" i="98"/>
  <c r="M85" i="98"/>
  <c r="M85" i="97"/>
  <c r="K19" i="97"/>
  <c r="F85" i="98"/>
  <c r="H19" i="97"/>
  <c r="M19" i="98"/>
  <c r="F19" i="97"/>
  <c r="K85" i="97"/>
  <c r="K19" i="88"/>
  <c r="F85" i="97"/>
  <c r="C85" i="98"/>
  <c r="F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K85" i="96"/>
  <c r="M19" i="96"/>
  <c r="K19" i="96"/>
  <c r="H85" i="96"/>
  <c r="C19" i="96"/>
  <c r="C85" i="96"/>
  <c r="M85" i="96"/>
  <c r="F85" i="96"/>
  <c r="H19" i="96"/>
  <c r="F19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9" i="81"/>
  <c r="K4" i="81"/>
  <c r="G182" i="25"/>
  <c r="K42" i="25"/>
  <c r="F6" i="47"/>
  <c r="F5" i="91"/>
  <c r="G48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K85" i="95"/>
  <c r="M85" i="95"/>
  <c r="C85" i="95"/>
  <c r="C19" i="95"/>
  <c r="F19" i="95"/>
  <c r="F85" i="95"/>
  <c r="K19" i="95"/>
  <c r="H19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K85" i="94"/>
  <c r="F85" i="94"/>
  <c r="M19" i="94"/>
  <c r="H19" i="94"/>
  <c r="M85" i="94"/>
  <c r="F19" i="94"/>
  <c r="C19" i="94"/>
  <c r="K19" i="94"/>
  <c r="H85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19" i="93"/>
  <c r="M19" i="93"/>
  <c r="H85" i="93"/>
  <c r="H19" i="93"/>
  <c r="C85" i="93"/>
  <c r="K19" i="93"/>
  <c r="M85" i="93"/>
  <c r="K85" i="93"/>
  <c r="F85" i="93"/>
  <c r="C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C85" i="91"/>
  <c r="H85" i="91"/>
  <c r="M85" i="92"/>
  <c r="F19" i="92"/>
  <c r="C19" i="91"/>
  <c r="F85" i="92"/>
  <c r="H19" i="91"/>
  <c r="K85" i="91"/>
  <c r="C85" i="92"/>
  <c r="M19" i="91"/>
  <c r="C19" i="92"/>
  <c r="M85" i="91"/>
  <c r="K19" i="91"/>
  <c r="M19" i="92"/>
  <c r="H85" i="92"/>
  <c r="K19" i="92"/>
  <c r="H19" i="92"/>
  <c r="F19" i="91"/>
  <c r="F85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F19" i="90"/>
  <c r="F85" i="90"/>
  <c r="M85" i="90"/>
  <c r="C85" i="90"/>
  <c r="M19" i="90"/>
  <c r="H85" i="90"/>
  <c r="H19" i="90"/>
  <c r="K19" i="90"/>
  <c r="C19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19" i="89"/>
  <c r="M85" i="89"/>
  <c r="H58" i="51"/>
  <c r="C19" i="89"/>
  <c r="K85" i="89"/>
  <c r="F19" i="89"/>
  <c r="H19" i="89"/>
  <c r="C85" i="89"/>
  <c r="M19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7"/>
  <c r="K19" i="87"/>
  <c r="H85" i="87"/>
  <c r="M19" i="87"/>
  <c r="H85" i="88"/>
  <c r="H19" i="87"/>
  <c r="C85" i="88"/>
  <c r="K85" i="87"/>
  <c r="M85" i="88"/>
  <c r="M19" i="88"/>
  <c r="K85" i="88"/>
  <c r="C19" i="87"/>
  <c r="F85" i="88"/>
  <c r="F85" i="87"/>
  <c r="F19" i="88"/>
  <c r="C85" i="87"/>
  <c r="F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H19" i="86"/>
  <c r="F19" i="86"/>
  <c r="C85" i="86"/>
  <c r="M85" i="86"/>
  <c r="M19" i="86"/>
  <c r="K85" i="86"/>
  <c r="F85" i="86"/>
  <c r="H85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H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K24" i="46"/>
  <c r="H24" i="46"/>
  <c r="C24" i="46"/>
  <c r="M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104" i="81"/>
  <c r="G104" i="81"/>
  <c r="F104" i="81"/>
  <c r="H103" i="81"/>
  <c r="G103" i="81"/>
  <c r="F103" i="81"/>
  <c r="K82" i="81"/>
  <c r="F82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M19" i="85"/>
  <c r="H19" i="85"/>
  <c r="M85" i="85"/>
  <c r="K19" i="85"/>
  <c r="K85" i="85"/>
  <c r="F85" i="85"/>
  <c r="F19" i="85"/>
  <c r="H85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8" i="84"/>
  <c r="K88" i="84"/>
  <c r="H88" i="84"/>
  <c r="F88" i="84"/>
  <c r="C88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9" i="84"/>
  <c r="M19" i="83"/>
  <c r="F19" i="84"/>
  <c r="H89" i="84"/>
  <c r="C89" i="84"/>
  <c r="M19" i="84"/>
  <c r="M85" i="83"/>
  <c r="F85" i="83"/>
  <c r="H19" i="83"/>
  <c r="H85" i="83"/>
  <c r="K85" i="83"/>
  <c r="M89" i="84"/>
  <c r="C19" i="84"/>
  <c r="H19" i="84"/>
  <c r="C85" i="83"/>
  <c r="F19" i="83"/>
  <c r="C19" i="83"/>
  <c r="K89" i="84"/>
  <c r="K19" i="83"/>
  <c r="O484" i="38" l="1"/>
  <c r="Z484" i="38"/>
  <c r="Q5" i="85"/>
  <c r="Q3" i="85"/>
  <c r="Q6" i="85" s="1"/>
  <c r="Q7" i="85"/>
  <c r="M70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85" i="82"/>
  <c r="C85" i="82"/>
  <c r="F19" i="82"/>
  <c r="H19" i="82"/>
  <c r="K85" i="82"/>
  <c r="M85" i="82"/>
  <c r="M19" i="82"/>
  <c r="C19" i="82"/>
  <c r="H18" i="74"/>
  <c r="M18" i="74"/>
  <c r="C18" i="74"/>
  <c r="F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M96" i="31"/>
  <c r="K78" i="75"/>
  <c r="C96" i="31"/>
  <c r="H96" i="31"/>
  <c r="M78" i="75"/>
  <c r="F96" i="31"/>
  <c r="F78" i="75"/>
  <c r="H78" i="75"/>
  <c r="C78" i="75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K19" i="64"/>
  <c r="M85" i="64"/>
  <c r="H19" i="64"/>
  <c r="M19" i="64"/>
  <c r="K85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98" i="81"/>
  <c r="K98" i="81"/>
  <c r="H98" i="81"/>
  <c r="F98" i="81"/>
  <c r="C9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K99" i="81"/>
  <c r="F30" i="81"/>
  <c r="H30" i="81"/>
  <c r="M99" i="81"/>
  <c r="M30" i="81"/>
  <c r="C99" i="81"/>
  <c r="H99" i="81"/>
  <c r="F99" i="81"/>
  <c r="O468" i="38" l="1"/>
  <c r="Z468" i="38"/>
  <c r="M80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M19" i="80"/>
  <c r="M85" i="80"/>
  <c r="C85" i="80"/>
  <c r="F85" i="80"/>
  <c r="K19" i="80"/>
  <c r="C19" i="80"/>
  <c r="H85" i="80"/>
  <c r="F19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19" i="79"/>
  <c r="H65" i="79"/>
  <c r="H19" i="79"/>
  <c r="F19" i="79"/>
  <c r="M65" i="79"/>
  <c r="F65" i="79"/>
  <c r="K19" i="79"/>
  <c r="C65" i="79"/>
  <c r="C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F19" i="78"/>
  <c r="C85" i="78"/>
  <c r="K19" i="78"/>
  <c r="M85" i="78"/>
  <c r="H19" i="78"/>
  <c r="H85" i="78"/>
  <c r="M19" i="78"/>
  <c r="K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M19" i="77"/>
  <c r="H19" i="77"/>
  <c r="M89" i="77"/>
  <c r="C89" i="77"/>
  <c r="F89" i="77"/>
  <c r="C19" i="77"/>
  <c r="F1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F77" i="69"/>
  <c r="C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F19" i="76"/>
  <c r="H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H93" i="68"/>
  <c r="M93" i="68"/>
  <c r="K93" i="68"/>
  <c r="F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62" i="25"/>
  <c r="M762" i="25"/>
  <c r="H762" i="25"/>
  <c r="K762" i="25"/>
  <c r="F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71"/>
  <c r="M19" i="59"/>
  <c r="F99" i="45"/>
  <c r="F19" i="70"/>
  <c r="C23" i="57"/>
  <c r="F67" i="60"/>
  <c r="K58" i="51"/>
  <c r="F213" i="57"/>
  <c r="H25" i="31"/>
  <c r="F19" i="59"/>
  <c r="K19" i="50"/>
  <c r="K90" i="72"/>
  <c r="F19" i="63"/>
  <c r="H19" i="71"/>
  <c r="C81" i="61"/>
  <c r="M23" i="57"/>
  <c r="H19" i="54"/>
  <c r="K99" i="45"/>
  <c r="H33" i="58"/>
  <c r="H100" i="34"/>
  <c r="M58" i="51"/>
  <c r="K86" i="53"/>
  <c r="M30" i="49"/>
  <c r="F25" i="31"/>
  <c r="C19" i="72"/>
  <c r="H65" i="71"/>
  <c r="C100" i="34"/>
  <c r="C19" i="45"/>
  <c r="C72" i="59"/>
  <c r="C25" i="31"/>
  <c r="F33" i="58"/>
  <c r="F23" i="57"/>
  <c r="K25" i="31"/>
  <c r="H19" i="63"/>
  <c r="C19" i="54"/>
  <c r="M19" i="61"/>
  <c r="H91" i="25"/>
  <c r="M451" i="17"/>
  <c r="C19" i="34"/>
  <c r="F85" i="64"/>
  <c r="F156" i="49"/>
  <c r="M86" i="53"/>
  <c r="K19" i="62"/>
  <c r="C19" i="53"/>
  <c r="C19" i="3"/>
  <c r="M81" i="61"/>
  <c r="C23" i="17"/>
  <c r="K19" i="63"/>
  <c r="K19" i="72"/>
  <c r="C99" i="45"/>
  <c r="M19" i="52"/>
  <c r="M19" i="54"/>
  <c r="F30" i="40"/>
  <c r="F19" i="53"/>
  <c r="K19" i="70"/>
  <c r="K19" i="71"/>
  <c r="K77" i="70"/>
  <c r="H213" i="57"/>
  <c r="H86" i="53"/>
  <c r="C171" i="58"/>
  <c r="F19" i="50"/>
  <c r="H19" i="62"/>
  <c r="M75" i="41"/>
  <c r="F100" i="34"/>
  <c r="M30" i="40"/>
  <c r="H19" i="41"/>
  <c r="M19" i="72"/>
  <c r="F81" i="61"/>
  <c r="K19" i="52"/>
  <c r="M19" i="75"/>
  <c r="C19" i="66"/>
  <c r="K100" i="34"/>
  <c r="F19" i="62"/>
  <c r="K156" i="49"/>
  <c r="C19" i="70"/>
  <c r="C451" i="17"/>
  <c r="C19" i="52"/>
  <c r="H19" i="53"/>
  <c r="M100" i="34"/>
  <c r="C19" i="63"/>
  <c r="H19" i="55"/>
  <c r="F18" i="74"/>
  <c r="M19" i="68"/>
  <c r="K18" i="74"/>
  <c r="C86" i="53"/>
  <c r="K19" i="66"/>
  <c r="K30" i="49"/>
  <c r="M90" i="72"/>
  <c r="C19" i="68"/>
  <c r="H30" i="49"/>
  <c r="H119" i="7"/>
  <c r="K19" i="3"/>
  <c r="C19" i="75"/>
  <c r="K19" i="41"/>
  <c r="K55" i="50"/>
  <c r="C119" i="7"/>
  <c r="M67" i="60"/>
  <c r="M33" i="58"/>
  <c r="F90" i="72"/>
  <c r="H156" i="49"/>
  <c r="K75" i="41"/>
  <c r="F91" i="25"/>
  <c r="F19" i="73"/>
  <c r="H19" i="59"/>
  <c r="F63" i="66"/>
  <c r="F19" i="72"/>
  <c r="H19" i="73"/>
  <c r="C30" i="49"/>
  <c r="K451" i="17"/>
  <c r="F23" i="17"/>
  <c r="M94" i="52"/>
  <c r="H19" i="34"/>
  <c r="M65" i="63"/>
  <c r="C51" i="54"/>
  <c r="C90" i="72"/>
  <c r="H65" i="63"/>
  <c r="K19" i="73"/>
  <c r="H19" i="68"/>
  <c r="H23" i="17"/>
  <c r="M51" i="54"/>
  <c r="K19" i="68"/>
  <c r="K23" i="17"/>
  <c r="M213" i="57"/>
  <c r="H19" i="69"/>
  <c r="K94" i="52"/>
  <c r="F19" i="34"/>
  <c r="F451" i="17"/>
  <c r="H30" i="40"/>
  <c r="C19" i="60"/>
  <c r="F19" i="68"/>
  <c r="C94" i="52"/>
  <c r="F19" i="55"/>
  <c r="F119" i="7"/>
  <c r="K171" i="58"/>
  <c r="C30" i="40"/>
  <c r="F94" i="52"/>
  <c r="F19" i="60"/>
  <c r="K19" i="34"/>
  <c r="M19" i="50"/>
  <c r="K23" i="57"/>
  <c r="K63" i="66"/>
  <c r="H19" i="61"/>
  <c r="H451" i="17"/>
  <c r="K65" i="63"/>
  <c r="M77" i="70"/>
  <c r="F72" i="59"/>
  <c r="F58" i="51"/>
  <c r="H19" i="50"/>
  <c r="C55" i="50"/>
  <c r="H171" i="58"/>
  <c r="H99" i="45"/>
  <c r="F19" i="66"/>
  <c r="F171" i="58"/>
  <c r="H19" i="60"/>
  <c r="M99" i="45"/>
  <c r="K51" i="54"/>
  <c r="H75" i="41"/>
  <c r="C19" i="41"/>
  <c r="H81" i="61"/>
  <c r="F65" i="71"/>
  <c r="K19" i="60"/>
  <c r="M25" i="31"/>
  <c r="M19" i="55"/>
  <c r="H94" i="52"/>
  <c r="K19" i="55"/>
  <c r="K19" i="69"/>
  <c r="C19" i="73"/>
  <c r="F65" i="63"/>
  <c r="M19" i="34"/>
  <c r="C19" i="59"/>
  <c r="F30" i="49"/>
  <c r="C19" i="64"/>
  <c r="F19" i="71"/>
  <c r="K81" i="61"/>
  <c r="H77" i="70"/>
  <c r="H67" i="60"/>
  <c r="C77" i="70"/>
  <c r="M19" i="53"/>
  <c r="F22" i="43"/>
  <c r="M19" i="73"/>
  <c r="M63" i="66"/>
  <c r="C75" i="41"/>
  <c r="H55" i="50"/>
  <c r="F77" i="70"/>
  <c r="K72" i="59"/>
  <c r="H51" i="54"/>
  <c r="M19" i="3"/>
  <c r="M19" i="63"/>
  <c r="C19" i="55"/>
  <c r="H90" i="72"/>
  <c r="C213" i="57"/>
  <c r="H19" i="66"/>
  <c r="M19" i="62"/>
  <c r="K67" i="60"/>
  <c r="F19" i="75"/>
  <c r="F19" i="61"/>
  <c r="M19" i="60"/>
  <c r="F19" i="45"/>
  <c r="F86" i="53"/>
  <c r="K19" i="53"/>
  <c r="M19" i="71"/>
  <c r="F19" i="3"/>
  <c r="K65" i="71"/>
  <c r="C33" i="58"/>
  <c r="F19" i="41"/>
  <c r="F19" i="69"/>
  <c r="K33" i="58"/>
  <c r="H19" i="52"/>
  <c r="C65" i="63"/>
  <c r="K19" i="75"/>
  <c r="M23" i="17"/>
  <c r="F19" i="54"/>
  <c r="C19" i="61"/>
  <c r="F55" i="50"/>
  <c r="H19" i="70"/>
  <c r="K19" i="54"/>
  <c r="M119" i="7"/>
  <c r="K19" i="61"/>
  <c r="K30" i="40"/>
  <c r="K19" i="59"/>
  <c r="M65" i="71"/>
  <c r="H19" i="72"/>
  <c r="C19" i="50"/>
  <c r="M72" i="59"/>
  <c r="C19" i="69"/>
  <c r="H72" i="59"/>
  <c r="H19" i="3"/>
  <c r="M19" i="70"/>
  <c r="C19" i="62"/>
  <c r="K213" i="57"/>
  <c r="K119" i="7"/>
  <c r="F75" i="41"/>
  <c r="C67" i="60"/>
  <c r="C156" i="49"/>
  <c r="F19" i="52"/>
  <c r="M156" i="49"/>
  <c r="C63" i="66"/>
  <c r="M19" i="69"/>
  <c r="M19" i="66"/>
  <c r="C85" i="64"/>
  <c r="M55" i="50"/>
  <c r="C65" i="71"/>
  <c r="H63" i="66"/>
  <c r="M171" i="58"/>
  <c r="F51" i="54"/>
  <c r="M19" i="41"/>
  <c r="H19" i="75"/>
  <c r="C91" i="25"/>
  <c r="F19" i="64"/>
  <c r="M19" i="45"/>
  <c r="V675" i="38" l="1"/>
  <c r="X675" i="38" s="1"/>
  <c r="AA2" i="58"/>
  <c r="AB2" i="58" s="1"/>
  <c r="AO2" i="58" s="1"/>
  <c r="F32" i="58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1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75" i="38" l="1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75" i="38" l="1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<sst xmlns="http://schemas.openxmlformats.org/spreadsheetml/2006/main" count="7599" uniqueCount="1154">
  <si>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</si>
  <si>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</si>
  <si>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</si>
  <si>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</si>
  <si>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</si>
  <si>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</si>
  <si>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</si>
  <si>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</si>
  <si>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</si>
  <si>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</si>
  <si>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</si>
  <si>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</si>
  <si>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</si>
  <si>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</si>
  <si>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</si>
  <si>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</si>
  <si>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</si>
  <si>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</si>
  <si>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</si>
  <si>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</si>
  <si>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</si>
  <si>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</si>
  <si>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</si>
  <si>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</si>
  <si>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</si>
  <si>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</si>
  <si>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</si>
  <si>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</si>
  <si>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</si>
  <si>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</si>
  <si>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</si>
  <si>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</si>
  <si>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</si>
  <si>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</si>
  <si>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</si>
  <si>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</si>
  <si>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</si>
  <si>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</si>
  <si>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</si>
  <si>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</si>
  <si>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</si>
  <si>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</si>
  <si>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</si>
  <si>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</si>
  <si>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</si>
  <si>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</si>
  <si>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</si>
  <si>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</si>
  <si>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</si>
  <si>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</si>
  <si>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</si>
  <si>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</si>
  <si>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</si>
  <si>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</si>
  <si>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</si>
  <si>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</si>
  <si>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</si>
  <si>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</si>
  <si>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</si>
  <si>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</si>
  <si>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</si>
  <si>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</si>
  <si>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</si>
  <si>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</si>
  <si>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</si>
  <si>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</si>
  <si>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</si>
  <si>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</si>
  <si>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</si>
  <si>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</si>
  <si>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</si>
  <si>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</si>
  <si>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</si>
  <si>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</si>
  <si>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</si>
  <si>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</si>
  <si>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</si>
  <si>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</si>
  <si>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</si>
  <si>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</si>
  <si>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</si>
  <si>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</si>
  <si>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</si>
  <si>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</si>
  <si>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</si>
  <si>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</si>
  <si>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</si>
  <si>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</si>
  <si>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</si>
  <si>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</si>
  <si>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</si>
  <si>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</si>
  <si>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</si>
  <si>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</si>
  <si>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</si>
  <si>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</si>
  <si>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</si>
  <si>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</si>
  <si>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</si>
  <si>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</si>
  <si>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</si>
  <si>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</si>
  <si>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</si>
  <si>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</si>
  <si>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</si>
  <si>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</si>
  <si>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</si>
  <si>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</si>
  <si>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</si>
  <si>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</si>
  <si>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</si>
  <si>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</si>
  <si>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</si>
  <si>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</si>
  <si>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</si>
  <si>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</si>
  <si>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</si>
  <si>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</si>
  <si>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</si>
  <si>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</si>
  <si>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</si>
  <si>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</si>
  <si>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</si>
  <si>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</si>
  <si>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</si>
  <si>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</si>
  <si>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</si>
  <si>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</si>
  <si>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</si>
  <si>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</si>
  <si>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</si>
  <si>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</si>
  <si>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</si>
  <si>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</si>
  <si>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</si>
  <si>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</si>
  <si>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</si>
  <si>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</si>
  <si>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</si>
  <si>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</si>
  <si>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</si>
  <si>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</si>
  <si>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</si>
  <si>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</si>
  <si>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</si>
  <si>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</si>
  <si>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</si>
  <si>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</si>
  <si>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</si>
  <si>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</si>
  <si>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</si>
  <si>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</si>
  <si>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</si>
  <si>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</si>
  <si>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</si>
  <si>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</si>
  <si>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</si>
  <si>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</si>
  <si>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</si>
  <si>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</si>
  <si>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</si>
  <si>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</si>
  <si>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</si>
  <si>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</si>
  <si>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</si>
  <si>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</si>
  <si>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</si>
  <si>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</si>
  <si>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</si>
  <si>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</si>
  <si>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</si>
  <si>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</si>
  <si>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</si>
  <si>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</si>
  <si>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</si>
  <si>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</si>
  <si>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</si>
  <si>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</si>
  <si>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</si>
  <si>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</si>
  <si>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</si>
  <si>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</si>
  <si>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</si>
  <si>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</si>
  <si>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</si>
  <si>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</si>
  <si>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</si>
  <si>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</si>
  <si>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</si>
  <si>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</si>
  <si>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</si>
  <si>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</si>
  <si>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</si>
  <si>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</si>
  <si>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</si>
  <si>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</si>
  <si>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</si>
  <si>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</si>
  <si>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</si>
  <si>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</si>
  <si>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</si>
  <si>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</si>
  <si>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</si>
  <si>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</si>
  <si>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</si>
  <si>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</si>
  <si>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</si>
  <si>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</si>
  <si>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</si>
  <si>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</si>
  <si>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</si>
  <si>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</si>
  <si>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</si>
  <si>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</si>
  <si>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</si>
  <si>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</si>
  <si>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</si>
  <si>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</si>
  <si>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</si>
  <si>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</si>
  <si>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</si>
  <si>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</si>
  <si>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</si>
  <si>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</si>
  <si>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</si>
  <si>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</si>
  <si>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</si>
  <si>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</si>
  <si>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</si>
  <si>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</si>
  <si>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</si>
  <si>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</si>
  <si>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</si>
  <si>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</si>
  <si>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</si>
  <si>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</si>
  <si>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</si>
  <si>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</si>
  <si>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</si>
  <si>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</si>
  <si>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</si>
  <si>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</si>
  <si>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</si>
  <si>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</si>
  <si>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</si>
  <si>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</si>
  <si>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</si>
  <si>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</si>
  <si>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</si>
  <si>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</si>
  <si>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</si>
  <si>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</si>
  <si>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</si>
  <si>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</si>
  <si>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</si>
  <si>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</si>
  <si>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</si>
  <si>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</si>
  <si>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</si>
  <si>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</si>
  <si>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</si>
  <si>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</si>
  <si>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</si>
  <si>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</si>
  <si>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</si>
  <si>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</si>
  <si>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</si>
  <si>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</si>
  <si>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</si>
  <si>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</si>
  <si>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</si>
  <si>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</si>
  <si>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</si>
  <si>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</si>
  <si>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</si>
  <si>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</si>
  <si>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</si>
  <si>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</si>
  <si>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</si>
  <si>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</si>
  <si>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</si>
  <si>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</si>
  <si>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</si>
  <si>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</si>
  <si>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</si>
  <si>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</si>
  <si>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</si>
  <si>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</si>
  <si>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</si>
  <si>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</si>
  <si>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</si>
  <si>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</si>
  <si>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</si>
  <si>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</si>
  <si>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</si>
  <si>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</si>
  <si>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</si>
  <si>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</si>
  <si>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</si>
  <si>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</si>
  <si>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</si>
  <si>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</si>
  <si>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</si>
  <si>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</si>
  <si>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</si>
  <si>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</si>
  <si>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</si>
  <si>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</si>
  <si>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</si>
  <si>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</si>
  <si>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</si>
  <si>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</si>
  <si>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</si>
  <si>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</si>
  <si>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</si>
  <si>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</si>
  <si>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</si>
  <si>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</si>
  <si>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</si>
  <si>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</si>
  <si>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</si>
  <si>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</si>
  <si>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</si>
  <si>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</si>
  <si>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</si>
  <si>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</si>
  <si>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</si>
  <si>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</si>
  <si>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</si>
  <si>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</si>
  <si>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</si>
  <si>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</si>
  <si>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</si>
  <si>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</si>
  <si>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</si>
  <si>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</si>
  <si>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</si>
  <si>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</si>
  <si>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</si>
  <si>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</si>
  <si>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</si>
  <si>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</si>
  <si>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</si>
  <si>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</si>
  <si>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</si>
  <si>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</si>
  <si>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</si>
  <si>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</si>
  <si>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</si>
  <si>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</si>
  <si>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</si>
  <si>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</si>
  <si>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</si>
  <si>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</si>
  <si>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</si>
  <si>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</si>
  <si>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</si>
  <si>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</si>
  <si>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</si>
  <si>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</si>
  <si>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</si>
  <si>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</si>
  <si>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</si>
  <si>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</si>
  <si>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</si>
  <si>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</si>
  <si>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</si>
  <si>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</si>
  <si>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</si>
  <si>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</si>
  <si>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</si>
  <si>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</si>
  <si>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</si>
  <si>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</si>
  <si>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</si>
  <si>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</si>
  <si>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</si>
  <si>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</si>
  <si>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</si>
  <si>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</si>
  <si>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</si>
  <si>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</si>
  <si>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</si>
  <si>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</si>
  <si>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</si>
  <si>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</si>
  <si>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</si>
  <si>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</si>
  <si>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</si>
  <si>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</si>
  <si>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</si>
  <si>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</si>
  <si>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</si>
  <si>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</si>
  <si>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</si>
  <si>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</si>
  <si>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</si>
  <si>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</si>
  <si>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</si>
  <si>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</si>
  <si>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</si>
  <si>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</si>
  <si>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</si>
  <si>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</si>
  <si>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</si>
  <si>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</si>
  <si>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</si>
  <si>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</si>
  <si>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</si>
  <si>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</si>
  <si>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</si>
  <si>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</si>
  <si>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</si>
  <si>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</si>
  <si>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</si>
  <si>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</si>
  <si>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</si>
  <si>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</si>
  <si>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</si>
  <si>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</si>
  <si>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</si>
  <si>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</si>
  <si>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</si>
  <si>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</si>
  <si>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</si>
  <si>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</si>
  <si>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</si>
  <si>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</si>
  <si>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</si>
  <si>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</si>
  <si>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</si>
  <si>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</si>
  <si>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</si>
  <si>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</si>
  <si>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</si>
  <si>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</si>
  <si>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</si>
  <si>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</si>
  <si>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</si>
  <si>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</si>
  <si>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</si>
  <si>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</si>
  <si>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</si>
  <si>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</si>
  <si>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</si>
  <si>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</si>
  <si>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</si>
  <si>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</si>
  <si>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</si>
  <si>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</si>
  <si>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</si>
  <si>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</si>
  <si>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</si>
  <si>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</si>
  <si>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</si>
  <si>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</si>
  <si>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</si>
  <si>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</si>
  <si>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</si>
  <si>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</si>
  <si>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</si>
  <si>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</si>
  <si>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</si>
  <si>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</si>
  <si>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</si>
  <si>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</si>
  <si>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</si>
  <si>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</si>
  <si>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</si>
  <si>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</si>
  <si>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</si>
  <si>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</si>
  <si>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</si>
  <si>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</si>
  <si>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</si>
  <si>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</si>
  <si>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</si>
  <si>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</si>
  <si>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</si>
  <si>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</si>
  <si>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</si>
  <si>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</si>
  <si>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</si>
  <si>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</si>
  <si>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</si>
  <si>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</si>
  <si>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</si>
  <si>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</si>
  <si>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</si>
  <si>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</si>
  <si>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</si>
  <si>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</si>
  <si>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</si>
  <si>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</si>
  <si>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</si>
  <si>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</si>
  <si>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</si>
  <si>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</si>
  <si>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</si>
  <si>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</si>
  <si>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</si>
  <si>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</si>
  <si>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</si>
  <si>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</si>
  <si>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</si>
  <si>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</si>
  <si>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</si>
  <si>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</si>
  <si>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</si>
  <si>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</si>
  <si>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</si>
  <si>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</si>
  <si>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</si>
  <si>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</si>
  <si>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</si>
  <si>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</si>
  <si>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</si>
  <si>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</si>
  <si>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</si>
  <si>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</si>
  <si>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</si>
  <si>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</si>
  <si>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</si>
  <si>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</si>
  <si>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</si>
  <si>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</si>
  <si>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</si>
  <si>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</si>
  <si>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</si>
  <si>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</si>
  <si>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</si>
  <si>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</si>
  <si>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</si>
  <si>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</si>
  <si>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</si>
  <si>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</si>
  <si>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</si>
  <si>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</si>
  <si>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</si>
  <si>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</si>
  <si>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</si>
  <si>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</si>
  <si>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</si>
  <si>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</si>
  <si>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</si>
  <si>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</si>
  <si>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</si>
  <si>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</si>
  <si>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</si>
  <si>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</si>
  <si>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</si>
  <si>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</si>
  <si>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</si>
  <si>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</si>
  <si>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</si>
  <si>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</si>
  <si>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</si>
  <si>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</si>
  <si>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</si>
  <si>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</si>
  <si>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</si>
  <si>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</si>
  <si>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</si>
  <si>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</si>
  <si>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</si>
  <si>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</si>
  <si>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</si>
  <si>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</si>
  <si>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</si>
  <si>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</si>
  <si>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</si>
  <si>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</si>
  <si>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</si>
  <si>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</si>
  <si>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</si>
  <si>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</si>
  <si>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</si>
  <si>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</si>
  <si>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</si>
  <si>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</si>
  <si>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</si>
  <si>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</si>
  <si>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</si>
  <si>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</si>
  <si>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</si>
  <si>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</si>
  <si>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</si>
  <si>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</si>
  <si>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</si>
  <si>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</si>
  <si>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</si>
  <si>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</si>
  <si>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</si>
  <si>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</si>
  <si>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</si>
  <si>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</si>
  <si>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</si>
  <si>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</si>
  <si>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</si>
  <si>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</si>
  <si>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</si>
  <si>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</si>
  <si>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</si>
  <si>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</si>
  <si>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</si>
  <si>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</si>
  <si>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</si>
  <si>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</si>
  <si>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</si>
  <si>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</si>
  <si>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</si>
  <si>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</si>
  <si>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</si>
  <si>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</si>
  <si>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</si>
  <si>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</si>
  <si>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</si>
  <si>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</si>
  <si>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</si>
  <si>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</si>
  <si>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</si>
  <si>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</si>
  <si>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</si>
  <si>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</si>
  <si>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</si>
  <si>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</si>
  <si>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</si>
  <si>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</si>
  <si>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</si>
  <si>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</si>
  <si>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</si>
  <si>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</si>
  <si>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</si>
  <si>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</si>
  <si>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</si>
  <si>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</si>
  <si>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</si>
  <si>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</si>
  <si>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</si>
  <si>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</si>
  <si>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</si>
  <si>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</si>
  <si>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</si>
  <si>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</si>
  <si>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</si>
  <si>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</si>
  <si>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</si>
  <si>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</si>
  <si>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</si>
  <si>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</si>
  <si>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</si>
  <si>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</si>
  <si>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</si>
  <si>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</si>
  <si>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</si>
  <si>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</si>
  <si>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</si>
  <si>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</si>
  <si>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</si>
  <si>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</si>
  <si>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</si>
  <si>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</si>
  <si>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</si>
  <si>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</si>
  <si>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</si>
  <si>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</si>
  <si>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</si>
  <si>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</si>
  <si>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</si>
  <si>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</si>
  <si>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</si>
  <si>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</si>
  <si>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</si>
  <si>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</si>
  <si>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</si>
  <si>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</si>
  <si>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</si>
  <si>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</si>
  <si>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</si>
  <si>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</si>
  <si>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</si>
  <si>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</si>
  <si>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</si>
  <si>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</si>
  <si>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</si>
  <si>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</si>
  <si>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</si>
  <si>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</si>
  <si>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</si>
  <si>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</si>
  <si>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</si>
  <si>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</si>
  <si>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</si>
  <si>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</si>
  <si>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</si>
  <si>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</si>
  <si>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</si>
  <si>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</si>
  <si>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</si>
  <si>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</si>
  <si>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</si>
  <si>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</si>
  <si>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</si>
  <si>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</si>
  <si>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</si>
  <si>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</si>
  <si>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</si>
  <si>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</si>
  <si>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</si>
  <si>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</si>
  <si>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</si>
  <si>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</si>
  <si>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</si>
  <si>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</si>
  <si>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</si>
  <si>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</si>
  <si>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</si>
  <si>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</si>
  <si>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</si>
  <si>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</si>
  <si>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</si>
  <si>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</si>
  <si>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</si>
  <si>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</si>
  <si>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</si>
  <si>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</si>
  <si>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</si>
  <si>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</si>
  <si>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</si>
  <si>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</si>
  <si>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</si>
  <si>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</si>
  <si>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</si>
  <si>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</si>
  <si>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</si>
  <si>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</si>
  <si>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</si>
  <si>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</si>
  <si>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</si>
  <si>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</si>
  <si>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</si>
  <si>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</si>
  <si>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</si>
  <si>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</si>
  <si>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</si>
  <si>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</si>
  <si>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</si>
  <si>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</si>
  <si>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</si>
  <si>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</si>
  <si>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</si>
  <si>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</si>
  <si>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</si>
  <si>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</si>
  <si>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</si>
  <si>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</si>
  <si>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</si>
  <si>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</si>
  <si>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</si>
  <si>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</si>
  <si>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</si>
  <si>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</si>
  <si>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</si>
  <si>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</si>
  <si>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</si>
  <si>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</si>
  <si>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</si>
  <si>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</si>
  <si>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</si>
  <si>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</si>
  <si>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</si>
  <si>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</si>
  <si>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</si>
  <si>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</si>
  <si>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</si>
  <si>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</si>
  <si>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</si>
  <si>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</si>
  <si>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</si>
  <si>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</si>
  <si>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</si>
  <si>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</si>
  <si>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</si>
  <si>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</si>
  <si>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</si>
  <si>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</si>
  <si>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</si>
  <si>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</si>
  <si>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</si>
  <si>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</si>
  <si>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</si>
  <si>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</si>
  <si>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</si>
  <si>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</si>
  <si>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</si>
  <si>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</si>
  <si>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</si>
  <si>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</si>
  <si>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</si>
  <si>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</si>
  <si>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</si>
  <si>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</si>
  <si>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</si>
  <si>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</si>
  <si>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</si>
  <si>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</si>
  <si>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</si>
  <si>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</si>
  <si>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</si>
  <si>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</si>
  <si>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</si>
  <si>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</si>
  <si>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</si>
  <si>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</si>
  <si>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</si>
  <si>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</si>
  <si>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</si>
  <si>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</si>
  <si>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</si>
  <si>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</si>
  <si>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</si>
  <si>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</si>
  <si>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</si>
  <si>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</si>
  <si>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</si>
  <si>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</si>
  <si>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</si>
  <si>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</si>
  <si>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</si>
  <si>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</si>
  <si>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</si>
  <si>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</si>
  <si>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</si>
  <si>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</si>
  <si>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</si>
  <si>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</si>
  <si>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</si>
  <si>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</si>
  <si>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</si>
  <si>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</si>
  <si>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</si>
  <si>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</si>
  <si>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</si>
  <si>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</si>
  <si>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</si>
  <si>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</si>
  <si>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</si>
  <si>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</si>
  <si>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</si>
  <si>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</si>
  <si>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</si>
  <si>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</si>
  <si>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</si>
  <si>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</si>
  <si>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</si>
  <si>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</si>
  <si>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</si>
  <si>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</si>
  <si>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</si>
  <si>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</si>
  <si>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</si>
  <si>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</si>
  <si>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</si>
  <si>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</si>
  <si>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</si>
  <si>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</si>
  <si>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</si>
  <si>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</si>
  <si>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</si>
  <si>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</si>
  <si>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</si>
  <si>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</si>
  <si>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</si>
  <si>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</si>
  <si>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</si>
  <si>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</si>
  <si>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</si>
  <si>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</si>
  <si>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</si>
  <si>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</si>
  <si>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</si>
  <si>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</si>
  <si>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</si>
  <si>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</si>
  <si>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</si>
  <si>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</si>
  <si>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</si>
  <si>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</si>
  <si>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</si>
  <si>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</si>
  <si>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</si>
  <si>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</si>
  <si>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</si>
  <si>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</si>
  <si>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</si>
  <si>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</si>
  <si>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</si>
  <si>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</si>
  <si>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</si>
  <si>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</si>
  <si>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</si>
  <si>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</si>
  <si>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</si>
  <si>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</si>
  <si>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</si>
  <si>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</si>
  <si>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</si>
  <si>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</si>
  <si>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</si>
  <si>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</si>
  <si>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</si>
  <si>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</si>
  <si>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</si>
  <si>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</si>
  <si>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</si>
  <si>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</si>
  <si>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</si>
  <si>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</si>
  <si>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</si>
  <si>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</si>
  <si>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</si>
  <si>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</si>
  <si>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</si>
  <si>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</si>
  <si>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</si>
  <si>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</si>
  <si>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</si>
  <si>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</si>
  <si>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</si>
  <si>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</si>
  <si>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</si>
  <si>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</si>
  <si>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</si>
  <si>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</si>
  <si>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</si>
  <si>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</si>
  <si>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</si>
  <si>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</si>
  <si>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</si>
  <si>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</si>
  <si>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</si>
  <si>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</si>
  <si>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</si>
  <si>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</si>
  <si>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</si>
  <si>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</si>
  <si>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</si>
  <si>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</si>
  <si>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</si>
  <si>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</si>
  <si>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</si>
  <si>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</si>
  <si>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</si>
  <si>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</si>
  <si>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</si>
  <si>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</si>
  <si>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</si>
  <si>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</si>
  <si>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</si>
  <si>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</si>
  <si>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</si>
  <si>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</si>
  <si>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</si>
  <si>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</si>
  <si>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</si>
  <si>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</si>
  <si>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</si>
  <si>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</si>
  <si>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</si>
  <si>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</si>
  <si>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</si>
  <si>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</si>
  <si>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</si>
  <si>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</si>
  <si>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</si>
  <si>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</si>
  <si>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</si>
  <si>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</si>
  <si>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</si>
  <si>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</si>
  <si>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</si>
  <si>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</si>
  <si>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</si>
  <si>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</si>
  <si>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</si>
  <si>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</si>
  <si>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</si>
  <si>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</si>
  <si>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</si>
  <si>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</si>
  <si>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</si>
  <si>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</si>
  <si>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</si>
  <si>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</si>
  <si>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</si>
  <si>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</si>
  <si>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</si>
  <si>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</si>
  <si>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</si>
  <si>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</si>
  <si>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</si>
  <si>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</si>
  <si>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</si>
  <si>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</si>
  <si>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</si>
  <si>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</si>
  <si>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</si>
  <si>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</si>
  <si>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</si>
  <si>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</si>
  <si>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</si>
  <si>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</si>
  <si>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</si>
  <si>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</si>
  <si>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</si>
  <si>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</si>
  <si>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</si>
  <si>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</si>
  <si>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</si>
  <si>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</si>
  <si>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</si>
  <si>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</si>
  <si>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</si>
  <si>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</si>
  <si>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</si>
  <si>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</si>
  <si>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</si>
  <si>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</si>
  <si>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</si>
  <si>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</si>
  <si>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</si>
  <si>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</si>
  <si>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</si>
  <si>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</si>
  <si>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</si>
  <si>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</si>
  <si>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</si>
  <si>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</si>
  <si>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</si>
  <si>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</si>
  <si>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</si>
  <si>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</si>
  <si>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</si>
  <si>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</si>
  <si>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</si>
  <si>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</si>
  <si>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</si>
  <si>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</si>
  <si>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</si>
  <si>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</si>
  <si>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</si>
  <si>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</si>
  <si>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</si>
  <si>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</si>
  <si>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</si>
  <si>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</si>
  <si>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</si>
  <si>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</si>
  <si>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</si>
  <si>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</si>
  <si>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</si>
  <si>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</si>
  <si>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</si>
  <si>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</si>
  <si>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</si>
  <si>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</si>
  <si>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</si>
  <si>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</si>
  <si>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</si>
  <si>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</si>
  <si>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</si>
  <si>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</si>
  <si>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</si>
  <si>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</si>
  <si>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</si>
  <si>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</si>
  <si>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</si>
  <si>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</si>
  <si>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</si>
  <si>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</si>
  <si>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</si>
  <si>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</si>
  <si>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</si>
  <si>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</si>
  <si>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</si>
  <si>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</si>
  <si>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</si>
  <si>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</si>
  <si>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</si>
  <si>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</si>
  <si>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</si>
  <si>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</si>
  <si>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</si>
  <si>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</si>
  <si>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</si>
  <si>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</si>
  <si>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</si>
  <si>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</si>
  <si>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</si>
  <si>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</si>
  <si>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</si>
  <si>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</si>
  <si>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</si>
  <si>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</si>
  <si>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</si>
  <si>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</si>
  <si>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</si>
  <si>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</si>
  <si>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</si>
  <si>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</si>
  <si>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</si>
  <si>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</si>
  <si>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</si>
  <si>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</si>
  <si>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</si>
  <si>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</si>
  <si>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</si>
  <si>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</si>
  <si>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</si>
  <si>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</si>
  <si>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</si>
  <si>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</si>
  <si>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</si>
  <si>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</si>
  <si>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</si>
  <si>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</si>
  <si>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</si>
  <si>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</si>
  <si>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</si>
  <si>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</si>
  <si>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</si>
  <si>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</si>
  <si>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</si>
  <si>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</si>
  <si>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</si>
  <si>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</si>
  <si>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</si>
  <si>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</si>
  <si>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</si>
  <si>
    <t>800 @    20.19</t>
  </si>
  <si>
    <t>18.50-&gt;18.00</t>
  </si>
  <si>
    <t>Total Value</t>
  </si>
  <si>
    <t>7/26/2018 PM</t>
  </si>
  <si>
    <t>Disney topped cmcsa offer for fox</t>
  </si>
  <si>
    <t>32.25-&gt;31.00</t>
  </si>
  <si>
    <t>not bad, up 9.7%. Sold 300 shares and bought back. Holding 1500 shares @28.07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</si>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</sst>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67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672"/>
      <tableStyleElement type="headerRow" dxfId="2671"/>
    </tableStyle>
  </tableStyles>
  <colors>
    <mruColors>
      <color rgb="FFE7271D"/>
      <color rgb="FFFF7C5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977192"/>
        <c:axId val="164977584"/>
      </c:scatterChart>
      <c:valAx>
        <c:axId val="164977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77584"/>
        <c:crosses val="autoZero"/>
        <c:crossBetween val="midCat"/>
      </c:valAx>
      <c:valAx>
        <c:axId val="16497758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77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975232"/>
        <c:axId val="474435936"/>
      </c:scatterChart>
      <c:valAx>
        <c:axId val="16497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5936"/>
        <c:crosses val="autoZero"/>
        <c:crossBetween val="midCat"/>
      </c:valAx>
      <c:valAx>
        <c:axId val="47443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7523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436328"/>
        <c:axId val="474429272"/>
      </c:scatterChart>
      <c:valAx>
        <c:axId val="47443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29272"/>
        <c:crosses val="autoZero"/>
        <c:crossBetween val="midCat"/>
      </c:valAx>
      <c:valAx>
        <c:axId val="47442927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434368"/>
        <c:axId val="474430056"/>
      </c:scatterChart>
      <c:valAx>
        <c:axId val="47443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0056"/>
        <c:crosses val="autoZero"/>
        <c:crossBetween val="midCat"/>
      </c:valAx>
      <c:valAx>
        <c:axId val="47443005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432408"/>
        <c:axId val="474433976"/>
      </c:scatterChart>
      <c:valAx>
        <c:axId val="474432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3976"/>
        <c:crosses val="autoZero"/>
        <c:crossBetween val="midCat"/>
      </c:valAx>
      <c:valAx>
        <c:axId val="47443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2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432800"/>
        <c:axId val="474435152"/>
      </c:scatterChart>
      <c:valAx>
        <c:axId val="47443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5152"/>
        <c:crosses val="autoZero"/>
        <c:crossBetween val="midCat"/>
      </c:valAx>
      <c:valAx>
        <c:axId val="47443515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436720"/>
        <c:axId val="474430448"/>
      </c:scatterChart>
      <c:valAx>
        <c:axId val="4744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0448"/>
        <c:crosses val="autoZero"/>
        <c:crossBetween val="midCat"/>
      </c:valAx>
      <c:valAx>
        <c:axId val="4744304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672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431624"/>
        <c:axId val="474433192"/>
      </c:scatterChart>
      <c:valAx>
        <c:axId val="474431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3192"/>
        <c:crosses val="autoZero"/>
        <c:crossBetween val="midCat"/>
      </c:valAx>
      <c:valAx>
        <c:axId val="47443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1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37080"/>
        <c:axId val="475139432"/>
      </c:lineChart>
      <c:dateAx>
        <c:axId val="475137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39432"/>
        <c:crosses val="autoZero"/>
        <c:auto val="1"/>
        <c:lblOffset val="100"/>
        <c:baseTimeUnit val="days"/>
      </c:dateAx>
      <c:valAx>
        <c:axId val="4751394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3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39040"/>
        <c:axId val="475141000"/>
      </c:lineChart>
      <c:dateAx>
        <c:axId val="475139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41000"/>
        <c:crosses val="autoZero"/>
        <c:auto val="1"/>
        <c:lblOffset val="100"/>
        <c:baseTimeUnit val="days"/>
      </c:dateAx>
      <c:valAx>
        <c:axId val="47514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3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548912"/>
        <c:axId val="475542640"/>
      </c:lineChart>
      <c:dateAx>
        <c:axId val="47554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42640"/>
        <c:crosses val="autoZero"/>
        <c:auto val="1"/>
        <c:lblOffset val="100"/>
        <c:baseTimeUnit val="days"/>
      </c:dateAx>
      <c:valAx>
        <c:axId val="4755426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4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545384"/>
        <c:axId val="475542248"/>
      </c:lineChart>
      <c:dateAx>
        <c:axId val="475545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42248"/>
        <c:crosses val="autoZero"/>
        <c:auto val="1"/>
        <c:lblOffset val="100"/>
        <c:baseTimeUnit val="days"/>
      </c:dateAx>
      <c:valAx>
        <c:axId val="4755422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4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1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1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184736"/>
        <c:axId val="488186696"/>
      </c:lineChart>
      <c:catAx>
        <c:axId val="48818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86696"/>
        <c:crosses val="autoZero"/>
        <c:auto val="1"/>
        <c:lblAlgn val="ctr"/>
        <c:lblOffset val="100"/>
        <c:noMultiLvlLbl val="0"/>
      </c:catAx>
      <c:valAx>
        <c:axId val="48818669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8473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80424"/>
        <c:axId val="488183168"/>
      </c:lineChart>
      <c:dateAx>
        <c:axId val="488180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83168"/>
        <c:crosses val="autoZero"/>
        <c:auto val="1"/>
        <c:lblOffset val="100"/>
        <c:baseTimeUnit val="days"/>
      </c:dateAx>
      <c:valAx>
        <c:axId val="4881831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8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389512"/>
        <c:axId val="494392256"/>
      </c:lineChart>
      <c:dateAx>
        <c:axId val="494389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92256"/>
        <c:crosses val="autoZero"/>
        <c:auto val="1"/>
        <c:lblOffset val="100"/>
        <c:baseTimeUnit val="days"/>
      </c:dateAx>
      <c:valAx>
        <c:axId val="494392256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89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94608"/>
        <c:axId val="494395000"/>
      </c:lineChart>
      <c:catAx>
        <c:axId val="494394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95000"/>
        <c:crosses val="autoZero"/>
        <c:auto val="1"/>
        <c:lblAlgn val="ctr"/>
        <c:lblOffset val="100"/>
        <c:noMultiLvlLbl val="0"/>
      </c:catAx>
      <c:valAx>
        <c:axId val="4943950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9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PDCO!$E$24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</c:numCache>
            </c:numRef>
          </c:xVal>
          <c:yVal>
            <c:numRef>
              <c:f>PDCO!$E$25:$E$63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</c:numCache>
            </c:numRef>
          </c:xVal>
          <c:yVal>
            <c:numRef>
              <c:f>PDCO!$D$25:$D$63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388728"/>
        <c:axId val="494389904"/>
      </c:scatterChart>
      <c:valAx>
        <c:axId val="494388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89904"/>
        <c:crosses val="autoZero"/>
        <c:crossBetween val="midCat"/>
      </c:valAx>
      <c:valAx>
        <c:axId val="49438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88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960600"/>
        <c:axId val="502959032"/>
      </c:lineChart>
      <c:catAx>
        <c:axId val="502960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959032"/>
        <c:crosses val="autoZero"/>
        <c:auto val="1"/>
        <c:lblAlgn val="ctr"/>
        <c:lblOffset val="100"/>
        <c:noMultiLvlLbl val="0"/>
      </c:catAx>
      <c:valAx>
        <c:axId val="5029590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96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956288"/>
        <c:axId val="502959424"/>
      </c:lineChart>
      <c:dateAx>
        <c:axId val="50295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959424"/>
        <c:crosses val="autoZero"/>
        <c:auto val="1"/>
        <c:lblOffset val="100"/>
        <c:baseTimeUnit val="days"/>
      </c:dateAx>
      <c:valAx>
        <c:axId val="5029594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95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962952"/>
        <c:axId val="502956680"/>
      </c:lineChart>
      <c:dateAx>
        <c:axId val="502962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956680"/>
        <c:crosses val="autoZero"/>
        <c:auto val="1"/>
        <c:lblOffset val="100"/>
        <c:baseTimeUnit val="days"/>
      </c:dateAx>
      <c:valAx>
        <c:axId val="5029566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96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76384"/>
        <c:axId val="501977952"/>
      </c:lineChart>
      <c:dateAx>
        <c:axId val="501976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77952"/>
        <c:crosses val="autoZero"/>
        <c:auto val="1"/>
        <c:lblOffset val="100"/>
        <c:baseTimeUnit val="days"/>
      </c:dateAx>
      <c:valAx>
        <c:axId val="5019779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7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972072"/>
        <c:axId val="501972856"/>
      </c:lineChart>
      <c:dateAx>
        <c:axId val="501972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72856"/>
        <c:crosses val="autoZero"/>
        <c:auto val="1"/>
        <c:lblOffset val="100"/>
        <c:baseTimeUnit val="days"/>
      </c:dateAx>
      <c:valAx>
        <c:axId val="50197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7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74424"/>
        <c:axId val="501975208"/>
      </c:lineChart>
      <c:dateAx>
        <c:axId val="501974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75208"/>
        <c:crosses val="autoZero"/>
        <c:auto val="1"/>
        <c:lblOffset val="100"/>
        <c:baseTimeUnit val="days"/>
      </c:dateAx>
      <c:valAx>
        <c:axId val="5019752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7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368520"/>
        <c:axId val="555369696"/>
      </c:lineChart>
      <c:catAx>
        <c:axId val="555368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69696"/>
        <c:crosses val="autoZero"/>
        <c:auto val="1"/>
        <c:lblAlgn val="ctr"/>
        <c:lblOffset val="100"/>
        <c:noMultiLvlLbl val="0"/>
      </c:catAx>
      <c:valAx>
        <c:axId val="555369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6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372832"/>
        <c:axId val="555371264"/>
      </c:lineChart>
      <c:catAx>
        <c:axId val="555372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71264"/>
        <c:crosses val="autoZero"/>
        <c:auto val="1"/>
        <c:lblAlgn val="ctr"/>
        <c:lblOffset val="100"/>
        <c:noMultiLvlLbl val="0"/>
      </c:catAx>
      <c:valAx>
        <c:axId val="5553712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7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98008"/>
        <c:axId val="567597224"/>
      </c:lineChart>
      <c:dateAx>
        <c:axId val="567598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97224"/>
        <c:crosses val="autoZero"/>
        <c:auto val="1"/>
        <c:lblOffset val="100"/>
        <c:baseTimeUnit val="days"/>
      </c:dateAx>
      <c:valAx>
        <c:axId val="5675972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9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86248"/>
        <c:axId val="567589776"/>
      </c:lineChart>
      <c:dateAx>
        <c:axId val="567586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89776"/>
        <c:crosses val="autoZero"/>
        <c:auto val="1"/>
        <c:lblOffset val="100"/>
        <c:baseTimeUnit val="days"/>
      </c:dateAx>
      <c:valAx>
        <c:axId val="5675897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8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88208"/>
        <c:axId val="567592520"/>
      </c:lineChart>
      <c:catAx>
        <c:axId val="567588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92520"/>
        <c:crosses val="autoZero"/>
        <c:auto val="1"/>
        <c:lblAlgn val="ctr"/>
        <c:lblOffset val="100"/>
        <c:noMultiLvlLbl val="0"/>
      </c:catAx>
      <c:valAx>
        <c:axId val="5675925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8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82328"/>
        <c:axId val="567584288"/>
      </c:lineChart>
      <c:dateAx>
        <c:axId val="567582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84288"/>
        <c:crosses val="autoZero"/>
        <c:auto val="1"/>
        <c:lblOffset val="100"/>
        <c:baseTimeUnit val="days"/>
      </c:dateAx>
      <c:valAx>
        <c:axId val="5675842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8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80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166687</xdr:colOff>
      <xdr:row>39</xdr:row>
      <xdr:rowOff>66675</xdr:rowOff>
    </xdr:from>
    <xdr:to>
      <xdr:col>19</xdr:col>
      <xdr:colOff>180975</xdr:colOff>
      <xdr:row>56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342899</xdr:colOff>
      <xdr:row>35</xdr:row>
      <xdr:rowOff>80961</xdr:rowOff>
    </xdr:from>
    <xdr:to>
      <xdr:col>20</xdr:col>
      <xdr:colOff>4248149</xdr:colOff>
      <xdr:row>60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80" dataDxfId="479">
  <autoFilter ref="O15:W26"/>
  <tableColumns count="9">
    <tableColumn id="1" name="Date" dataDxfId="478"/>
    <tableColumn id="2" name="Quarter" dataDxfId="477"/>
    <tableColumn id="3" name="Time" dataDxfId="476"/>
    <tableColumn id="4" name="EPS estimate" dataDxfId="475"/>
    <tableColumn id="5" name="EPS Actual" dataDxfId="474"/>
    <tableColumn id="6" name="Sales Estiamte (B)" dataDxfId="473"/>
    <tableColumn id="7" name="Sales Actual (B)" dataDxfId="472"/>
    <tableColumn id="8" name="Guidance" dataDxfId="471"/>
    <tableColumn id="9" name="Reaction" dataDxfId="47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5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U2" sqref="U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5.28515625" style="49" customWidth="1"/>
    <col min="5" max="5" width="7.28515625" style="53" bestFit="1" customWidth="1"/>
    <col min="6" max="6" width="10.85546875" style="844" bestFit="1" customWidth="1"/>
    <col min="7" max="7" width="10.7109375" style="844" bestFit="1" customWidth="1"/>
    <col min="8" max="8" width="7.42578125" style="49" bestFit="1" customWidth="1"/>
    <col min="9" max="9" width="12" style="48" bestFit="1" customWidth="1"/>
    <col min="10" max="10" width="10.140625" style="358" bestFit="1" customWidth="1"/>
    <col min="11" max="11" width="12.28515625" style="358" bestFit="1" customWidth="1"/>
    <col min="12" max="12" width="12.28515625" style="134" bestFit="1" customWidth="1"/>
    <col min="13" max="13" width="12.28515625" style="358" bestFit="1" customWidth="1"/>
    <col min="14" max="14" width="9.7109375" style="837" bestFit="1" customWidth="1"/>
    <col min="15" max="15" width="13.140625" style="769" bestFit="1" customWidth="1"/>
    <col min="16" max="16" width="9.140625" style="134" bestFit="1" customWidth="1"/>
    <col min="17" max="17" width="13.5703125" style="845" bestFit="1" customWidth="1"/>
    <col min="18" max="18" width="8" style="846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3" t="s">
        <v>142</v>
      </c>
      <c r="G1" s="843" t="s">
        <v>73</v>
      </c>
      <c r="H1" s="56" t="s">
        <v>57</v>
      </c>
      <c r="I1" s="57" t="s">
        <v>1141</v>
      </c>
      <c r="J1" s="57" t="s">
        <v>74</v>
      </c>
      <c r="K1" s="357" t="s">
        <v>180</v>
      </c>
      <c r="L1" s="346" t="s">
        <v>207</v>
      </c>
      <c r="M1" s="357" t="s">
        <v>178</v>
      </c>
      <c r="N1" s="57" t="s">
        <v>230</v>
      </c>
      <c r="O1" s="836" t="s">
        <v>948</v>
      </c>
      <c r="P1" s="346" t="s">
        <v>206</v>
      </c>
      <c r="Q1" s="346" t="s">
        <v>279</v>
      </c>
      <c r="R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9"/>
      <c r="E2" s="22" t="s">
        <v>50</v>
      </c>
      <c r="F2" s="2">
        <v>20.729900000000001</v>
      </c>
      <c r="G2" s="78">
        <v>9.2149318181817819</v>
      </c>
      <c r="H2">
        <v>2200</v>
      </c>
      <c r="I2" s="2">
        <v>45605.78</v>
      </c>
      <c r="J2" s="2">
        <v>20272.849999999919</v>
      </c>
      <c r="K2" s="2">
        <v>25332.93000000008</v>
      </c>
      <c r="L2" s="736">
        <v>1.2495988477199891</v>
      </c>
      <c r="M2" s="2">
        <v>39948.501000001706</v>
      </c>
      <c r="N2">
        <v>1000</v>
      </c>
      <c r="O2" t="s">
        <v>1125</v>
      </c>
      <c r="P2" s="736">
        <v>9.6478998933907066E-3</v>
      </c>
      <c r="Q2" s="736">
        <v>2.12E-2</v>
      </c>
      <c r="R2" s="2">
        <v>32.904603174603174</v>
      </c>
      <c r="S2" s="736"/>
      <c r="U2" s="48"/>
    </row>
    <row r="3" spans="1:41" ht="21.95" customHeight="1" x14ac:dyDescent="0.25">
      <c r="A3" s="152"/>
      <c r="B3" s="50"/>
      <c r="C3" s="51"/>
      <c r="D3" s="789"/>
      <c r="E3" s="22" t="s">
        <v>195</v>
      </c>
      <c r="F3" s="2">
        <v>29</v>
      </c>
      <c r="G3" s="78">
        <v>27.715833333333347</v>
      </c>
      <c r="H3">
        <v>1500</v>
      </c>
      <c r="I3" s="2">
        <v>43500</v>
      </c>
      <c r="J3" s="2">
        <v>41573.750000000022</v>
      </c>
      <c r="K3" s="2">
        <v>1926.2499999999709</v>
      </c>
      <c r="L3" s="736">
        <v>4.6333323310982992E-2</v>
      </c>
      <c r="M3" s="2">
        <v>3674.2199999999648</v>
      </c>
      <c r="N3" s="29">
        <v>43297</v>
      </c>
      <c r="O3"/>
      <c r="P3" s="736">
        <v>1.7241379310344827E-2</v>
      </c>
      <c r="Q3" s="736">
        <v>-1.1299999999999999E-2</v>
      </c>
      <c r="R3" s="2">
        <v>14.146341463414636</v>
      </c>
      <c r="S3" s="736"/>
      <c r="T3" s="48"/>
      <c r="U3" s="48"/>
      <c r="X3"/>
      <c r="Y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1"/>
      <c r="B4" s="152"/>
      <c r="C4" s="325"/>
      <c r="D4" s="789"/>
      <c r="E4" s="22" t="s">
        <v>736</v>
      </c>
      <c r="F4" s="2">
        <v>66.569999999999993</v>
      </c>
      <c r="G4" s="78">
        <v>65.473700000000022</v>
      </c>
      <c r="H4">
        <v>200</v>
      </c>
      <c r="I4" s="2">
        <v>13313.999999999998</v>
      </c>
      <c r="J4" s="2">
        <v>13094.740000000005</v>
      </c>
      <c r="K4" s="2">
        <v>219.25999999999294</v>
      </c>
      <c r="L4" s="736">
        <v>1.6744127794824037E-2</v>
      </c>
      <c r="M4" s="2">
        <v>219.25999999999294</v>
      </c>
      <c r="N4">
        <v>200</v>
      </c>
      <c r="O4" t="s">
        <v>1120</v>
      </c>
      <c r="P4" s="736">
        <v>2.4034850533273248E-2</v>
      </c>
      <c r="Q4" s="736">
        <v>-0.01</v>
      </c>
      <c r="R4" s="2">
        <v>11.188235294117646</v>
      </c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89"/>
      <c r="E5" s="22" t="s">
        <v>920</v>
      </c>
      <c r="F5" s="2">
        <v>120.28</v>
      </c>
      <c r="G5" s="78">
        <v>131.58370000000002</v>
      </c>
      <c r="H5">
        <v>100</v>
      </c>
      <c r="I5" s="2">
        <v>12028</v>
      </c>
      <c r="J5" s="2">
        <v>13158.370000000003</v>
      </c>
      <c r="K5" s="2">
        <v>-1130.3700000000008</v>
      </c>
      <c r="L5" s="736">
        <v>-8.5905017110782106E-2</v>
      </c>
      <c r="M5" s="2">
        <v>-1130.3700000000008</v>
      </c>
      <c r="N5">
        <v>100</v>
      </c>
      <c r="O5" t="s">
        <v>1135</v>
      </c>
      <c r="P5" s="736">
        <v>4.323245759893582E-3</v>
      </c>
      <c r="Q5" s="736">
        <v>1.4E-3</v>
      </c>
      <c r="R5" s="2">
        <v>13.953596287703018</v>
      </c>
      <c r="S5" s="48"/>
      <c r="T5" s="48"/>
      <c r="V5" s="48"/>
    </row>
    <row r="6" spans="1:41" ht="21.95" customHeight="1" x14ac:dyDescent="0.25">
      <c r="A6" s="50"/>
      <c r="B6" s="50"/>
      <c r="C6" s="51"/>
      <c r="D6" s="789"/>
      <c r="E6" s="22" t="s">
        <v>695</v>
      </c>
      <c r="F6" s="2">
        <v>238.75</v>
      </c>
      <c r="G6" s="78">
        <v>156.16555555555581</v>
      </c>
      <c r="H6">
        <v>45</v>
      </c>
      <c r="I6" s="2">
        <v>10743.75</v>
      </c>
      <c r="J6" s="2">
        <v>7027.4500000000116</v>
      </c>
      <c r="K6" s="2">
        <v>3716.2999999999884</v>
      </c>
      <c r="L6" s="736">
        <v>0.52882624565098046</v>
      </c>
      <c r="M6" s="2">
        <v>3941.0699999999888</v>
      </c>
      <c r="N6">
        <v>30</v>
      </c>
      <c r="O6"/>
      <c r="P6" s="736">
        <v>0</v>
      </c>
      <c r="Q6" s="736">
        <v>-1.18E-2</v>
      </c>
      <c r="R6" s="2">
        <v>24.382148692810457</v>
      </c>
      <c r="S6" s="48"/>
      <c r="T6" s="48"/>
      <c r="V6" s="48"/>
    </row>
    <row r="7" spans="1:41" ht="21.95" customHeight="1" x14ac:dyDescent="0.25">
      <c r="A7" s="50"/>
      <c r="B7" s="50"/>
      <c r="C7" s="51"/>
      <c r="D7" s="789"/>
      <c r="E7" s="22" t="s">
        <v>173</v>
      </c>
      <c r="F7" s="2">
        <v>53.429900000000004</v>
      </c>
      <c r="G7" s="78">
        <v>51.456350000000022</v>
      </c>
      <c r="H7">
        <v>200</v>
      </c>
      <c r="I7" s="2">
        <v>10685.980000000001</v>
      </c>
      <c r="J7" s="2">
        <v>10291.270000000004</v>
      </c>
      <c r="K7" s="2">
        <v>394.70999999999731</v>
      </c>
      <c r="L7" s="736">
        <v>3.8353866918271133E-2</v>
      </c>
      <c r="M7" s="2">
        <v>1999.2899999999991</v>
      </c>
      <c r="N7">
        <v>150</v>
      </c>
      <c r="O7" t="s">
        <v>1126</v>
      </c>
      <c r="P7" s="736">
        <v>2.9197134937553691E-2</v>
      </c>
      <c r="Q7" s="736">
        <v>-9.7999999999999997E-3</v>
      </c>
      <c r="R7" s="2">
        <v>11.820774336283188</v>
      </c>
      <c r="S7" s="48"/>
      <c r="T7" s="48"/>
      <c r="V7" s="48"/>
    </row>
    <row r="8" spans="1:41" ht="21.95" customHeight="1" x14ac:dyDescent="0.25">
      <c r="A8" s="50"/>
      <c r="B8" s="50"/>
      <c r="C8" s="51"/>
      <c r="D8" s="789"/>
      <c r="E8" s="22" t="s">
        <v>174</v>
      </c>
      <c r="F8" s="2">
        <v>26.22</v>
      </c>
      <c r="G8" s="78">
        <v>33.285684210526298</v>
      </c>
      <c r="H8">
        <v>380</v>
      </c>
      <c r="I8" s="2">
        <v>9963.6</v>
      </c>
      <c r="J8" s="2">
        <v>12648.559999999994</v>
      </c>
      <c r="K8" s="2">
        <v>-2684.95999999999</v>
      </c>
      <c r="L8" s="736">
        <v>-0.2122739663645502</v>
      </c>
      <c r="M8" s="2">
        <v>-2609.9399999999901</v>
      </c>
      <c r="N8">
        <v>260</v>
      </c>
      <c r="O8"/>
      <c r="P8" s="736">
        <v>3.5087719298245619E-2</v>
      </c>
      <c r="Q8" s="736">
        <v>7.7000000000000002E-3</v>
      </c>
      <c r="R8" s="2">
        <v>9.8202247191011232</v>
      </c>
      <c r="S8" s="48"/>
      <c r="U8" s="48"/>
    </row>
    <row r="9" spans="1:41" ht="21.95" customHeight="1" x14ac:dyDescent="0.25">
      <c r="A9" s="50"/>
      <c r="B9" s="50"/>
      <c r="C9" s="51"/>
      <c r="D9" s="789"/>
      <c r="E9" s="22" t="s">
        <v>175</v>
      </c>
      <c r="F9" s="2">
        <v>271.60000000000002</v>
      </c>
      <c r="G9" s="78">
        <v>247.96200000000005</v>
      </c>
      <c r="H9">
        <v>35</v>
      </c>
      <c r="I9" s="2">
        <v>9506</v>
      </c>
      <c r="J9" s="2">
        <v>8678.6700000000019</v>
      </c>
      <c r="K9" s="2">
        <v>827.32999999999811</v>
      </c>
      <c r="L9" s="736">
        <v>9.5329123010783806E-2</v>
      </c>
      <c r="M9" s="2">
        <v>988.15999999999804</v>
      </c>
      <c r="N9">
        <v>35</v>
      </c>
      <c r="O9"/>
      <c r="P9" s="736">
        <v>1.84E-2</v>
      </c>
      <c r="Q9" s="736">
        <v>2.2000000000000001E-3</v>
      </c>
      <c r="R9" s="2">
        <v>17</v>
      </c>
      <c r="S9" s="736"/>
      <c r="T9" s="48"/>
    </row>
    <row r="10" spans="1:41" ht="21.95" customHeight="1" x14ac:dyDescent="0.25">
      <c r="A10" s="50"/>
      <c r="B10" s="51"/>
      <c r="C10" s="51"/>
      <c r="D10" s="789"/>
      <c r="E10" s="22" t="s">
        <v>825</v>
      </c>
      <c r="F10" s="2">
        <v>23.75</v>
      </c>
      <c r="G10" s="78">
        <v>30.841699999999999</v>
      </c>
      <c r="H10">
        <v>400</v>
      </c>
      <c r="I10" s="2">
        <v>9500</v>
      </c>
      <c r="J10" s="2">
        <v>12336.68</v>
      </c>
      <c r="K10" s="2">
        <v>-2836.6800000000003</v>
      </c>
      <c r="L10" s="736">
        <v>-0.22993868690766073</v>
      </c>
      <c r="M10" s="2">
        <v>-2836.6800000000003</v>
      </c>
      <c r="N10">
        <v>300</v>
      </c>
      <c r="O10"/>
      <c r="P10" s="736">
        <v>4.3789473684210531E-2</v>
      </c>
      <c r="Q10" s="736">
        <v>-1.5299999999999999E-2</v>
      </c>
      <c r="R10" s="2">
        <v>13.970588235294118</v>
      </c>
      <c r="S10" s="48"/>
      <c r="T10" s="48"/>
    </row>
    <row r="11" spans="1:41" ht="21.95" customHeight="1" x14ac:dyDescent="0.25">
      <c r="A11" s="50"/>
      <c r="B11" s="51"/>
      <c r="C11" s="51"/>
      <c r="D11" s="789"/>
      <c r="E11" s="22" t="s">
        <v>966</v>
      </c>
      <c r="F11" s="2">
        <v>44.279899999999998</v>
      </c>
      <c r="G11" s="78">
        <v>49.396250000000002</v>
      </c>
      <c r="H11">
        <v>200</v>
      </c>
      <c r="I11" s="2">
        <v>8855.98</v>
      </c>
      <c r="J11" s="2">
        <v>9879.25</v>
      </c>
      <c r="K11" s="2">
        <v>-1023.2700000000004</v>
      </c>
      <c r="L11" s="736">
        <v>-0.10357770073639201</v>
      </c>
      <c r="M11" s="2">
        <v>-1023.2700000000004</v>
      </c>
      <c r="N11">
        <v>200</v>
      </c>
      <c r="O11"/>
      <c r="P11" s="736">
        <v>1.9900000000000001E-2</v>
      </c>
      <c r="Q11" s="736">
        <v>-1.03E-2</v>
      </c>
      <c r="R11" s="2">
        <v>17.030730769230768</v>
      </c>
      <c r="S11" s="736"/>
    </row>
    <row r="12" spans="1:41" ht="21.95" customHeight="1" x14ac:dyDescent="0.25">
      <c r="A12" s="51"/>
      <c r="B12" s="51"/>
      <c r="C12" s="51"/>
      <c r="D12" s="789"/>
      <c r="E12" s="22" t="s">
        <v>14</v>
      </c>
      <c r="F12" s="2">
        <v>56.1</v>
      </c>
      <c r="G12" s="78">
        <v>59.84</v>
      </c>
      <c r="H12">
        <v>150</v>
      </c>
      <c r="I12" s="2">
        <v>8415</v>
      </c>
      <c r="J12" s="2">
        <v>8976</v>
      </c>
      <c r="K12" s="2">
        <v>-561</v>
      </c>
      <c r="L12" s="736">
        <v>-6.2500000000000028E-2</v>
      </c>
      <c r="M12" s="2">
        <v>-561</v>
      </c>
      <c r="N12">
        <v>150</v>
      </c>
      <c r="O12" t="s">
        <v>1142</v>
      </c>
      <c r="P12" s="736">
        <v>4.7058823529411764E-2</v>
      </c>
      <c r="Q12" s="736">
        <v>-1.7000000000000001E-2</v>
      </c>
      <c r="R12" s="2">
        <v>14.148802017654477</v>
      </c>
      <c r="S12" s="736"/>
      <c r="T12" s="48"/>
      <c r="U12" s="48"/>
    </row>
    <row r="13" spans="1:41" ht="21.95" customHeight="1" x14ac:dyDescent="0.25">
      <c r="A13" s="50"/>
      <c r="B13" s="51"/>
      <c r="C13" s="51"/>
      <c r="D13" s="789"/>
      <c r="E13" s="22" t="s">
        <v>226</v>
      </c>
      <c r="F13" s="2">
        <v>28.05</v>
      </c>
      <c r="G13" s="78">
        <v>14.744499999999874</v>
      </c>
      <c r="H13">
        <v>300</v>
      </c>
      <c r="I13" s="2">
        <v>8415</v>
      </c>
      <c r="J13" s="2">
        <v>4423.3499999999622</v>
      </c>
      <c r="K13" s="2">
        <v>3991.6500000000378</v>
      </c>
      <c r="L13" s="736">
        <v>0.90240428634407677</v>
      </c>
      <c r="M13" s="2">
        <v>5443.9100000000362</v>
      </c>
      <c r="N13">
        <v>100</v>
      </c>
      <c r="O13"/>
      <c r="P13" s="736">
        <v>3.5650623885918006E-3</v>
      </c>
      <c r="Q13" s="736">
        <v>-2.8E-3</v>
      </c>
      <c r="R13" s="2">
        <v>20.035714285714288</v>
      </c>
      <c r="S13" s="736"/>
      <c r="T13" s="48"/>
      <c r="U13" s="48"/>
      <c r="V13" s="48"/>
    </row>
    <row r="14" spans="1:41" ht="21.95" customHeight="1" x14ac:dyDescent="0.25">
      <c r="A14" s="50"/>
      <c r="B14" s="50"/>
      <c r="C14" s="51"/>
      <c r="D14" s="789"/>
      <c r="E14" s="22" t="s">
        <v>960</v>
      </c>
      <c r="F14" s="2">
        <v>32.779899999999998</v>
      </c>
      <c r="G14" s="78">
        <v>32.480520000000006</v>
      </c>
      <c r="H14">
        <v>250</v>
      </c>
      <c r="I14" s="2">
        <v>8194.9749999999985</v>
      </c>
      <c r="J14" s="2">
        <v>8120.130000000001</v>
      </c>
      <c r="K14" s="2">
        <v>74.844999999997526</v>
      </c>
      <c r="L14" s="736">
        <v>9.2172169657379916E-3</v>
      </c>
      <c r="M14" s="2">
        <v>74.844999999997526</v>
      </c>
      <c r="N14">
        <v>100</v>
      </c>
      <c r="O14"/>
      <c r="P14" s="736">
        <v>1.9900000000000001E-2</v>
      </c>
      <c r="Q14" s="736">
        <v>-1.03E-2</v>
      </c>
      <c r="R14" s="2">
        <v>13.11196</v>
      </c>
      <c r="S14" s="736"/>
    </row>
    <row r="15" spans="1:41" ht="21.95" customHeight="1" x14ac:dyDescent="0.25">
      <c r="A15" s="50"/>
      <c r="B15" s="51"/>
      <c r="C15" s="51"/>
      <c r="D15" s="789"/>
      <c r="E15" s="22" t="s">
        <v>734</v>
      </c>
      <c r="F15" s="2">
        <v>74.859899999999996</v>
      </c>
      <c r="G15" s="78">
        <v>69.36</v>
      </c>
      <c r="H15">
        <v>100</v>
      </c>
      <c r="I15" s="2">
        <v>7485.99</v>
      </c>
      <c r="J15" s="2">
        <v>6936</v>
      </c>
      <c r="K15" s="2">
        <v>549.98999999999978</v>
      </c>
      <c r="L15" s="736">
        <v>7.9294982698961888E-2</v>
      </c>
      <c r="M15" s="2">
        <v>1009.3099999999995</v>
      </c>
      <c r="N15" s="29">
        <v>43283</v>
      </c>
      <c r="O15"/>
      <c r="P15" s="736">
        <v>0</v>
      </c>
      <c r="Q15" s="736">
        <v>4.3E-3</v>
      </c>
      <c r="R15" s="2">
        <v>18.325556915544674</v>
      </c>
      <c r="S15" s="736"/>
    </row>
    <row r="16" spans="1:41" ht="21.95" customHeight="1" x14ac:dyDescent="0.25">
      <c r="A16" s="50"/>
      <c r="B16" s="50"/>
      <c r="C16" s="51"/>
      <c r="D16" s="789"/>
      <c r="E16" s="22" t="s">
        <v>919</v>
      </c>
      <c r="F16" s="2">
        <v>242.67</v>
      </c>
      <c r="G16" s="78">
        <v>229.4733333333333</v>
      </c>
      <c r="H16">
        <v>30</v>
      </c>
      <c r="I16" s="2">
        <v>7280.0999999999995</v>
      </c>
      <c r="J16" s="2">
        <v>6884.1999999999989</v>
      </c>
      <c r="K16" s="2">
        <v>395.90000000000055</v>
      </c>
      <c r="L16" s="736">
        <v>5.7508497719415567E-2</v>
      </c>
      <c r="M16" s="2">
        <v>395.90000000000055</v>
      </c>
      <c r="N16">
        <v>30</v>
      </c>
      <c r="O16"/>
      <c r="P16" s="736">
        <v>1.9900000000000001E-2</v>
      </c>
      <c r="Q16" s="736">
        <v>1.5E-3</v>
      </c>
      <c r="R16" s="2">
        <v>16.34</v>
      </c>
      <c r="S16" s="736"/>
      <c r="U16" s="48"/>
    </row>
    <row r="17" spans="1:41" ht="21.95" customHeight="1" x14ac:dyDescent="0.25">
      <c r="A17" s="50"/>
      <c r="B17" s="51"/>
      <c r="C17" s="51"/>
      <c r="D17" s="789"/>
      <c r="E17" s="22" t="s">
        <v>171</v>
      </c>
      <c r="F17" s="2">
        <v>46.059899999999999</v>
      </c>
      <c r="G17" s="78">
        <v>52.35306666666667</v>
      </c>
      <c r="H17">
        <v>150</v>
      </c>
      <c r="I17" s="2">
        <v>6908.9849999999997</v>
      </c>
      <c r="J17" s="2">
        <v>7852.9600000000009</v>
      </c>
      <c r="K17" s="2">
        <v>-943.97499999999945</v>
      </c>
      <c r="L17" s="736">
        <v>-0.12020626617224596</v>
      </c>
      <c r="M17" s="2">
        <v>-894.02499999999964</v>
      </c>
      <c r="N17">
        <v>150</v>
      </c>
      <c r="O17" t="s">
        <v>1128</v>
      </c>
      <c r="P17" s="736">
        <v>4.2553283875996259E-2</v>
      </c>
      <c r="Q17" s="736">
        <v>1.1000000000000001E-3</v>
      </c>
      <c r="R17" s="2">
        <v>14.954512987012986</v>
      </c>
      <c r="S17" s="48"/>
      <c r="T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0"/>
      <c r="D18" s="789"/>
      <c r="E18" s="22" t="s">
        <v>962</v>
      </c>
      <c r="F18" s="2">
        <v>172.07</v>
      </c>
      <c r="G18" s="78">
        <v>150.06350000000012</v>
      </c>
      <c r="H18">
        <v>40</v>
      </c>
      <c r="I18" s="2">
        <v>6882.7999999999993</v>
      </c>
      <c r="J18" s="2">
        <v>6002.5400000000045</v>
      </c>
      <c r="K18" s="2">
        <v>880.25999999999476</v>
      </c>
      <c r="L18" s="736">
        <v>0.14664791904760224</v>
      </c>
      <c r="M18" s="2">
        <v>880.25999999999476</v>
      </c>
      <c r="N18">
        <v>25</v>
      </c>
      <c r="O18"/>
      <c r="P18" s="736">
        <v>7.4388330330679379E-3</v>
      </c>
      <c r="Q18" s="736">
        <v>4.1000000000000003E-3</v>
      </c>
      <c r="R18" s="2">
        <v>19.68</v>
      </c>
      <c r="S18" s="736"/>
    </row>
    <row r="19" spans="1:41" ht="21.95" customHeight="1" x14ac:dyDescent="0.25">
      <c r="A19" s="51"/>
      <c r="B19" s="50"/>
      <c r="C19" s="51"/>
      <c r="D19" s="789"/>
      <c r="E19" s="22" t="s">
        <v>943</v>
      </c>
      <c r="F19" s="2">
        <v>63.209899999999998</v>
      </c>
      <c r="G19" s="78">
        <v>63.722499999999997</v>
      </c>
      <c r="H19">
        <v>100</v>
      </c>
      <c r="I19" s="2">
        <v>6320.99</v>
      </c>
      <c r="J19" s="2">
        <v>6372.25</v>
      </c>
      <c r="K19" s="2">
        <v>-51.260000000000218</v>
      </c>
      <c r="L19" s="736">
        <v>-8.0442543842441702E-3</v>
      </c>
      <c r="M19" s="2">
        <v>-51.260000000000218</v>
      </c>
      <c r="N19">
        <v>100</v>
      </c>
      <c r="O19"/>
      <c r="P19" s="736">
        <v>3.9550766572957717E-2</v>
      </c>
      <c r="Q19" s="736">
        <v>-1.6999999999999999E-3</v>
      </c>
      <c r="R19" s="2">
        <v>16.678073878627966</v>
      </c>
      <c r="S19" s="48"/>
      <c r="T19" s="48"/>
    </row>
    <row r="20" spans="1:41" ht="21.95" customHeight="1" x14ac:dyDescent="0.25">
      <c r="A20" s="50"/>
      <c r="B20" s="50"/>
      <c r="C20" s="51"/>
      <c r="D20" s="789"/>
      <c r="E20" s="22" t="s">
        <v>270</v>
      </c>
      <c r="F20" s="2">
        <v>122.34990000000001</v>
      </c>
      <c r="G20" s="78">
        <v>119.88</v>
      </c>
      <c r="H20">
        <v>50</v>
      </c>
      <c r="I20" s="2">
        <v>6117.4949999999999</v>
      </c>
      <c r="J20" s="2">
        <v>5994</v>
      </c>
      <c r="K20" s="2">
        <v>123.49499999999989</v>
      </c>
      <c r="L20" s="736">
        <v>2.0603103103103187E-2</v>
      </c>
      <c r="M20" s="2">
        <v>278.27499999999964</v>
      </c>
      <c r="N20" s="29">
        <v>43280</v>
      </c>
      <c r="O20"/>
      <c r="P20" s="736">
        <v>2.5700000000000001E-2</v>
      </c>
      <c r="Q20" s="736">
        <v>-2E-3</v>
      </c>
      <c r="R20" s="2"/>
      <c r="S20" s="48"/>
      <c r="T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1"/>
      <c r="B21" s="51"/>
      <c r="C21" s="51"/>
      <c r="D21" s="789"/>
      <c r="E21" s="22" t="s">
        <v>782</v>
      </c>
      <c r="F21" s="2">
        <v>13.7399</v>
      </c>
      <c r="G21" s="78">
        <v>15.013949999999999</v>
      </c>
      <c r="H21">
        <v>400</v>
      </c>
      <c r="I21" s="2">
        <v>5495.96</v>
      </c>
      <c r="J21" s="2">
        <v>6005.58</v>
      </c>
      <c r="K21" s="2">
        <v>-509.61999999999989</v>
      </c>
      <c r="L21" s="736">
        <v>-8.4857748960133678E-2</v>
      </c>
      <c r="M21" s="2">
        <v>-509.61999999999989</v>
      </c>
      <c r="N21">
        <v>300</v>
      </c>
      <c r="O21"/>
      <c r="P21" s="736">
        <v>3.4934752072431387E-2</v>
      </c>
      <c r="Q21" s="736">
        <v>7.7600000000000002E-2</v>
      </c>
      <c r="R21" s="2">
        <v>14.463052631578948</v>
      </c>
      <c r="S21" s="48"/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89"/>
      <c r="E22" s="22" t="s">
        <v>1046</v>
      </c>
      <c r="F22" s="2">
        <v>51.67</v>
      </c>
      <c r="G22" s="78">
        <v>48.044899999999998</v>
      </c>
      <c r="H22">
        <v>100</v>
      </c>
      <c r="I22" s="2">
        <v>5167</v>
      </c>
      <c r="J22" s="2">
        <v>4804.49</v>
      </c>
      <c r="K22" s="2">
        <v>362.51000000000022</v>
      </c>
      <c r="L22" s="736">
        <v>7.5452337292824079E-2</v>
      </c>
      <c r="M22" s="2">
        <v>362.51000000000022</v>
      </c>
      <c r="N22">
        <v>100</v>
      </c>
      <c r="O22"/>
      <c r="P22" s="736">
        <v>2.9030385136442811E-2</v>
      </c>
      <c r="Q22" s="736">
        <v>-4.1999999999999997E-3</v>
      </c>
      <c r="R22" s="2"/>
      <c r="U22" s="48"/>
    </row>
    <row r="23" spans="1:41" ht="21.95" customHeight="1" x14ac:dyDescent="0.25">
      <c r="A23" s="50"/>
      <c r="B23" s="50"/>
      <c r="C23" s="51"/>
      <c r="D23" s="789"/>
      <c r="E23" s="22" t="s">
        <v>32</v>
      </c>
      <c r="F23" s="2">
        <v>51.07</v>
      </c>
      <c r="G23" s="78">
        <v>44.741300000000003</v>
      </c>
      <c r="H23">
        <v>100</v>
      </c>
      <c r="I23" s="2">
        <v>5107</v>
      </c>
      <c r="J23" s="2">
        <v>4474.13</v>
      </c>
      <c r="K23" s="2">
        <v>632.86999999999989</v>
      </c>
      <c r="L23" s="736">
        <v>0.14145096365103377</v>
      </c>
      <c r="M23" s="2">
        <v>1831.339999999997</v>
      </c>
      <c r="N23">
        <v>100</v>
      </c>
      <c r="O23"/>
      <c r="P23" s="736">
        <v>2.3888780105737223E-2</v>
      </c>
      <c r="Q23" s="736">
        <v>-4.7000000000000002E-3</v>
      </c>
      <c r="R23" s="2">
        <v>8.1842948717948723</v>
      </c>
      <c r="U23" s="48"/>
    </row>
    <row r="24" spans="1:41" ht="21.95" customHeight="1" x14ac:dyDescent="0.25">
      <c r="A24" s="50"/>
      <c r="B24" s="50"/>
      <c r="C24" s="50"/>
      <c r="D24" s="789"/>
      <c r="E24" s="22" t="s">
        <v>924</v>
      </c>
      <c r="F24" s="2">
        <v>74.569999999999993</v>
      </c>
      <c r="G24" s="78">
        <v>65.834000000000003</v>
      </c>
      <c r="H24">
        <v>60</v>
      </c>
      <c r="I24" s="2">
        <v>4474.2</v>
      </c>
      <c r="J24" s="2">
        <v>3950.04</v>
      </c>
      <c r="K24" s="2">
        <v>524.15999999999985</v>
      </c>
      <c r="L24" s="736">
        <v>0.13269739040617295</v>
      </c>
      <c r="M24" s="2">
        <v>524.15999999999985</v>
      </c>
      <c r="N24" s="29">
        <v>43280</v>
      </c>
      <c r="O24"/>
      <c r="P24" s="736">
        <v>1.2873809843100444E-2</v>
      </c>
      <c r="Q24" s="736">
        <v>3.5999999999999999E-3</v>
      </c>
      <c r="R24" s="2">
        <v>21.005633802816902</v>
      </c>
      <c r="U24" s="48"/>
    </row>
    <row r="25" spans="1:41" ht="21.95" customHeight="1" x14ac:dyDescent="0.25">
      <c r="A25" s="50"/>
      <c r="B25" s="51"/>
      <c r="C25" s="51"/>
      <c r="D25" s="789"/>
      <c r="E25" s="22" t="s">
        <v>682</v>
      </c>
      <c r="F25" s="2">
        <v>210.0899</v>
      </c>
      <c r="G25" s="78">
        <v>142.98999999999995</v>
      </c>
      <c r="H25">
        <v>20</v>
      </c>
      <c r="I25" s="2">
        <v>4201.7979999999998</v>
      </c>
      <c r="J25" s="2">
        <v>2859.7999999999993</v>
      </c>
      <c r="K25" s="2">
        <v>1341.9980000000005</v>
      </c>
      <c r="L25" s="736">
        <v>0.46926288551647016</v>
      </c>
      <c r="M25" s="2">
        <v>1485.0280000000007</v>
      </c>
      <c r="N25">
        <v>20</v>
      </c>
      <c r="O25"/>
      <c r="P25" s="736">
        <v>2.3799335427357525E-3</v>
      </c>
      <c r="Q25" s="736">
        <v>-7.7999999999999996E-3</v>
      </c>
      <c r="R25" s="2">
        <v>30.625349854227405</v>
      </c>
      <c r="S25" s="736"/>
    </row>
    <row r="26" spans="1:41" ht="21.95" customHeight="1" x14ac:dyDescent="0.25">
      <c r="A26" s="50"/>
      <c r="B26" s="51"/>
      <c r="C26" s="51"/>
      <c r="D26" s="789"/>
      <c r="E26" s="22" t="s">
        <v>850</v>
      </c>
      <c r="F26" s="2">
        <v>90.95</v>
      </c>
      <c r="G26" s="78">
        <v>82.575749999999942</v>
      </c>
      <c r="H26">
        <v>40</v>
      </c>
      <c r="I26" s="2">
        <v>3638</v>
      </c>
      <c r="J26" s="2">
        <v>3303.0299999999979</v>
      </c>
      <c r="K26" s="2">
        <v>334.97000000000116</v>
      </c>
      <c r="L26" s="736">
        <v>0.10141294508375723</v>
      </c>
      <c r="M26" s="2">
        <v>334.97000000000116</v>
      </c>
      <c r="N26">
        <v>40</v>
      </c>
      <c r="O26"/>
      <c r="P26" s="736">
        <v>2.506871907641561E-2</v>
      </c>
      <c r="Q26" s="736">
        <v>-8.0000000000000004E-4</v>
      </c>
      <c r="R26" s="2">
        <v>19.107142857142858</v>
      </c>
      <c r="S26" s="48"/>
      <c r="T26" s="48"/>
      <c r="U26" s="48"/>
    </row>
    <row r="27" spans="1:41" ht="21.95" customHeight="1" x14ac:dyDescent="0.25">
      <c r="A27" s="50"/>
      <c r="B27" s="50"/>
      <c r="C27" s="51"/>
      <c r="D27" s="789"/>
      <c r="E27" s="22" t="s">
        <v>55</v>
      </c>
      <c r="F27" s="2">
        <v>70.25</v>
      </c>
      <c r="G27" s="78">
        <v>71.080000000000013</v>
      </c>
      <c r="H27">
        <v>50</v>
      </c>
      <c r="I27" s="2">
        <v>3512.5</v>
      </c>
      <c r="J27" s="2">
        <v>3554.0000000000005</v>
      </c>
      <c r="K27" s="2">
        <v>-41.500000000000455</v>
      </c>
      <c r="L27" s="736">
        <v>-1.1676983680360331E-2</v>
      </c>
      <c r="M27" s="2">
        <v>768.62999999998965</v>
      </c>
      <c r="N27">
        <v>50</v>
      </c>
      <c r="O27"/>
      <c r="P27" s="736">
        <v>2.9608540925266904E-2</v>
      </c>
      <c r="Q27" s="736">
        <v>-1.2500000000000001E-2</v>
      </c>
      <c r="R27" s="2">
        <v>10.874613003095975</v>
      </c>
      <c r="S27" s="736"/>
    </row>
    <row r="28" spans="1:41" ht="21.95" customHeight="1" x14ac:dyDescent="0.25">
      <c r="A28" s="51"/>
      <c r="B28" s="51"/>
      <c r="C28" s="51"/>
      <c r="D28" s="789"/>
      <c r="E28" s="22" t="s">
        <v>922</v>
      </c>
      <c r="F28" s="2">
        <v>31.619900000000001</v>
      </c>
      <c r="G28" s="78">
        <v>32.211599999999997</v>
      </c>
      <c r="H28">
        <v>100</v>
      </c>
      <c r="I28" s="2">
        <v>3161.9900000000002</v>
      </c>
      <c r="J28" s="2">
        <v>3221.16</v>
      </c>
      <c r="K28" s="2">
        <v>-59.169999999999618</v>
      </c>
      <c r="L28" s="736">
        <v>-1.8369158936532057E-2</v>
      </c>
      <c r="M28" s="2">
        <v>-59.169999999999618</v>
      </c>
      <c r="N28" s="29">
        <v>43297</v>
      </c>
      <c r="O28"/>
      <c r="P28" s="736">
        <v>3.1625653465064719E-2</v>
      </c>
      <c r="Q28" s="736">
        <v>-2.8E-3</v>
      </c>
      <c r="R28" s="2">
        <v>9.1123631123919306</v>
      </c>
      <c r="S28" s="48"/>
      <c r="T28" s="48"/>
      <c r="U28" s="48"/>
      <c r="V28" s="48"/>
    </row>
    <row r="29" spans="1:41" ht="21.95" customHeight="1" x14ac:dyDescent="0.25">
      <c r="A29" s="51"/>
      <c r="B29" s="51"/>
      <c r="C29" s="51"/>
      <c r="D29" s="789"/>
      <c r="E29" s="22" t="s">
        <v>214</v>
      </c>
      <c r="F29" s="2">
        <v>58.029899999999998</v>
      </c>
      <c r="G29" s="78">
        <v>39.522599999999947</v>
      </c>
      <c r="H29">
        <v>50</v>
      </c>
      <c r="I29" s="2">
        <v>2901.4949999999999</v>
      </c>
      <c r="J29" s="2">
        <v>1976.1299999999974</v>
      </c>
      <c r="K29" s="2">
        <v>925.36500000000251</v>
      </c>
      <c r="L29" s="736">
        <v>0.46827131818251011</v>
      </c>
      <c r="M29" s="2">
        <v>2083.2349999999979</v>
      </c>
      <c r="N29">
        <v>50</v>
      </c>
      <c r="O29"/>
      <c r="P29" s="736">
        <v>2.5504093579344442E-2</v>
      </c>
      <c r="Q29" s="736">
        <v>1.6299999999999999E-2</v>
      </c>
      <c r="R29" s="2">
        <v>14.507474999999999</v>
      </c>
      <c r="S29" s="736"/>
    </row>
    <row r="30" spans="1:41" ht="21.95" customHeight="1" x14ac:dyDescent="0.25">
      <c r="A30" s="50"/>
      <c r="B30" s="50"/>
      <c r="C30" s="51"/>
      <c r="D30" s="789"/>
      <c r="E30" s="22" t="s">
        <v>947</v>
      </c>
      <c r="F30" s="2">
        <v>53.73</v>
      </c>
      <c r="G30" s="78">
        <v>15.022800000000025</v>
      </c>
      <c r="H30">
        <v>50</v>
      </c>
      <c r="I30" s="2">
        <v>2686.5</v>
      </c>
      <c r="J30" s="2">
        <v>751.14000000000124</v>
      </c>
      <c r="K30" s="2">
        <v>1935.3599999999988</v>
      </c>
      <c r="L30" s="736">
        <v>2.5765636232925893</v>
      </c>
      <c r="M30" s="2">
        <v>1935.3599999999988</v>
      </c>
      <c r="N30">
        <v>50</v>
      </c>
      <c r="O30"/>
      <c r="P30" s="736">
        <v>2.568397543271915E-2</v>
      </c>
      <c r="Q30" s="736">
        <v>1.0500000000000001E-2</v>
      </c>
      <c r="R30" s="2">
        <v>12.211363636363634</v>
      </c>
      <c r="S30" s="736"/>
      <c r="T30" s="48"/>
      <c r="V30" s="48"/>
    </row>
    <row r="31" spans="1:41" ht="21.95" customHeight="1" x14ac:dyDescent="0.25">
      <c r="A31" s="50"/>
      <c r="B31" s="50"/>
      <c r="C31" s="51"/>
      <c r="D31" s="789"/>
      <c r="E31" s="22" t="s">
        <v>62</v>
      </c>
      <c r="F31" s="2">
        <v>291.92</v>
      </c>
      <c r="G31" s="78">
        <v>296.04000000000002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1659.3600000000079</v>
      </c>
      <c r="N31">
        <v>0</v>
      </c>
      <c r="O31"/>
      <c r="P31" s="736">
        <v>0</v>
      </c>
      <c r="Q31" s="736">
        <v>-8.9999999999999998E-4</v>
      </c>
      <c r="R31" s="2"/>
      <c r="S31" s="48"/>
      <c r="T31" s="48"/>
    </row>
    <row r="32" spans="1:41" ht="21.95" customHeight="1" x14ac:dyDescent="0.25">
      <c r="A32" s="50"/>
      <c r="B32" s="50"/>
      <c r="C32" s="51"/>
      <c r="D32" s="789"/>
      <c r="E32" s="22" t="s">
        <v>203</v>
      </c>
      <c r="F32" s="2">
        <v>38.29</v>
      </c>
      <c r="G32" s="78">
        <v>38.31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555.54</v>
      </c>
      <c r="N32">
        <v>0</v>
      </c>
      <c r="O32"/>
      <c r="P32" s="736">
        <v>0</v>
      </c>
      <c r="Q32" s="736">
        <v>4.7000000000000002E-3</v>
      </c>
      <c r="R32" s="2"/>
      <c r="S32" s="48"/>
      <c r="T32" s="48"/>
    </row>
    <row r="33" spans="1:41" ht="21.95" customHeight="1" x14ac:dyDescent="0.25">
      <c r="A33" s="50"/>
      <c r="B33" s="50"/>
      <c r="C33" s="50"/>
      <c r="D33" s="789"/>
      <c r="E33" s="22" t="s">
        <v>202</v>
      </c>
      <c r="F33" s="2">
        <v>184.43</v>
      </c>
      <c r="G33" s="78">
        <v>184.92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>
        <v>1.5900000000000001E-2</v>
      </c>
      <c r="Q33" s="736">
        <v>1.24E-2</v>
      </c>
      <c r="R33" s="2"/>
      <c r="S33" s="736"/>
      <c r="U33" s="48"/>
      <c r="V33" s="48"/>
    </row>
    <row r="34" spans="1:41" ht="21.95" customHeight="1" x14ac:dyDescent="0.25">
      <c r="A34" s="60"/>
      <c r="B34" s="61"/>
      <c r="C34" s="60"/>
      <c r="D34" s="789"/>
      <c r="E34" s="22" t="s">
        <v>225</v>
      </c>
      <c r="F34" s="2">
        <v>98.21</v>
      </c>
      <c r="G34" s="78">
        <v>97.23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-3.7000000000000002E-3</v>
      </c>
      <c r="R34" s="2"/>
      <c r="S34" s="736"/>
      <c r="U34" s="48"/>
    </row>
    <row r="35" spans="1:41" ht="21.95" customHeight="1" x14ac:dyDescent="0.25">
      <c r="A35" s="50"/>
      <c r="B35" s="50"/>
      <c r="C35" s="51"/>
      <c r="D35" s="789"/>
      <c r="E35" s="22" t="s">
        <v>266</v>
      </c>
      <c r="F35" s="78">
        <v>99.73</v>
      </c>
      <c r="G35" s="78">
        <v>100.15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-7.4999999999999997E-3</v>
      </c>
      <c r="R35" s="2"/>
      <c r="S35" s="736"/>
      <c r="T35" s="48"/>
      <c r="Y35" s="48"/>
    </row>
    <row r="36" spans="1:41" ht="21.95" customHeight="1" x14ac:dyDescent="0.25">
      <c r="A36" s="50"/>
      <c r="B36" s="50"/>
      <c r="C36" s="51"/>
      <c r="D36" s="789"/>
      <c r="E36" s="22" t="s">
        <v>23</v>
      </c>
      <c r="F36" s="2">
        <v>36.11</v>
      </c>
      <c r="G36" s="78">
        <v>35.950000000000003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-8.0000000000000004E-4</v>
      </c>
      <c r="R36" s="2"/>
      <c r="V36" s="48"/>
    </row>
    <row r="37" spans="1:41" ht="21.95" customHeight="1" x14ac:dyDescent="0.25">
      <c r="A37" s="51"/>
      <c r="B37" s="51"/>
      <c r="C37" s="51"/>
      <c r="D37" s="789"/>
      <c r="E37" s="22" t="s">
        <v>267</v>
      </c>
      <c r="F37" s="2">
        <v>47.68</v>
      </c>
      <c r="G37" s="78">
        <v>48.61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-9.5999999999999992E-3</v>
      </c>
      <c r="R37" s="2"/>
      <c r="S37" s="48"/>
    </row>
    <row r="38" spans="1:41" ht="21.95" customHeight="1" x14ac:dyDescent="0.25">
      <c r="A38" s="50"/>
      <c r="B38" s="51"/>
      <c r="C38" s="51"/>
      <c r="D38" s="789"/>
      <c r="E38" s="22" t="s">
        <v>326</v>
      </c>
      <c r="F38" s="2">
        <v>12.77</v>
      </c>
      <c r="G38" s="78">
        <v>12.66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/>
      <c r="P38" s="736">
        <v>0</v>
      </c>
      <c r="Q38" s="736">
        <v>1.03E-2</v>
      </c>
      <c r="R38" s="2">
        <v>39.5625</v>
      </c>
      <c r="T38" s="48"/>
    </row>
    <row r="39" spans="1:41" ht="21.95" customHeight="1" x14ac:dyDescent="0.25">
      <c r="A39" s="50"/>
      <c r="B39" s="50"/>
      <c r="C39" s="51"/>
      <c r="D39" s="789"/>
      <c r="E39" s="22" t="s">
        <v>36</v>
      </c>
      <c r="F39" s="2">
        <v>51.17</v>
      </c>
      <c r="G39" s="78">
        <v>51.91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-2.0999999999999999E-3</v>
      </c>
      <c r="R39" s="2"/>
      <c r="S39" s="736"/>
      <c r="T39" s="48"/>
      <c r="U39" s="48"/>
    </row>
    <row r="40" spans="1:41" ht="21.95" customHeight="1" x14ac:dyDescent="0.25">
      <c r="A40" s="51"/>
      <c r="B40" s="152"/>
      <c r="C40" s="325"/>
      <c r="D40" s="789"/>
      <c r="E40" s="22" t="s">
        <v>314</v>
      </c>
      <c r="F40" s="2">
        <v>40.35</v>
      </c>
      <c r="G40" s="78">
        <v>39.909999999999997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4.7000000000000002E-3</v>
      </c>
      <c r="R40" s="2"/>
      <c r="S40" s="736"/>
      <c r="T40" s="48"/>
      <c r="X40" s="736"/>
      <c r="Y40"/>
      <c r="Z40"/>
      <c r="AA40" s="2"/>
      <c r="AB40"/>
      <c r="AC40"/>
      <c r="AD40" s="2"/>
      <c r="AE40"/>
      <c r="AF40"/>
      <c r="AG40" s="2"/>
      <c r="AH40"/>
      <c r="AI40" s="2"/>
      <c r="AJ40"/>
      <c r="AK40"/>
      <c r="AL40"/>
      <c r="AM40" s="2"/>
      <c r="AN40"/>
      <c r="AO40"/>
    </row>
    <row r="41" spans="1:41" ht="21.95" customHeight="1" x14ac:dyDescent="0.25">
      <c r="A41" s="50"/>
      <c r="B41" s="50"/>
      <c r="C41" s="51"/>
      <c r="D41" s="789"/>
      <c r="E41" s="22" t="s">
        <v>299</v>
      </c>
      <c r="F41" s="2">
        <v>54.91</v>
      </c>
      <c r="G41" s="78">
        <v>55.14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4.4000000000000003E-3</v>
      </c>
      <c r="R41" s="2"/>
      <c r="S41" s="736"/>
      <c r="T41" s="48"/>
    </row>
    <row r="42" spans="1:41" ht="21.95" customHeight="1" x14ac:dyDescent="0.25">
      <c r="A42" s="50"/>
      <c r="B42" s="50"/>
      <c r="C42" s="51"/>
      <c r="D42" s="789"/>
      <c r="E42" s="22" t="s">
        <v>694</v>
      </c>
      <c r="F42" s="78">
        <v>33.729999999999997</v>
      </c>
      <c r="G42" s="78">
        <v>33.39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5.7000000000000002E-3</v>
      </c>
      <c r="R42" s="2"/>
      <c r="V42" s="48"/>
    </row>
    <row r="43" spans="1:41" ht="21.95" customHeight="1" x14ac:dyDescent="0.25">
      <c r="A43" s="50"/>
      <c r="B43" s="50"/>
      <c r="C43" s="51"/>
      <c r="D43" s="789"/>
      <c r="E43" s="22" t="s">
        <v>248</v>
      </c>
      <c r="F43" s="2">
        <v>75.72</v>
      </c>
      <c r="G43" s="78">
        <v>80.319999999999993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-2.4899999999999999E-2</v>
      </c>
      <c r="R43" s="2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0"/>
      <c r="C44" s="51"/>
      <c r="D44" s="789"/>
      <c r="E44" s="22" t="s">
        <v>673</v>
      </c>
      <c r="F44" s="2">
        <v>17.03</v>
      </c>
      <c r="G44" s="78">
        <v>17.04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9.7999999999999997E-3</v>
      </c>
      <c r="R44" s="2"/>
      <c r="S44" s="736"/>
      <c r="U44" s="48"/>
    </row>
    <row r="45" spans="1:41" ht="21.95" customHeight="1" x14ac:dyDescent="0.25">
      <c r="A45" s="50"/>
      <c r="B45" s="50"/>
      <c r="C45" s="51"/>
      <c r="D45" s="789"/>
      <c r="E45" s="22" t="s">
        <v>275</v>
      </c>
      <c r="F45" s="78">
        <v>69.81</v>
      </c>
      <c r="G45" s="78">
        <v>72.180000000000007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197.20999999999549</v>
      </c>
      <c r="N45">
        <v>0</v>
      </c>
      <c r="O45"/>
      <c r="P45" s="736">
        <v>2.5499999999999998E-2</v>
      </c>
      <c r="Q45" s="736">
        <v>-2.2499999999999999E-2</v>
      </c>
      <c r="R45" s="2"/>
      <c r="U45" s="48"/>
    </row>
    <row r="46" spans="1:41" ht="21.95" customHeight="1" x14ac:dyDescent="0.25">
      <c r="A46" s="50"/>
      <c r="B46" s="50"/>
      <c r="C46" s="51"/>
      <c r="D46" s="789"/>
      <c r="E46" s="22" t="s">
        <v>737</v>
      </c>
      <c r="F46" s="2">
        <v>242.25</v>
      </c>
      <c r="G46" s="78">
        <v>243.63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843.18000000000029</v>
      </c>
      <c r="N46">
        <v>0</v>
      </c>
      <c r="O46"/>
      <c r="P46" s="736">
        <v>2.8E-3</v>
      </c>
      <c r="Q46" s="736">
        <v>1.0699999999999999E-2</v>
      </c>
      <c r="R46" s="2"/>
      <c r="S46" s="48"/>
    </row>
    <row r="47" spans="1:41" ht="21.95" customHeight="1" x14ac:dyDescent="0.25">
      <c r="A47" s="50"/>
      <c r="B47" s="50"/>
      <c r="C47" s="51"/>
      <c r="D47" s="789"/>
      <c r="E47" s="22" t="s">
        <v>196</v>
      </c>
      <c r="F47" s="2">
        <v>11.52</v>
      </c>
      <c r="G47" s="78">
        <v>11.65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1.6999999999999999E-3</v>
      </c>
      <c r="R47" s="2"/>
      <c r="S47" s="48"/>
      <c r="T47" s="345"/>
      <c r="U47" s="345"/>
    </row>
    <row r="48" spans="1:41" ht="21.95" customHeight="1" x14ac:dyDescent="0.25">
      <c r="A48" s="50"/>
      <c r="B48" s="50"/>
      <c r="C48" s="51"/>
      <c r="D48" s="789"/>
      <c r="E48" s="22" t="s">
        <v>829</v>
      </c>
      <c r="F48" s="2">
        <v>98.14</v>
      </c>
      <c r="G48" s="78">
        <v>100.28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/>
      <c r="P48" s="736">
        <v>6.7810131631431993E-3</v>
      </c>
      <c r="Q48" s="736">
        <v>-1.11E-2</v>
      </c>
      <c r="R48" s="2">
        <v>21.111578947368422</v>
      </c>
      <c r="S48" s="736"/>
      <c r="T48" s="48"/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0"/>
      <c r="B49" s="50"/>
      <c r="C49" s="51"/>
      <c r="D49" s="789"/>
      <c r="E49" s="22" t="s">
        <v>680</v>
      </c>
      <c r="F49" s="2">
        <v>137.07</v>
      </c>
      <c r="G49" s="78">
        <v>138.85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-1.6999999999999999E-3</v>
      </c>
      <c r="R49" s="2">
        <v>20.754857997010461</v>
      </c>
      <c r="S49" s="736"/>
      <c r="T49" s="48"/>
    </row>
    <row r="50" spans="1:41" ht="21.95" customHeight="1" x14ac:dyDescent="0.25">
      <c r="A50" s="50"/>
      <c r="B50" s="50"/>
      <c r="C50" s="51"/>
      <c r="D50" s="789"/>
      <c r="E50" s="22" t="s">
        <v>961</v>
      </c>
      <c r="F50" s="2">
        <v>98.56</v>
      </c>
      <c r="G50" s="78">
        <v>97.69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6.5513358583273625E-3</v>
      </c>
      <c r="Q50" s="736">
        <v>3.5499999999999997E-2</v>
      </c>
      <c r="R50" s="2">
        <v>13.237127371273713</v>
      </c>
      <c r="S50" s="48"/>
      <c r="T50" s="48"/>
    </row>
    <row r="51" spans="1:41" ht="21.95" customHeight="1" x14ac:dyDescent="0.25">
      <c r="A51" s="50"/>
      <c r="B51" s="50"/>
      <c r="C51" s="51"/>
      <c r="D51" s="789"/>
      <c r="E51" s="22" t="s">
        <v>17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/>
      <c r="M51" s="2">
        <v>-20818.210000000079</v>
      </c>
      <c r="N51">
        <v>0</v>
      </c>
      <c r="O51"/>
      <c r="P51" s="736">
        <v>0</v>
      </c>
      <c r="Q51" s="736">
        <v>0</v>
      </c>
      <c r="R51" s="2"/>
    </row>
    <row r="52" spans="1:41" ht="21.95" customHeight="1" x14ac:dyDescent="0.25">
      <c r="A52" s="50"/>
      <c r="B52" s="50"/>
      <c r="C52" s="51"/>
      <c r="D52" s="789"/>
      <c r="E52" s="22" t="s">
        <v>308</v>
      </c>
      <c r="F52" s="2">
        <v>150.22999999999999</v>
      </c>
      <c r="G52" s="78">
        <v>152.87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1.6000000000000001E-3</v>
      </c>
      <c r="R52" s="2"/>
      <c r="S52" s="48"/>
      <c r="T52" s="48"/>
      <c r="U52" s="48"/>
    </row>
    <row r="53" spans="1:41" ht="21.95" customHeight="1" x14ac:dyDescent="0.25">
      <c r="A53" s="50"/>
      <c r="B53" s="50"/>
      <c r="C53" s="51"/>
      <c r="D53" s="789"/>
      <c r="E53" s="22" t="s">
        <v>692</v>
      </c>
      <c r="F53" s="2">
        <v>95.17</v>
      </c>
      <c r="G53" s="78">
        <v>95.08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329.55999999999949</v>
      </c>
      <c r="N53">
        <v>0</v>
      </c>
      <c r="O53"/>
      <c r="P53" s="736">
        <v>1.78E-2</v>
      </c>
      <c r="Q53" s="736">
        <v>-5.0000000000000001E-4</v>
      </c>
      <c r="R53" s="2"/>
      <c r="S53" s="736"/>
      <c r="T53" s="48"/>
      <c r="U53" s="48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1"/>
      <c r="B54" s="51"/>
      <c r="C54" s="51"/>
      <c r="D54" s="789"/>
      <c r="E54" s="22" t="s">
        <v>735</v>
      </c>
      <c r="F54" s="2">
        <v>675.35</v>
      </c>
      <c r="G54" s="78">
        <v>685.98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559.89000000000033</v>
      </c>
      <c r="N54">
        <v>0</v>
      </c>
      <c r="O54"/>
      <c r="P54" s="736">
        <v>0</v>
      </c>
      <c r="Q54" s="736">
        <v>-5.0000000000000001E-3</v>
      </c>
      <c r="R54" s="2"/>
      <c r="S54" s="48"/>
      <c r="T54" s="48"/>
      <c r="U54" s="48"/>
    </row>
    <row r="55" spans="1:41" ht="21.95" customHeight="1" x14ac:dyDescent="0.25">
      <c r="A55" s="50"/>
      <c r="B55" s="50"/>
      <c r="C55" s="51"/>
      <c r="D55" s="789"/>
      <c r="E55" s="22" t="s">
        <v>946</v>
      </c>
      <c r="F55" s="2">
        <v>222.36</v>
      </c>
      <c r="G55" s="78">
        <v>227.43</v>
      </c>
      <c r="H55">
        <v>0</v>
      </c>
      <c r="I55" s="2">
        <v>0</v>
      </c>
      <c r="J55" s="2">
        <v>0</v>
      </c>
      <c r="K55" s="2">
        <v>137.51000000000022</v>
      </c>
      <c r="L55" s="736">
        <v>0</v>
      </c>
      <c r="M55" s="2">
        <v>137.51000000000022</v>
      </c>
      <c r="N55">
        <v>0</v>
      </c>
      <c r="O55"/>
      <c r="P55" s="736">
        <v>7.7386448577584314E-3</v>
      </c>
      <c r="Q55" s="736">
        <v>-1.1599999999999999E-2</v>
      </c>
      <c r="R55" s="2">
        <v>26.383990719257543</v>
      </c>
      <c r="T55" s="48"/>
      <c r="U55" s="48"/>
    </row>
    <row r="56" spans="1:41" ht="21.95" customHeight="1" x14ac:dyDescent="0.25">
      <c r="A56" s="50"/>
      <c r="B56" s="50"/>
      <c r="C56" s="51"/>
      <c r="D56" s="789"/>
      <c r="E56" s="22" t="s">
        <v>923</v>
      </c>
      <c r="F56" s="2">
        <v>35.32</v>
      </c>
      <c r="G56" s="78">
        <v>35.369999999999997</v>
      </c>
      <c r="H56">
        <v>0</v>
      </c>
      <c r="I56" s="2">
        <v>0</v>
      </c>
      <c r="J56" s="2">
        <v>0</v>
      </c>
      <c r="K56" s="2">
        <v>845.78000000000065</v>
      </c>
      <c r="L56" s="736">
        <v>0</v>
      </c>
      <c r="M56" s="2">
        <v>845.78000000000065</v>
      </c>
      <c r="N56">
        <v>0</v>
      </c>
      <c r="O56"/>
      <c r="P56" s="736">
        <v>7.4639525021204425E-2</v>
      </c>
      <c r="Q56" s="736">
        <v>-2.5000000000000001E-3</v>
      </c>
      <c r="R56" s="2"/>
      <c r="S56" s="736"/>
      <c r="T56" s="48"/>
    </row>
    <row r="57" spans="1:41" ht="21.95" customHeight="1" x14ac:dyDescent="0.25">
      <c r="A57" s="50"/>
      <c r="B57" s="50"/>
      <c r="C57" s="51"/>
      <c r="D57" s="789"/>
      <c r="E57" s="22" t="s">
        <v>194</v>
      </c>
      <c r="F57" s="2">
        <v>72.56</v>
      </c>
      <c r="G57" s="78">
        <v>73.430000000000007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785.90999999999985</v>
      </c>
      <c r="N57">
        <v>0</v>
      </c>
      <c r="O57"/>
      <c r="P57" s="736">
        <v>1.29E-2</v>
      </c>
      <c r="Q57" s="736">
        <v>3.2000000000000002E-3</v>
      </c>
      <c r="R57" s="2"/>
      <c r="S57" s="736"/>
      <c r="U57" s="48"/>
    </row>
    <row r="58" spans="1:41" ht="21.95" customHeight="1" x14ac:dyDescent="0.25">
      <c r="A58" s="50"/>
      <c r="B58" s="50"/>
      <c r="C58" s="51"/>
      <c r="D58" s="789"/>
      <c r="E58" s="22" t="s">
        <v>224</v>
      </c>
      <c r="F58" s="2">
        <v>55.91</v>
      </c>
      <c r="G58" s="78">
        <v>56.78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257.64999999999964</v>
      </c>
      <c r="N58">
        <v>0</v>
      </c>
      <c r="O58"/>
      <c r="P58" s="736">
        <v>0</v>
      </c>
      <c r="Q58" s="736">
        <v>-8.9999999999999998E-4</v>
      </c>
      <c r="R58" s="2"/>
      <c r="X58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/>
      <c r="AN58"/>
      <c r="AO58"/>
    </row>
    <row r="59" spans="1:41" ht="21.95" customHeight="1" x14ac:dyDescent="0.25">
      <c r="A59" s="50"/>
      <c r="B59" s="50"/>
      <c r="C59" s="51"/>
      <c r="D59" s="789"/>
      <c r="E59" s="22" t="s">
        <v>824</v>
      </c>
      <c r="F59" s="2">
        <v>461.7</v>
      </c>
      <c r="G59" s="78">
        <v>469.94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1264.8599999999997</v>
      </c>
      <c r="N59">
        <v>0</v>
      </c>
      <c r="O59"/>
      <c r="P59" s="736">
        <v>0</v>
      </c>
      <c r="Q59" s="736">
        <v>1.7500000000000002E-2</v>
      </c>
      <c r="R59" s="2"/>
      <c r="X59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0"/>
      <c r="C60" s="50"/>
      <c r="D60" s="789"/>
      <c r="E60" s="22" t="s">
        <v>34</v>
      </c>
      <c r="F60" s="2">
        <v>54.59</v>
      </c>
      <c r="G60" s="78">
        <v>57.1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21137.586999999941</v>
      </c>
      <c r="N60">
        <v>0</v>
      </c>
      <c r="O60"/>
      <c r="P60" s="736">
        <v>0</v>
      </c>
      <c r="Q60" s="736">
        <v>2.69E-2</v>
      </c>
      <c r="R60" s="2"/>
      <c r="S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0"/>
      <c r="C61" s="51"/>
      <c r="D61" s="789"/>
      <c r="E61" s="22" t="s">
        <v>172</v>
      </c>
      <c r="F61" s="78">
        <v>53.2</v>
      </c>
      <c r="G61" s="78">
        <v>53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119.92000000000053</v>
      </c>
      <c r="N61">
        <v>0</v>
      </c>
      <c r="O61"/>
      <c r="P61" s="736">
        <v>3.6400000000000002E-2</v>
      </c>
      <c r="Q61" s="736">
        <v>3.0000000000000001E-3</v>
      </c>
      <c r="R61" s="2"/>
      <c r="S61" s="736"/>
      <c r="T61" s="48"/>
    </row>
    <row r="62" spans="1:41" ht="21.95" customHeight="1" x14ac:dyDescent="0.25">
      <c r="A62" s="50"/>
      <c r="B62" s="51"/>
      <c r="C62" s="51"/>
      <c r="D62" s="789"/>
      <c r="E62" s="22" t="s">
        <v>27</v>
      </c>
      <c r="F62" s="78">
        <v>49.67</v>
      </c>
      <c r="G62" s="78">
        <v>52.5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1407.5400000000009</v>
      </c>
      <c r="N62">
        <v>0</v>
      </c>
      <c r="O62"/>
      <c r="P62" s="736">
        <v>3.0200000000000001E-2</v>
      </c>
      <c r="Q62" s="736">
        <v>-2.0500000000000001E-2</v>
      </c>
      <c r="R62" s="2"/>
      <c r="S62" s="736"/>
    </row>
    <row r="63" spans="1:41" ht="21.95" customHeight="1" x14ac:dyDescent="0.25">
      <c r="A63" s="50"/>
      <c r="B63" s="50"/>
      <c r="C63" s="51"/>
      <c r="D63" s="789"/>
      <c r="E63" s="22" t="s">
        <v>22</v>
      </c>
      <c r="F63" s="2">
        <v>63.77</v>
      </c>
      <c r="G63" s="78">
        <v>64.569999999999993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3178.8000000000466</v>
      </c>
      <c r="N63">
        <v>0</v>
      </c>
      <c r="O63"/>
      <c r="P63" s="736">
        <v>2.07E-2</v>
      </c>
      <c r="Q63" s="736">
        <v>2.3800000000000002E-2</v>
      </c>
      <c r="R63" s="2"/>
      <c r="U63" s="48"/>
    </row>
    <row r="64" spans="1:41" ht="21.95" customHeight="1" x14ac:dyDescent="0.25">
      <c r="A64" s="50"/>
      <c r="B64" s="50"/>
      <c r="C64" s="51"/>
      <c r="D64" s="789"/>
      <c r="E64" s="22" t="s">
        <v>42</v>
      </c>
      <c r="F64" s="78">
        <v>141.26</v>
      </c>
      <c r="G64" s="78">
        <v>143.94999999999999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128.08999999999833</v>
      </c>
      <c r="N64">
        <v>0</v>
      </c>
      <c r="O64"/>
      <c r="P64" s="736">
        <v>2.18E-2</v>
      </c>
      <c r="Q64" s="736">
        <v>0</v>
      </c>
      <c r="R64" s="2"/>
      <c r="S64" s="48"/>
      <c r="T64" s="48"/>
      <c r="V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1"/>
      <c r="B65" s="50"/>
      <c r="C65" s="51"/>
      <c r="D65" s="789"/>
      <c r="E65" s="22" t="s">
        <v>268</v>
      </c>
      <c r="F65" s="2">
        <v>49.48</v>
      </c>
      <c r="G65" s="78">
        <v>51.96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427.92000000000007</v>
      </c>
      <c r="N65">
        <v>0</v>
      </c>
      <c r="O65"/>
      <c r="P65" s="736">
        <v>0</v>
      </c>
      <c r="Q65" s="736">
        <v>1.46E-2</v>
      </c>
      <c r="R65" s="2"/>
      <c r="S65" s="736"/>
      <c r="T65" s="48"/>
    </row>
    <row r="66" spans="1:41" ht="21.95" customHeight="1" x14ac:dyDescent="0.25">
      <c r="A66" s="50"/>
      <c r="B66" s="51"/>
      <c r="C66" s="51"/>
      <c r="D66" s="789"/>
      <c r="E66" s="22" t="s">
        <v>170</v>
      </c>
      <c r="F66" s="2">
        <v>97.8</v>
      </c>
      <c r="G66" s="78">
        <v>98.55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1368.9000000000015</v>
      </c>
      <c r="N66">
        <v>0</v>
      </c>
      <c r="O66"/>
      <c r="P66" s="736">
        <v>1.14E-2</v>
      </c>
      <c r="Q66" s="736">
        <v>4.3E-3</v>
      </c>
      <c r="R66" s="2"/>
      <c r="T66" s="48"/>
      <c r="V66" s="48"/>
    </row>
    <row r="67" spans="1:41" ht="21.95" customHeight="1" x14ac:dyDescent="0.25">
      <c r="A67" s="51"/>
      <c r="B67" s="51"/>
      <c r="C67" s="51"/>
      <c r="D67" s="789"/>
      <c r="E67" s="22" t="s">
        <v>8</v>
      </c>
      <c r="F67" s="78">
        <v>80.58</v>
      </c>
      <c r="G67" s="78">
        <v>80.599999999999994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121.94999999999982</v>
      </c>
      <c r="N67">
        <v>0</v>
      </c>
      <c r="O67"/>
      <c r="P67" s="736">
        <v>1.67E-2</v>
      </c>
      <c r="Q67" s="736">
        <v>1.83E-2</v>
      </c>
      <c r="R67" s="2"/>
      <c r="S67" s="736"/>
      <c r="T67" s="48"/>
      <c r="V67" s="48"/>
      <c r="W67" s="48"/>
    </row>
    <row r="68" spans="1:41" ht="21.95" customHeight="1" x14ac:dyDescent="0.25">
      <c r="A68" s="50"/>
      <c r="B68" s="50"/>
      <c r="C68" s="51"/>
      <c r="D68" s="789"/>
      <c r="E68" s="22" t="s">
        <v>10</v>
      </c>
      <c r="F68" s="2">
        <v>45.8</v>
      </c>
      <c r="G68" s="78">
        <v>45.56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1128.3800000000047</v>
      </c>
      <c r="N68">
        <v>0</v>
      </c>
      <c r="O68"/>
      <c r="P68" s="736">
        <v>1.2500000000000001E-2</v>
      </c>
      <c r="Q68" s="736">
        <v>3.3599999999999998E-2</v>
      </c>
      <c r="R68" s="2"/>
      <c r="S68" s="48"/>
      <c r="U68" s="48"/>
    </row>
    <row r="69" spans="1:41" ht="21.95" customHeight="1" x14ac:dyDescent="0.25">
      <c r="A69" s="50"/>
      <c r="B69" s="50"/>
      <c r="C69" s="51"/>
      <c r="D69" s="789"/>
      <c r="E69" s="22" t="s">
        <v>223</v>
      </c>
      <c r="F69" s="2">
        <v>44.1</v>
      </c>
      <c r="G69" s="78">
        <v>45.3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4376.9599999999991</v>
      </c>
      <c r="N69">
        <v>0</v>
      </c>
      <c r="O69"/>
      <c r="P69" s="736">
        <v>4.0899999999999999E-2</v>
      </c>
      <c r="Q69" s="736">
        <v>2.7000000000000001E-3</v>
      </c>
      <c r="R69" s="2"/>
      <c r="S69" s="48"/>
    </row>
    <row r="70" spans="1:41" ht="21.95" customHeight="1" x14ac:dyDescent="0.25">
      <c r="A70" s="50"/>
      <c r="B70" s="50"/>
      <c r="C70" s="51"/>
      <c r="D70" s="789"/>
      <c r="E70" s="22" t="s">
        <v>341</v>
      </c>
      <c r="F70" s="2">
        <v>76.33</v>
      </c>
      <c r="G70" s="78">
        <v>76.040000000000006</v>
      </c>
      <c r="H70">
        <v>0</v>
      </c>
      <c r="I70" s="2">
        <v>0</v>
      </c>
      <c r="J70" s="2">
        <v>0</v>
      </c>
      <c r="K70" s="2">
        <v>129.92000000000007</v>
      </c>
      <c r="L70" s="736">
        <v>0</v>
      </c>
      <c r="M70" s="2">
        <v>2190.3500000000004</v>
      </c>
      <c r="N70">
        <v>0</v>
      </c>
      <c r="O70"/>
      <c r="P70" s="736">
        <v>4.3499999999999997E-2</v>
      </c>
      <c r="Q70" s="736">
        <v>-6.7999999999999996E-3</v>
      </c>
      <c r="R70" s="2">
        <v>14.483809523809525</v>
      </c>
      <c r="S70" s="736"/>
      <c r="T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1"/>
      <c r="B71" s="51"/>
      <c r="C71" s="51"/>
      <c r="D71" s="789"/>
      <c r="E71" s="22" t="s">
        <v>24</v>
      </c>
      <c r="F71" s="2">
        <v>68</v>
      </c>
      <c r="G71" s="78">
        <v>66.63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937.36999999999534</v>
      </c>
      <c r="N71">
        <v>0</v>
      </c>
      <c r="O71"/>
      <c r="P71" s="736">
        <v>0</v>
      </c>
      <c r="Q71" s="736">
        <v>1.9300000000000001E-2</v>
      </c>
      <c r="R71" s="2"/>
      <c r="S71" s="736"/>
      <c r="U71" s="48"/>
    </row>
    <row r="72" spans="1:41" ht="21.95" customHeight="1" x14ac:dyDescent="0.25">
      <c r="A72" s="152"/>
      <c r="B72" s="50"/>
      <c r="C72" s="51"/>
      <c r="D72" s="789"/>
      <c r="E72" s="22" t="s">
        <v>45</v>
      </c>
      <c r="F72" s="2">
        <v>92.22</v>
      </c>
      <c r="G72" s="78">
        <v>92.24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523.61999999999898</v>
      </c>
      <c r="N72">
        <v>0</v>
      </c>
      <c r="O72"/>
      <c r="P72" s="736">
        <v>1.67E-2</v>
      </c>
      <c r="Q72" s="736">
        <v>6.7000000000000002E-3</v>
      </c>
      <c r="R72" s="2"/>
      <c r="S72" s="48"/>
      <c r="T72" s="48"/>
    </row>
    <row r="73" spans="1:41" ht="21.95" customHeight="1" x14ac:dyDescent="0.25">
      <c r="A73" s="50"/>
      <c r="B73" s="50"/>
      <c r="C73" s="51"/>
      <c r="D73" s="789"/>
      <c r="E73" s="22" t="s">
        <v>47</v>
      </c>
      <c r="F73" s="2">
        <v>151.06</v>
      </c>
      <c r="G73" s="78">
        <v>151.82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-168.6200000000008</v>
      </c>
      <c r="N73">
        <v>0</v>
      </c>
      <c r="O73"/>
      <c r="P73" s="736">
        <v>0</v>
      </c>
      <c r="Q73" s="736">
        <v>-7.7000000000000002E-3</v>
      </c>
      <c r="R73" s="2"/>
      <c r="S73" s="48"/>
      <c r="T73" s="48"/>
    </row>
    <row r="74" spans="1:41" ht="21.95" customHeight="1" x14ac:dyDescent="0.25">
      <c r="A74" s="51"/>
      <c r="B74" s="51"/>
      <c r="C74" s="51"/>
      <c r="D74" s="789"/>
      <c r="E74" s="22" t="s">
        <v>33</v>
      </c>
      <c r="F74" s="2">
        <v>251.54</v>
      </c>
      <c r="G74" s="78">
        <v>259.70999999999998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780.73999999999796</v>
      </c>
      <c r="N74">
        <v>0</v>
      </c>
      <c r="O74"/>
      <c r="P74" s="736">
        <v>1.8599999999999998E-2</v>
      </c>
      <c r="Q74" s="736">
        <v>-3.5000000000000001E-3</v>
      </c>
      <c r="R74" s="2"/>
      <c r="S74" s="736"/>
      <c r="T74" s="48"/>
    </row>
    <row r="75" spans="1:41" ht="21.95" customHeight="1" x14ac:dyDescent="0.25">
      <c r="A75" s="50"/>
      <c r="B75" s="50"/>
      <c r="C75" s="51"/>
      <c r="D75" s="789"/>
      <c r="E75" s="22" t="s">
        <v>13</v>
      </c>
      <c r="F75" s="2">
        <v>71.02</v>
      </c>
      <c r="G75" s="78">
        <v>72.94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1461.5600000000013</v>
      </c>
      <c r="N75">
        <v>0</v>
      </c>
      <c r="O75"/>
      <c r="P75" s="736">
        <v>0</v>
      </c>
      <c r="Q75" s="736">
        <v>-4.3E-3</v>
      </c>
      <c r="R75" s="2"/>
      <c r="S75" s="48"/>
      <c r="T75" s="48"/>
    </row>
    <row r="76" spans="1:41" ht="21.95" customHeight="1" x14ac:dyDescent="0.25">
      <c r="A76" s="50"/>
      <c r="B76" s="50"/>
      <c r="C76" s="51"/>
      <c r="D76" s="789"/>
      <c r="E76" s="22" t="s">
        <v>52</v>
      </c>
      <c r="F76" s="78">
        <v>53.32</v>
      </c>
      <c r="G76" s="78">
        <v>53.98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1056.739999999998</v>
      </c>
      <c r="N76">
        <v>0</v>
      </c>
      <c r="O76"/>
      <c r="P76" s="736">
        <v>2.1999999999999999E-2</v>
      </c>
      <c r="Q76" s="736">
        <v>-5.9999999999999995E-4</v>
      </c>
      <c r="R76" s="2"/>
      <c r="S76" s="48"/>
    </row>
    <row r="77" spans="1:41" ht="21.95" customHeight="1" x14ac:dyDescent="0.25">
      <c r="A77" s="50"/>
      <c r="B77" s="50"/>
      <c r="C77" s="51"/>
      <c r="D77" s="789"/>
      <c r="E77" s="22" t="s">
        <v>330</v>
      </c>
      <c r="F77" s="2">
        <v>23.62</v>
      </c>
      <c r="G77" s="78">
        <v>23.99</v>
      </c>
      <c r="H77">
        <v>0</v>
      </c>
      <c r="I77" s="2">
        <v>0</v>
      </c>
      <c r="J77" s="2">
        <v>0</v>
      </c>
      <c r="K77" s="2">
        <v>926.77000000000044</v>
      </c>
      <c r="L77" s="736">
        <v>0</v>
      </c>
      <c r="M77" s="2">
        <v>1211.7400000000052</v>
      </c>
      <c r="N77">
        <v>0</v>
      </c>
      <c r="O77"/>
      <c r="P77" s="736">
        <v>0</v>
      </c>
      <c r="Q77" s="736">
        <v>2.0999999999999999E-3</v>
      </c>
      <c r="R77" s="2">
        <v>9.7918367346938755</v>
      </c>
      <c r="X77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 s="2"/>
      <c r="AN77"/>
      <c r="AO77"/>
    </row>
    <row r="78" spans="1:41" ht="21.95" customHeight="1" x14ac:dyDescent="0.25">
      <c r="A78" s="51"/>
      <c r="B78" s="51"/>
      <c r="C78" s="51"/>
      <c r="D78" s="789"/>
      <c r="E78" s="22" t="s">
        <v>63</v>
      </c>
      <c r="F78" s="2">
        <v>104.26</v>
      </c>
      <c r="G78" s="78">
        <v>106.34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257.30999999999949</v>
      </c>
      <c r="N78">
        <v>0</v>
      </c>
      <c r="O78"/>
      <c r="P78" s="736">
        <v>1.38E-2</v>
      </c>
      <c r="Q78" s="736">
        <v>-1.9E-3</v>
      </c>
      <c r="R78" s="2"/>
      <c r="S78" s="48"/>
      <c r="T78" s="48"/>
      <c r="V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1"/>
      <c r="C79" s="51"/>
      <c r="D79" s="789"/>
      <c r="E79" s="22" t="s">
        <v>9</v>
      </c>
      <c r="F79" s="2">
        <v>6.16</v>
      </c>
      <c r="G79" s="78">
        <v>6.54</v>
      </c>
      <c r="H79">
        <v>0</v>
      </c>
      <c r="I79" s="2">
        <v>0</v>
      </c>
      <c r="J79" s="2">
        <v>0</v>
      </c>
      <c r="K79" s="2">
        <v>-8332.1133333333346</v>
      </c>
      <c r="L79" s="736">
        <v>0</v>
      </c>
      <c r="M79" s="2">
        <v>-7897.1833333333343</v>
      </c>
      <c r="N79">
        <v>0</v>
      </c>
      <c r="O79"/>
      <c r="P79" s="736">
        <v>0.04</v>
      </c>
      <c r="Q79" s="736">
        <v>-1.6000000000000001E-3</v>
      </c>
      <c r="R79" s="2"/>
    </row>
    <row r="80" spans="1:41" ht="21.95" customHeight="1" x14ac:dyDescent="0.25">
      <c r="A80" s="50"/>
      <c r="B80" s="50"/>
      <c r="C80" s="51"/>
      <c r="D80" s="789"/>
      <c r="E80" s="22" t="s">
        <v>53</v>
      </c>
      <c r="F80" s="2">
        <v>76.78</v>
      </c>
      <c r="G80" s="78">
        <v>77.75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33.940000000000055</v>
      </c>
      <c r="N80">
        <v>0</v>
      </c>
      <c r="O80"/>
      <c r="P80" s="736">
        <v>7.4000000000000003E-3</v>
      </c>
      <c r="Q80" s="736">
        <v>6.4000000000000003E-3</v>
      </c>
      <c r="R80" s="2"/>
      <c r="S80" s="736"/>
      <c r="T80" s="48"/>
      <c r="U80" s="48"/>
    </row>
    <row r="81" spans="1:20" ht="21.95" customHeight="1" x14ac:dyDescent="0.25">
      <c r="A81" s="50"/>
      <c r="B81" s="50"/>
      <c r="C81" s="51"/>
      <c r="D81" s="789"/>
      <c r="E81" s="22" t="s">
        <v>56</v>
      </c>
      <c r="F81" s="2">
        <v>41.01</v>
      </c>
      <c r="G81" s="78">
        <v>41.25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36.819999999999709</v>
      </c>
      <c r="N81">
        <v>0</v>
      </c>
      <c r="O81"/>
      <c r="P81" s="736">
        <v>4.2999999999999997E-2</v>
      </c>
      <c r="Q81" s="736">
        <v>9.7999999999999997E-3</v>
      </c>
      <c r="R81" s="2"/>
      <c r="S81" s="48"/>
      <c r="T81" s="48"/>
    </row>
    <row r="82" spans="1:20" ht="21.95" customHeight="1" x14ac:dyDescent="0.25">
      <c r="A82" s="50"/>
      <c r="B82" s="51"/>
      <c r="C82" s="51"/>
      <c r="D82" s="789"/>
      <c r="E82" s="22" t="s">
        <v>0</v>
      </c>
      <c r="F82" s="2">
        <v>205.16</v>
      </c>
      <c r="G82" s="78">
        <v>208.75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465.57999999999993</v>
      </c>
      <c r="N82">
        <v>0</v>
      </c>
      <c r="O82"/>
      <c r="P82" s="736">
        <v>3.8999999999999998E-3</v>
      </c>
      <c r="Q82" s="736">
        <v>1.1999999999999999E-3</v>
      </c>
      <c r="R82" s="2"/>
      <c r="T82" s="48"/>
    </row>
    <row r="83" spans="1:20" ht="21.95" customHeight="1" x14ac:dyDescent="0.25">
      <c r="A83" s="51"/>
      <c r="B83" s="51"/>
      <c r="C83" s="51"/>
      <c r="D83" s="789"/>
      <c r="E83" s="22" t="s">
        <v>39</v>
      </c>
      <c r="F83" s="2">
        <v>44.25</v>
      </c>
      <c r="G83" s="78">
        <v>44.6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529.88000000000284</v>
      </c>
      <c r="N83">
        <v>0</v>
      </c>
      <c r="O83"/>
      <c r="P83" s="736">
        <v>2.3E-2</v>
      </c>
      <c r="Q83" s="736">
        <v>4.4999999999999997E-3</v>
      </c>
      <c r="R83" s="2"/>
      <c r="S83" s="48"/>
      <c r="T83" s="48"/>
    </row>
    <row r="84" spans="1:20" ht="21.95" customHeight="1" x14ac:dyDescent="0.25">
      <c r="A84" s="50"/>
      <c r="B84" s="50"/>
      <c r="C84" s="51"/>
      <c r="D84" s="789"/>
      <c r="E84" s="22" t="s">
        <v>54</v>
      </c>
      <c r="F84" s="2">
        <v>125.64</v>
      </c>
      <c r="G84" s="78">
        <v>124.87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114.84999999999991</v>
      </c>
      <c r="N84">
        <v>0</v>
      </c>
      <c r="O84"/>
      <c r="P84" s="736">
        <v>2.35E-2</v>
      </c>
      <c r="Q84" s="736">
        <v>8.3000000000000001E-3</v>
      </c>
      <c r="R84" s="2"/>
    </row>
    <row r="85" spans="1:20" ht="21.95" customHeight="1" x14ac:dyDescent="0.25">
      <c r="A85" s="50"/>
      <c r="B85" s="51"/>
      <c r="C85" s="51"/>
      <c r="D85" s="789"/>
      <c r="E85" s="22" t="s">
        <v>51</v>
      </c>
      <c r="F85" s="78">
        <v>249.77</v>
      </c>
      <c r="G85" s="78">
        <v>254.37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176.70000000000073</v>
      </c>
      <c r="N85">
        <v>0</v>
      </c>
      <c r="O85"/>
      <c r="P85" s="736">
        <v>1.52E-2</v>
      </c>
      <c r="Q85" s="736">
        <v>-3.8999999999999998E-3</v>
      </c>
      <c r="R85" s="2"/>
      <c r="S85" s="736"/>
      <c r="T85" s="48"/>
    </row>
    <row r="86" spans="1:20" ht="21.95" customHeight="1" x14ac:dyDescent="0.25">
      <c r="A86" s="50"/>
      <c r="B86" s="50"/>
      <c r="C86" s="51"/>
      <c r="F86" s="78"/>
      <c r="G86" s="78"/>
      <c r="H86"/>
      <c r="I86" s="2"/>
      <c r="J86" s="2"/>
      <c r="K86" s="2"/>
      <c r="L86" s="736"/>
      <c r="M86" s="2"/>
      <c r="N86"/>
      <c r="O86"/>
      <c r="P86" s="736"/>
      <c r="Q86" s="736"/>
      <c r="R86" s="2"/>
    </row>
    <row r="87" spans="1:20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20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0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0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0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0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0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0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0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0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670" priority="587">
      <formula>$O1=0</formula>
    </cfRule>
    <cfRule type="dataBar" priority="9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669" priority="543">
      <formula>$H2=0</formula>
    </cfRule>
  </conditionalFormatting>
  <conditionalFormatting sqref="J105:K200">
    <cfRule type="expression" dxfId="2668" priority="544">
      <formula>$J105=0</formula>
    </cfRule>
  </conditionalFormatting>
  <conditionalFormatting sqref="J105:K458">
    <cfRule type="expression" dxfId="2667" priority="585">
      <formula>$J105&lt;0</formula>
    </cfRule>
  </conditionalFormatting>
  <conditionalFormatting sqref="E59">
    <cfRule type="expression" dxfId="2666" priority="514">
      <formula>$H59=0</formula>
    </cfRule>
  </conditionalFormatting>
  <conditionalFormatting sqref="E5">
    <cfRule type="expression" dxfId="2665" priority="492">
      <formula>$H5=0</formula>
    </cfRule>
  </conditionalFormatting>
  <conditionalFormatting sqref="E60">
    <cfRule type="expression" dxfId="2664" priority="470">
      <formula>$H60=0</formula>
    </cfRule>
  </conditionalFormatting>
  <conditionalFormatting sqref="E62">
    <cfRule type="expression" dxfId="2663" priority="459">
      <formula>$H62=0</formula>
    </cfRule>
  </conditionalFormatting>
  <conditionalFormatting sqref="E61">
    <cfRule type="expression" dxfId="2662" priority="448">
      <formula>$H61=0</formula>
    </cfRule>
  </conditionalFormatting>
  <conditionalFormatting sqref="E8">
    <cfRule type="expression" dxfId="2661" priority="433">
      <formula>$H8=0</formula>
    </cfRule>
  </conditionalFormatting>
  <conditionalFormatting sqref="E63">
    <cfRule type="expression" dxfId="2660" priority="423">
      <formula>$H63=0</formula>
    </cfRule>
  </conditionalFormatting>
  <conditionalFormatting sqref="E20">
    <cfRule type="expression" dxfId="2659" priority="413">
      <formula>$H20=0</formula>
    </cfRule>
  </conditionalFormatting>
  <conditionalFormatting sqref="E64">
    <cfRule type="expression" dxfId="2658" priority="404">
      <formula>$H64=0</formula>
    </cfRule>
  </conditionalFormatting>
  <conditionalFormatting sqref="E65">
    <cfRule type="expression" dxfId="2657" priority="397">
      <formula>$H65=0</formula>
    </cfRule>
  </conditionalFormatting>
  <conditionalFormatting sqref="E11">
    <cfRule type="expression" dxfId="2656" priority="388">
      <formula>$H11=0</formula>
    </cfRule>
  </conditionalFormatting>
  <conditionalFormatting sqref="E9">
    <cfRule type="expression" dxfId="2655" priority="381">
      <formula>$H9=0</formula>
    </cfRule>
  </conditionalFormatting>
  <conditionalFormatting sqref="E66">
    <cfRule type="expression" dxfId="2654" priority="372">
      <formula>$H66=0</formula>
    </cfRule>
  </conditionalFormatting>
  <conditionalFormatting sqref="E10">
    <cfRule type="expression" dxfId="2653" priority="363">
      <formula>$H10=0</formula>
    </cfRule>
  </conditionalFormatting>
  <conditionalFormatting sqref="E26:E28 E30 E45:E49 E36:E43">
    <cfRule type="expression" dxfId="2652" priority="359">
      <formula>$H26=0</formula>
    </cfRule>
  </conditionalFormatting>
  <conditionalFormatting sqref="E29">
    <cfRule type="expression" dxfId="2651" priority="358">
      <formula>$H29=0</formula>
    </cfRule>
  </conditionalFormatting>
  <conditionalFormatting sqref="E31">
    <cfRule type="expression" dxfId="2650" priority="357">
      <formula>$H31=0</formula>
    </cfRule>
  </conditionalFormatting>
  <conditionalFormatting sqref="E32">
    <cfRule type="expression" dxfId="2649" priority="356">
      <formula>$H32=0</formula>
    </cfRule>
  </conditionalFormatting>
  <conditionalFormatting sqref="E44">
    <cfRule type="expression" dxfId="2648" priority="355">
      <formula>$H44=0</formula>
    </cfRule>
  </conditionalFormatting>
  <conditionalFormatting sqref="E35">
    <cfRule type="expression" dxfId="2647" priority="354">
      <formula>$H35=0</formula>
    </cfRule>
  </conditionalFormatting>
  <conditionalFormatting sqref="E33">
    <cfRule type="expression" dxfId="2646" priority="353">
      <formula>$H33=0</formula>
    </cfRule>
  </conditionalFormatting>
  <conditionalFormatting sqref="E34">
    <cfRule type="expression" dxfId="2645" priority="352">
      <formula>$H34=0</formula>
    </cfRule>
  </conditionalFormatting>
  <conditionalFormatting sqref="E67">
    <cfRule type="expression" dxfId="2644" priority="348">
      <formula>$H67=0</formula>
    </cfRule>
  </conditionalFormatting>
  <conditionalFormatting sqref="E69:E70">
    <cfRule type="expression" dxfId="2643" priority="341">
      <formula>$H69=0</formula>
    </cfRule>
  </conditionalFormatting>
  <conditionalFormatting sqref="E68">
    <cfRule type="expression" dxfId="2642" priority="334">
      <formula>$H68=0</formula>
    </cfRule>
  </conditionalFormatting>
  <conditionalFormatting sqref="E69:E70">
    <cfRule type="expression" dxfId="2641" priority="326">
      <formula>$H69=0</formula>
    </cfRule>
  </conditionalFormatting>
  <conditionalFormatting sqref="E71">
    <cfRule type="expression" dxfId="2640" priority="319">
      <formula>$H71=0</formula>
    </cfRule>
  </conditionalFormatting>
  <conditionalFormatting sqref="E72">
    <cfRule type="expression" dxfId="2639" priority="296">
      <formula>$H72=0</formula>
    </cfRule>
  </conditionalFormatting>
  <conditionalFormatting sqref="E72">
    <cfRule type="expression" dxfId="2638" priority="288">
      <formula>$H72=0</formula>
    </cfRule>
  </conditionalFormatting>
  <conditionalFormatting sqref="E74">
    <cfRule type="expression" dxfId="2637" priority="281">
      <formula>$H74=0</formula>
    </cfRule>
  </conditionalFormatting>
  <conditionalFormatting sqref="E73">
    <cfRule type="expression" dxfId="2636" priority="274">
      <formula>$H73=0</formula>
    </cfRule>
  </conditionalFormatting>
  <conditionalFormatting sqref="E75">
    <cfRule type="expression" dxfId="2635" priority="257">
      <formula>$H75=0</formula>
    </cfRule>
  </conditionalFormatting>
  <conditionalFormatting sqref="E7">
    <cfRule type="expression" dxfId="2634" priority="249">
      <formula>$H7=0</formula>
    </cfRule>
  </conditionalFormatting>
  <conditionalFormatting sqref="P105:P1048576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633" priority="233">
      <formula>$H76=0</formula>
    </cfRule>
  </conditionalFormatting>
  <conditionalFormatting sqref="E77">
    <cfRule type="expression" dxfId="2632" priority="220">
      <formula>$H77=0</formula>
    </cfRule>
  </conditionalFormatting>
  <conditionalFormatting sqref="E78">
    <cfRule type="expression" dxfId="2631" priority="206">
      <formula>$H78=0</formula>
    </cfRule>
  </conditionalFormatting>
  <conditionalFormatting sqref="P105:P1048576 P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630" priority="194">
      <formula>$H79=0</formula>
    </cfRule>
  </conditionalFormatting>
  <conditionalFormatting sqref="E80">
    <cfRule type="expression" dxfId="2629" priority="184">
      <formula>$H80=0</formula>
    </cfRule>
  </conditionalFormatting>
  <conditionalFormatting sqref="E81">
    <cfRule type="expression" dxfId="2628" priority="174">
      <formula>$H81=0</formula>
    </cfRule>
  </conditionalFormatting>
  <conditionalFormatting sqref="E82">
    <cfRule type="expression" dxfId="2627" priority="164">
      <formula>$H82=0</formula>
    </cfRule>
  </conditionalFormatting>
  <conditionalFormatting sqref="E83">
    <cfRule type="expression" dxfId="2626" priority="154">
      <formula>$H83=0</formula>
    </cfRule>
  </conditionalFormatting>
  <conditionalFormatting sqref="E84">
    <cfRule type="expression" dxfId="2625" priority="144">
      <formula>$H84=0</formula>
    </cfRule>
  </conditionalFormatting>
  <conditionalFormatting sqref="Q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624" priority="133">
      <formula>$H85=0</formula>
    </cfRule>
  </conditionalFormatting>
  <conditionalFormatting sqref="R105:R1048576">
    <cfRule type="expression" dxfId="2623" priority="965">
      <formula>$O105=0</formula>
    </cfRule>
    <cfRule type="dataBar" priority="9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622" priority="107">
      <formula>$O1=0</formula>
    </cfRule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621" priority="105">
      <formula>$L2=0</formula>
    </cfRule>
  </conditionalFormatting>
  <conditionalFormatting sqref="Q1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620" priority="98">
      <formula>K3&gt;0</formula>
    </cfRule>
    <cfRule type="expression" dxfId="2619" priority="99">
      <formula>K3&lt;0</formula>
    </cfRule>
  </conditionalFormatting>
  <conditionalFormatting sqref="K2 K4 K6 K8 K10 K12 K14 K16 K18 K20 K22 K24 K26 K28 K30">
    <cfRule type="expression" dxfId="2618" priority="96">
      <formula>K2&gt;0</formula>
    </cfRule>
    <cfRule type="expression" dxfId="2617" priority="97">
      <formula>K2&lt;0</formula>
    </cfRule>
  </conditionalFormatting>
  <conditionalFormatting sqref="K23 K25 K27 K29">
    <cfRule type="expression" dxfId="2616" priority="94">
      <formula>K23&gt;0</formula>
    </cfRule>
    <cfRule type="expression" dxfId="2615" priority="95">
      <formula>K23&lt;0</formula>
    </cfRule>
  </conditionalFormatting>
  <conditionalFormatting sqref="K31 K33 K40 K35 K42 K37:K38">
    <cfRule type="expression" dxfId="2614" priority="92">
      <formula>K31&gt;0</formula>
    </cfRule>
    <cfRule type="expression" dxfId="2613" priority="93">
      <formula>K31&lt;0</formula>
    </cfRule>
  </conditionalFormatting>
  <conditionalFormatting sqref="K32 K39 K34 K41 K36 K43">
    <cfRule type="expression" dxfId="2612" priority="90">
      <formula>K32&gt;0</formula>
    </cfRule>
    <cfRule type="expression" dxfId="2611" priority="91">
      <formula>K32&lt;0</formula>
    </cfRule>
  </conditionalFormatting>
  <conditionalFormatting sqref="K45 K47 K49 K51 K53">
    <cfRule type="expression" dxfId="2610" priority="88">
      <formula>K45&gt;0</formula>
    </cfRule>
    <cfRule type="expression" dxfId="2609" priority="89">
      <formula>K45&lt;0</formula>
    </cfRule>
  </conditionalFormatting>
  <conditionalFormatting sqref="K46 K48 K50 K52">
    <cfRule type="expression" dxfId="2608" priority="86">
      <formula>K46&gt;0</formula>
    </cfRule>
    <cfRule type="expression" dxfId="2607" priority="87">
      <formula>K46&lt;0</formula>
    </cfRule>
  </conditionalFormatting>
  <conditionalFormatting sqref="K54 K56 K58 K60 K62">
    <cfRule type="expression" dxfId="2606" priority="84">
      <formula>K54&gt;0</formula>
    </cfRule>
    <cfRule type="expression" dxfId="2605" priority="85">
      <formula>K54&lt;0</formula>
    </cfRule>
  </conditionalFormatting>
  <conditionalFormatting sqref="K55 K57 K59 K61">
    <cfRule type="expression" dxfId="2604" priority="82">
      <formula>K55&gt;0</formula>
    </cfRule>
    <cfRule type="expression" dxfId="2603" priority="83">
      <formula>K55&lt;0</formula>
    </cfRule>
  </conditionalFormatting>
  <conditionalFormatting sqref="K66 K68 K70 K72 K74">
    <cfRule type="expression" dxfId="2602" priority="80">
      <formula>K66&gt;0</formula>
    </cfRule>
    <cfRule type="expression" dxfId="2601" priority="81">
      <formula>K66&lt;0</formula>
    </cfRule>
  </conditionalFormatting>
  <conditionalFormatting sqref="K67 K69 K71 K73">
    <cfRule type="expression" dxfId="2600" priority="78">
      <formula>K67&gt;0</formula>
    </cfRule>
    <cfRule type="expression" dxfId="2599" priority="79">
      <formula>K67&lt;0</formula>
    </cfRule>
  </conditionalFormatting>
  <conditionalFormatting sqref="K75 K77 K79 K81 K83">
    <cfRule type="expression" dxfId="2598" priority="76">
      <formula>K75&gt;0</formula>
    </cfRule>
    <cfRule type="expression" dxfId="2597" priority="77">
      <formula>K75&lt;0</formula>
    </cfRule>
  </conditionalFormatting>
  <conditionalFormatting sqref="K76 K78 K80 K82">
    <cfRule type="expression" dxfId="2596" priority="74">
      <formula>K76&gt;0</formula>
    </cfRule>
    <cfRule type="expression" dxfId="2595" priority="75">
      <formula>K76&lt;0</formula>
    </cfRule>
  </conditionalFormatting>
  <conditionalFormatting sqref="K82 K84 K86 K88 K90">
    <cfRule type="expression" dxfId="2594" priority="72">
      <formula>K82&gt;0</formula>
    </cfRule>
    <cfRule type="expression" dxfId="2593" priority="73">
      <formula>K82&lt;0</formula>
    </cfRule>
  </conditionalFormatting>
  <conditionalFormatting sqref="K83 K85 K87 K89">
    <cfRule type="expression" dxfId="2592" priority="70">
      <formula>K83&gt;0</formula>
    </cfRule>
    <cfRule type="expression" dxfId="2591" priority="71">
      <formula>K83&lt;0</formula>
    </cfRule>
  </conditionalFormatting>
  <conditionalFormatting sqref="M105:M200">
    <cfRule type="expression" dxfId="2590" priority="68">
      <formula>$J105=0</formula>
    </cfRule>
  </conditionalFormatting>
  <conditionalFormatting sqref="M105:M458">
    <cfRule type="expression" dxfId="2589" priority="69">
      <formula>$J105&lt;0</formula>
    </cfRule>
  </conditionalFormatting>
  <conditionalFormatting sqref="M3 M5 M7 M9 M11 M13 M15 M17 M19 M21">
    <cfRule type="expression" dxfId="2588" priority="66">
      <formula>M3&gt;0</formula>
    </cfRule>
    <cfRule type="expression" dxfId="2587" priority="67">
      <formula>M3&lt;0</formula>
    </cfRule>
  </conditionalFormatting>
  <conditionalFormatting sqref="M2 M4 M6 M8 M10 M12 M14 M16 M18 M20 M22 M24 M26 M28 M30">
    <cfRule type="expression" dxfId="2586" priority="64">
      <formula>M2&gt;0</formula>
    </cfRule>
    <cfRule type="expression" dxfId="2585" priority="65">
      <formula>M2&lt;0</formula>
    </cfRule>
  </conditionalFormatting>
  <conditionalFormatting sqref="M23 M25 M27 M29">
    <cfRule type="expression" dxfId="2584" priority="62">
      <formula>M23&gt;0</formula>
    </cfRule>
    <cfRule type="expression" dxfId="2583" priority="63">
      <formula>M23&lt;0</formula>
    </cfRule>
  </conditionalFormatting>
  <conditionalFormatting sqref="M31 M33 M40 M35 M42 M37:M38">
    <cfRule type="expression" dxfId="2582" priority="60">
      <formula>M31&gt;0</formula>
    </cfRule>
    <cfRule type="expression" dxfId="2581" priority="61">
      <formula>M31&lt;0</formula>
    </cfRule>
  </conditionalFormatting>
  <conditionalFormatting sqref="M32 M39 M34 M41 M36 M43">
    <cfRule type="expression" dxfId="2580" priority="58">
      <formula>M32&gt;0</formula>
    </cfRule>
    <cfRule type="expression" dxfId="2579" priority="59">
      <formula>M32&lt;0</formula>
    </cfRule>
  </conditionalFormatting>
  <conditionalFormatting sqref="M45 M47 M49 M51 M53">
    <cfRule type="expression" dxfId="2578" priority="56">
      <formula>M45&gt;0</formula>
    </cfRule>
    <cfRule type="expression" dxfId="2577" priority="57">
      <formula>M45&lt;0</formula>
    </cfRule>
  </conditionalFormatting>
  <conditionalFormatting sqref="M46 M48 M50 M52">
    <cfRule type="expression" dxfId="2576" priority="54">
      <formula>M46&gt;0</formula>
    </cfRule>
    <cfRule type="expression" dxfId="2575" priority="55">
      <formula>M46&lt;0</formula>
    </cfRule>
  </conditionalFormatting>
  <conditionalFormatting sqref="M54 M56 M58 M60">
    <cfRule type="expression" dxfId="2574" priority="52">
      <formula>M54&gt;0</formula>
    </cfRule>
    <cfRule type="expression" dxfId="2573" priority="53">
      <formula>M54&lt;0</formula>
    </cfRule>
  </conditionalFormatting>
  <conditionalFormatting sqref="M55 M57 M59 M61">
    <cfRule type="expression" dxfId="2572" priority="50">
      <formula>M55&gt;0</formula>
    </cfRule>
    <cfRule type="expression" dxfId="2571" priority="51">
      <formula>M55&lt;0</formula>
    </cfRule>
  </conditionalFormatting>
  <conditionalFormatting sqref="M68 M70 M72 M74">
    <cfRule type="expression" dxfId="2570" priority="48">
      <formula>M68&gt;0</formula>
    </cfRule>
    <cfRule type="expression" dxfId="2569" priority="49">
      <formula>M68&lt;0</formula>
    </cfRule>
  </conditionalFormatting>
  <conditionalFormatting sqref="M67 M69 M71 M73">
    <cfRule type="expression" dxfId="2568" priority="46">
      <formula>M67&gt;0</formula>
    </cfRule>
    <cfRule type="expression" dxfId="2567" priority="47">
      <formula>M67&lt;0</formula>
    </cfRule>
  </conditionalFormatting>
  <conditionalFormatting sqref="M75 M77 M79 M81 M83">
    <cfRule type="expression" dxfId="2566" priority="44">
      <formula>M75&gt;0</formula>
    </cfRule>
    <cfRule type="expression" dxfId="2565" priority="45">
      <formula>M75&lt;0</formula>
    </cfRule>
  </conditionalFormatting>
  <conditionalFormatting sqref="M76 M78 M80 M82">
    <cfRule type="expression" dxfId="2564" priority="42">
      <formula>M76&gt;0</formula>
    </cfRule>
    <cfRule type="expression" dxfId="2563" priority="43">
      <formula>M76&lt;0</formula>
    </cfRule>
  </conditionalFormatting>
  <conditionalFormatting sqref="M82 M84 M86 M88 M90">
    <cfRule type="expression" dxfId="2562" priority="40">
      <formula>M82&gt;0</formula>
    </cfRule>
    <cfRule type="expression" dxfId="2561" priority="41">
      <formula>M82&lt;0</formula>
    </cfRule>
  </conditionalFormatting>
  <conditionalFormatting sqref="M83 M85 M87 M89">
    <cfRule type="expression" dxfId="2560" priority="38">
      <formula>M83&gt;0</formula>
    </cfRule>
    <cfRule type="expression" dxfId="2559" priority="39">
      <formula>M83&lt;0</formula>
    </cfRule>
  </conditionalFormatting>
  <conditionalFormatting sqref="L105:L200">
    <cfRule type="expression" dxfId="2558" priority="36">
      <formula>$J105=0</formula>
    </cfRule>
  </conditionalFormatting>
  <conditionalFormatting sqref="L105:L458">
    <cfRule type="expression" dxfId="2557" priority="37">
      <formula>$J105&lt;0</formula>
    </cfRule>
  </conditionalFormatting>
  <conditionalFormatting sqref="L3 L5 L7 L9 L11 L13 L15 L17 L19 L21">
    <cfRule type="expression" dxfId="2556" priority="34">
      <formula>L3&gt;0</formula>
    </cfRule>
    <cfRule type="expression" dxfId="2555" priority="35">
      <formula>L3&lt;0</formula>
    </cfRule>
  </conditionalFormatting>
  <conditionalFormatting sqref="L2 L4 L6 L8 L10 L12 L14 L16 L18 L20 L22 L24 L26 L28 L30">
    <cfRule type="expression" dxfId="2554" priority="32">
      <formula>L2&gt;0</formula>
    </cfRule>
    <cfRule type="expression" dxfId="2553" priority="33">
      <formula>L2&lt;0</formula>
    </cfRule>
  </conditionalFormatting>
  <conditionalFormatting sqref="L23 L25 L27 L29">
    <cfRule type="expression" dxfId="2552" priority="30">
      <formula>L23&gt;0</formula>
    </cfRule>
    <cfRule type="expression" dxfId="2551" priority="31">
      <formula>L23&lt;0</formula>
    </cfRule>
  </conditionalFormatting>
  <conditionalFormatting sqref="L31 L33 L40 L35 L42 L37:L38">
    <cfRule type="expression" dxfId="2550" priority="28">
      <formula>L31&gt;0</formula>
    </cfRule>
    <cfRule type="expression" dxfId="2549" priority="29">
      <formula>L31&lt;0</formula>
    </cfRule>
  </conditionalFormatting>
  <conditionalFormatting sqref="L32 L39 L34 L41 L36 L43">
    <cfRule type="expression" dxfId="2548" priority="26">
      <formula>L32&gt;0</formula>
    </cfRule>
    <cfRule type="expression" dxfId="2547" priority="27">
      <formula>L32&lt;0</formula>
    </cfRule>
  </conditionalFormatting>
  <conditionalFormatting sqref="L45 L47 L49 L51 L53">
    <cfRule type="expression" dxfId="2546" priority="24">
      <formula>L45&gt;0</formula>
    </cfRule>
    <cfRule type="expression" dxfId="2545" priority="25">
      <formula>L45&lt;0</formula>
    </cfRule>
  </conditionalFormatting>
  <conditionalFormatting sqref="L46 L48 L50 L52">
    <cfRule type="expression" dxfId="2544" priority="22">
      <formula>L46&gt;0</formula>
    </cfRule>
    <cfRule type="expression" dxfId="2543" priority="23">
      <formula>L46&lt;0</formula>
    </cfRule>
  </conditionalFormatting>
  <conditionalFormatting sqref="L54 L56 L58 L60 L62">
    <cfRule type="expression" dxfId="2542" priority="20">
      <formula>L54&gt;0</formula>
    </cfRule>
    <cfRule type="expression" dxfId="2541" priority="21">
      <formula>L54&lt;0</formula>
    </cfRule>
  </conditionalFormatting>
  <conditionalFormatting sqref="L55 L57 L59 L61">
    <cfRule type="expression" dxfId="2540" priority="18">
      <formula>L55&gt;0</formula>
    </cfRule>
    <cfRule type="expression" dxfId="2539" priority="19">
      <formula>L55&lt;0</formula>
    </cfRule>
  </conditionalFormatting>
  <conditionalFormatting sqref="L66 L68 L70 L72 L74">
    <cfRule type="expression" dxfId="2538" priority="16">
      <formula>L66&gt;0</formula>
    </cfRule>
    <cfRule type="expression" dxfId="2537" priority="17">
      <formula>L66&lt;0</formula>
    </cfRule>
  </conditionalFormatting>
  <conditionalFormatting sqref="L67 L69 L71 L73">
    <cfRule type="expression" dxfId="2536" priority="14">
      <formula>L67&gt;0</formula>
    </cfRule>
    <cfRule type="expression" dxfId="2535" priority="15">
      <formula>L67&lt;0</formula>
    </cfRule>
  </conditionalFormatting>
  <conditionalFormatting sqref="L75 L77 L79 L81 L83">
    <cfRule type="expression" dxfId="2534" priority="12">
      <formula>L75&gt;0</formula>
    </cfRule>
    <cfRule type="expression" dxfId="2533" priority="13">
      <formula>L75&lt;0</formula>
    </cfRule>
  </conditionalFormatting>
  <conditionalFormatting sqref="L76 L78 L80 L82">
    <cfRule type="expression" dxfId="2532" priority="10">
      <formula>L76&gt;0</formula>
    </cfRule>
    <cfRule type="expression" dxfId="2531" priority="11">
      <formula>L76&lt;0</formula>
    </cfRule>
  </conditionalFormatting>
  <conditionalFormatting sqref="L82 L84 L86 L88 L90">
    <cfRule type="expression" dxfId="2530" priority="8">
      <formula>L82&gt;0</formula>
    </cfRule>
    <cfRule type="expression" dxfId="2529" priority="9">
      <formula>L82&lt;0</formula>
    </cfRule>
  </conditionalFormatting>
  <conditionalFormatting sqref="L83 L85 L87 L89">
    <cfRule type="expression" dxfId="2528" priority="6">
      <formula>L83&gt;0</formula>
    </cfRule>
    <cfRule type="expression" dxfId="2527" priority="7">
      <formula>L83&lt;0</formula>
    </cfRule>
  </conditionalFormatting>
  <conditionalFormatting sqref="I1:I1048576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526" priority="3">
      <formula>M44&gt;0</formula>
    </cfRule>
    <cfRule type="expression" dxfId="2525" priority="4">
      <formula>M44&lt;0</formula>
    </cfRule>
  </conditionalFormatting>
  <conditionalFormatting sqref="M62:M66">
    <cfRule type="expression" dxfId="2524" priority="1">
      <formula>M62&gt;0</formula>
    </cfRule>
    <cfRule type="expression" dxfId="2523" priority="2">
      <formula>M62&lt;0</formula>
    </cfRule>
  </conditionalFormatting>
  <hyperlinks>
    <hyperlink ref="E31" location="BIIB!A1" display="BIIB"/>
    <hyperlink ref="E32" location="MYL!A1" display="MYL"/>
    <hyperlink ref="E29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2" location="MRO!A1" display="MRO"/>
    <hyperlink ref="E21" location="GE!A1" display="GE"/>
    <hyperlink ref="E11" location="XRAY!A1" display="XRAY"/>
    <hyperlink ref="E22" location="XLP!A1" display="XLP"/>
    <hyperlink ref="E3" location="KR!A1" display="KR"/>
    <hyperlink ref="E47" location="F!A1" display="F"/>
    <hyperlink ref="E20" location="JNJ!A1" display="JNJ"/>
    <hyperlink ref="E6" location="ULTA!A1" display="ULTA"/>
    <hyperlink ref="E48" location="FRC!A1" display="FRC"/>
    <hyperlink ref="E49" location="AAP!A1" display="AAP"/>
    <hyperlink ref="E14" location="CMCSA!A1" display="CMCSA"/>
    <hyperlink ref="E50" location="XEC!A1" display="XEC"/>
    <hyperlink ref="E12" location="MO!A1" display="MO"/>
    <hyperlink ref="E28" location="T!A1" display="T"/>
    <hyperlink ref="E25" location="COST!A1" display="COST"/>
    <hyperlink ref="E51" location="CPN!A1" display="CPN"/>
    <hyperlink ref="E52" location="EW!A1" display="EW"/>
    <hyperlink ref="E53" location="TJX!A1" display="TJX"/>
    <hyperlink ref="E18" location="QQQ!A1" display="QQQ"/>
    <hyperlink ref="E4" location="WBA!A1" display="WBA"/>
    <hyperlink ref="E54" location="AZO!A1" display="AZO"/>
    <hyperlink ref="E30" location="FL!A1" display="FL"/>
    <hyperlink ref="E55" location="MLM!A1" display="MLM"/>
    <hyperlink ref="E19" location="KHC!A1" display="KHC"/>
    <hyperlink ref="E56" location="KBWY!A1" display="KBWY"/>
    <hyperlink ref="E5" location="AYI!A1" display="AYI"/>
    <hyperlink ref="E16" location="DIA!A1" display="DIA"/>
    <hyperlink ref="E24" location="ICE!A1" display="ICE"/>
    <hyperlink ref="E57" location="NKE!A1" display="NKE"/>
    <hyperlink ref="E13" location="MOS!A1" display="MOS"/>
    <hyperlink ref="E58" location="VGK!A1" display="VGK"/>
    <hyperlink ref="E59" location="CMG!A1" display="CMG"/>
    <hyperlink ref="E26" location="HAS!A1" display="HAS"/>
    <hyperlink ref="E15" location="HSIC!A1" display="HSIC"/>
    <hyperlink ref="E10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9" location="SPY!A1" display="SPY"/>
    <hyperlink ref="E66" location="SWKS!A1" display="SWKS"/>
    <hyperlink ref="E67" location="CNI!A1" display="CNI"/>
    <hyperlink ref="E7" location="WFC!A1" display="WFC"/>
    <hyperlink ref="E68" location="AA!A1" display="AA"/>
    <hyperlink ref="E69" location="CF!A1" display="CF"/>
    <hyperlink ref="E70" location="TGT!A1" display="TGT"/>
    <hyperlink ref="E8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3" location="DAL!A1" display="DAL"/>
    <hyperlink ref="E77" location="TEVA!A1" display="TEVA"/>
    <hyperlink ref="E78" location="DIS!A1" display="DIS"/>
    <hyperlink ref="E79" location="FTR!A1" display="FTR"/>
    <hyperlink ref="E27" location="GILD!A1" display="GILD"/>
    <hyperlink ref="E80" location="WWD!A1" display="WWD"/>
    <hyperlink ref="E17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B284" sqref="B28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8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8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8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8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8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8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90575.24266666823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89379.922666668295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89379.960000000021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-3.7333331725676544E-2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22" priority="7">
      <formula>#REF!&gt;0</formula>
    </cfRule>
    <cfRule type="expression" dxfId="252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76"/>
  <sheetViews>
    <sheetView topLeftCell="E1" zoomScaleNormal="100" workbookViewId="0">
      <pane ySplit="1" topLeftCell="A656" activePane="bottomLeft" state="frozen"/>
      <selection pane="bottomLeft" activeCell="T676" sqref="T67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3"/>
      <c r="AA2" s="328">
        <f>LOOKUP(2,1/(M:M&lt;&gt;""),M:M)</f>
        <v>89379.960000000021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3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3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3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3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4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4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4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4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4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3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3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3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3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3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4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4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4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4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3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3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3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3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3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5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5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5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5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5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5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5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5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5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5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5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5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5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5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5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5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5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5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5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5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5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5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5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5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5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5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5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5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5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5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5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5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5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5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5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5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5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5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5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5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5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5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5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5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5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5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5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5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5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5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5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5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5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5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5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5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5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5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5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5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5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5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5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5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5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5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5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5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5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5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5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5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5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5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5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5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5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5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5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5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5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5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5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5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5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5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5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5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5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5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5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5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5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5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5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5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5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5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5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5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5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5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5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5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5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5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5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5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5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5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5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5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5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5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5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5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5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5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5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5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5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5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5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5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5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5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5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5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5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5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5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5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5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5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5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5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5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5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5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5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5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5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5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5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5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5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5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5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5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5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5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5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5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5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5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5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5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5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5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5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5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5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5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5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5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5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5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5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5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5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5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5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5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5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5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5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5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5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5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5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5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5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5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5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5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5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5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5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5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5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5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5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5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5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5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5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5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5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5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5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5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5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5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5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5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5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5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5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5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5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5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5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5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5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5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5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5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5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5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5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5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5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5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5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5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5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5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5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5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5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5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5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5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5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5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5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5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5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5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5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5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5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5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5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5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5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5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5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5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5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5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5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5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5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5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5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5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5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5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5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5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5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5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5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5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5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5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5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5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5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5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5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5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5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5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5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5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5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5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5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5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5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5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5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5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5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5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5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5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5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5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5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5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5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5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5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5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5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5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5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5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5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5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5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5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5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5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5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5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5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5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5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5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5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5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5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5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5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5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5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5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5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5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5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5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5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5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5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5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5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5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5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5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5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5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5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5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5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5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5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5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5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5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5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5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5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5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5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5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5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5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5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5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5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5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5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5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5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5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5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5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5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5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5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5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5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5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5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5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5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5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5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5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5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5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5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5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5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5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5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5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5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5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5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5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5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5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5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5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5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5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5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5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5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5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5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5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5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5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5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5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5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5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5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5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5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5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5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5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5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5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5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5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5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5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5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5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5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5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5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5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5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5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5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5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5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5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5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5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5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5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5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5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5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5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5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5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5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5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5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5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5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5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5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5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5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5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5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5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5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5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5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5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5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5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5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5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5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5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5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5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5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5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5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5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5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5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5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5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5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5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5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5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5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5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5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5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5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5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5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5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5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5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5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5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5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5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5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5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5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5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5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5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5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5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5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5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5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5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5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5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5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5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5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5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5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5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5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5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5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5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5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5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5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5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5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5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5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5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5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5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5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5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5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5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5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5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5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5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5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5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5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5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5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5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5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5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5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5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5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5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5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5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5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5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5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5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5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5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5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5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5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5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5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5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5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5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5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5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5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5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5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5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5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5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5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5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5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5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5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5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5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5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5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5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5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5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5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5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5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5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5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5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5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5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5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5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5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5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5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5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5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5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5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5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5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5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5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5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5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5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5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5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5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5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5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5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5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5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5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5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3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5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3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5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3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5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3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5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3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5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3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5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3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5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3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5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3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5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3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5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3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5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3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5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3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5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3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5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3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5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3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5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3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5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3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5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3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5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3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5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3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5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0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5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3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5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3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5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3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5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3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5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3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5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3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 t="shared" ref="Y664:Y669" si="3549">O664/W664</f>
        <v>0.3453107026752707</v>
      </c>
      <c r="Z664" s="785">
        <f t="shared" ref="Z664" si="3550">-(E664-N664)</f>
        <v>-5.7378132956628358E-2</v>
      </c>
    </row>
    <row r="665" spans="1:26" ht="20.100000000000001" customHeight="1" x14ac:dyDescent="0.25">
      <c r="A665" s="160">
        <f t="shared" ref="A665" si="3551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2">(C665-$C$2)/$C$2</f>
        <v>0.32322444397937633</v>
      </c>
      <c r="F665" s="215">
        <v>7659.92</v>
      </c>
      <c r="G665" s="168">
        <f t="shared" ref="G665" si="3553">(F665-F664)/F664</f>
        <v>1.8847663530621049E-3</v>
      </c>
      <c r="H665" s="199">
        <f t="shared" ref="H665" si="3554">(F665-F$2)/F$2</f>
        <v>0.5043934245929651</v>
      </c>
      <c r="I665" s="823">
        <v>382027.21</v>
      </c>
      <c r="J665" s="170">
        <v>300000</v>
      </c>
      <c r="K665" s="170">
        <f t="shared" ref="K665" si="3555">I665-I664-J665+J664</f>
        <v>2697.1100000000442</v>
      </c>
      <c r="L665" s="168">
        <f t="shared" ref="L665" si="3556">K665/I664</f>
        <v>7.1101924155242214E-3</v>
      </c>
      <c r="M665" s="178">
        <f t="shared" ref="M665" si="3557">I665-J665</f>
        <v>82027.210000000021</v>
      </c>
      <c r="N665" s="180">
        <f t="shared" ref="N665" si="3558">M665/J665</f>
        <v>0.27342403333333343</v>
      </c>
      <c r="O665" s="179">
        <f t="shared" ref="O665" si="3559">N665/(A665/365.25)</f>
        <v>9.7053574514091398E-2</v>
      </c>
      <c r="P665" s="178" t="b">
        <f t="shared" ref="P665" si="3560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1">I665-R665</f>
        <v>81541.25</v>
      </c>
      <c r="T665" s="170">
        <v>-32866</v>
      </c>
      <c r="U665" s="170">
        <f t="shared" ref="U665" si="3562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3">E665/(A665/365.25)/V665</f>
        <v>0.81050462534007905</v>
      </c>
      <c r="Y665" s="171">
        <f t="shared" si="3549"/>
        <v>0.35624048064714403</v>
      </c>
      <c r="Z665" s="785">
        <f t="shared" ref="Z665" si="3564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5">(C666-$C$2)/$C$2</f>
        <v>0.32553128745647908</v>
      </c>
      <c r="F666" s="215">
        <v>7703.79</v>
      </c>
      <c r="G666" s="168">
        <f t="shared" ref="G666" si="3566">(F666-F665)/F665</f>
        <v>5.7272138612413561E-3</v>
      </c>
      <c r="H666" s="199">
        <f t="shared" ref="H666" si="3567">(F666-F$2)/F$2</f>
        <v>0.51300940746705426</v>
      </c>
      <c r="I666" s="823">
        <v>383351.38</v>
      </c>
      <c r="J666" s="170">
        <v>300000</v>
      </c>
      <c r="K666" s="170">
        <f t="shared" ref="K666" si="3568">I666-I665-J666+J665</f>
        <v>1324.1699999999837</v>
      </c>
      <c r="L666" s="168">
        <f t="shared" ref="L666" si="3569">K666/I665</f>
        <v>3.4661667162398813E-3</v>
      </c>
      <c r="M666" s="178">
        <f t="shared" ref="M666" si="3570">I666-J666</f>
        <v>83351.38</v>
      </c>
      <c r="N666" s="180">
        <f t="shared" ref="N666" si="3571">M666/J666</f>
        <v>0.27783793333333334</v>
      </c>
      <c r="O666" s="179">
        <f t="shared" ref="O666" si="3572">N666/(A666/365.25)</f>
        <v>9.8524568106796107E-2</v>
      </c>
      <c r="P666" s="178" t="b">
        <f t="shared" ref="P666" si="3573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4">I666-R666</f>
        <v>85111.19</v>
      </c>
      <c r="T666" s="170">
        <v>-32722</v>
      </c>
      <c r="U666" s="170">
        <f t="shared" ref="U666" si="3575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6">E666/(A666/365.25)/V666</f>
        <v>0.81609965746088553</v>
      </c>
      <c r="Y666" s="171">
        <f t="shared" si="3549"/>
        <v>0.36190538554584889</v>
      </c>
      <c r="Z666" s="785">
        <f t="shared" ref="Z666" si="3577">-(E666-N666)</f>
        <v>-4.7693354123145737E-2</v>
      </c>
    </row>
    <row r="667" spans="1:26" ht="20.100000000000001" customHeight="1" x14ac:dyDescent="0.25">
      <c r="A667" s="160">
        <f t="shared" ref="A667" si="3578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9">(C667-$C$2)/$C$2</f>
        <v>0.32019463100017126</v>
      </c>
      <c r="F667" s="215">
        <v>7695.69</v>
      </c>
      <c r="G667" s="168">
        <f t="shared" ref="G667" si="3580">(F667-F666)/F666</f>
        <v>-1.0514305296484411E-3</v>
      </c>
      <c r="H667" s="199">
        <f t="shared" ref="H667" si="3581">(F667-F$2)/F$2</f>
        <v>0.51141858318439815</v>
      </c>
      <c r="I667" s="823">
        <v>383566.49</v>
      </c>
      <c r="J667" s="170">
        <v>300000</v>
      </c>
      <c r="K667" s="170">
        <f t="shared" ref="K667" si="3582">I667-I666-J667+J666</f>
        <v>215.10999999998603</v>
      </c>
      <c r="L667" s="168">
        <f t="shared" ref="L667" si="3583">K667/I666</f>
        <v>5.6113010470964272E-4</v>
      </c>
      <c r="M667" s="178">
        <f t="shared" ref="M667" si="3584">I667-J667</f>
        <v>83566.489999999991</v>
      </c>
      <c r="N667" s="180">
        <f t="shared" ref="N667" si="3585">M667/J667</f>
        <v>0.27855496666666663</v>
      </c>
      <c r="O667" s="179">
        <f t="shared" ref="O667" si="3586">N667/(A667/365.25)</f>
        <v>9.8683027715809876E-2</v>
      </c>
      <c r="P667" s="178" t="b">
        <f t="shared" ref="P667" si="3587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8">I667-R667</f>
        <v>97920.02999999997</v>
      </c>
      <c r="T667" s="170">
        <v>-32818</v>
      </c>
      <c r="U667" s="170">
        <f t="shared" ref="U667" si="3589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90">E667/(A667/365.25)/V667</f>
        <v>0.80239333109858757</v>
      </c>
      <c r="Y667" s="171">
        <f t="shared" si="3549"/>
        <v>0.3627607095203717</v>
      </c>
      <c r="Z667" s="785">
        <f t="shared" ref="Z667" si="3591">-(E667-N667)</f>
        <v>-4.1639664333504633E-2</v>
      </c>
    </row>
    <row r="668" spans="1:26" ht="20.100000000000001" customHeight="1" x14ac:dyDescent="0.25">
      <c r="A668" s="160">
        <f t="shared" ref="A668" si="3592">B668-$B$2</f>
        <v>1032</v>
      </c>
      <c r="B668" s="169">
        <v>43265</v>
      </c>
      <c r="C668" s="211">
        <v>2782.49</v>
      </c>
      <c r="D668" s="168">
        <f t="shared" ref="D668" si="3593">(C668-C667)/C667</f>
        <v>2.4715109722836517E-3</v>
      </c>
      <c r="E668" s="205">
        <f t="shared" ref="E668" si="3594">(C668-$C$2)/$C$2</f>
        <v>0.32345750651623811</v>
      </c>
      <c r="F668" s="215">
        <v>7761.04</v>
      </c>
      <c r="G668" s="168">
        <f t="shared" ref="G668" si="3595">(F668-F667)/F667</f>
        <v>8.4917661704149161E-3</v>
      </c>
      <c r="H668" s="199">
        <f t="shared" ref="H668" si="3596">(F668-F$2)/F$2</f>
        <v>0.52425319637841983</v>
      </c>
      <c r="I668" s="823">
        <v>383755.49</v>
      </c>
      <c r="J668" s="170">
        <v>300000</v>
      </c>
      <c r="K668" s="170">
        <f t="shared" ref="K668" si="3597">I668-I667-J668+J667</f>
        <v>189</v>
      </c>
      <c r="L668" s="168">
        <f t="shared" ref="L668" si="3598">K668/I667</f>
        <v>4.9274377435839091E-4</v>
      </c>
      <c r="M668" s="178">
        <f t="shared" ref="M668" si="3599">I668-J668</f>
        <v>83755.489999999991</v>
      </c>
      <c r="N668" s="180">
        <f t="shared" ref="N668" si="3600">M668/J668</f>
        <v>0.27918496666666665</v>
      </c>
      <c r="O668" s="179">
        <f t="shared" ref="O668" si="3601">N668/(A668/365.25)</f>
        <v>9.8810377010658909E-2</v>
      </c>
      <c r="P668" s="178" t="b">
        <f t="shared" ref="P668" si="3602">L668&gt;D668</f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ref="S668" si="3603">I668-R668</f>
        <v>106245.93</v>
      </c>
      <c r="T668" s="170">
        <v>-32800</v>
      </c>
      <c r="U668" s="170">
        <f t="shared" ref="U668" si="3604">M668-T668</f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ref="X668" si="3605">E668/(A668/365.25)/V668</f>
        <v>0.81036289725284272</v>
      </c>
      <c r="Y668" s="171">
        <f t="shared" si="3549"/>
        <v>0.36350224424424604</v>
      </c>
      <c r="Z668" s="785">
        <f t="shared" ref="Z668" si="3606">-(E668-N668)</f>
        <v>-4.4272539849571468E-2</v>
      </c>
    </row>
    <row r="669" spans="1:26" ht="20.100000000000001" customHeight="1" x14ac:dyDescent="0.25">
      <c r="A669" s="160">
        <f t="shared" ref="A669" si="3607">B669-$B$2</f>
        <v>1033</v>
      </c>
      <c r="B669" s="169">
        <v>43266</v>
      </c>
      <c r="C669" s="211">
        <v>2779.66</v>
      </c>
      <c r="D669" s="168">
        <f t="shared" ref="D669" si="3608">(C669-C668)/C668</f>
        <v>-1.0170746345898557E-3</v>
      </c>
      <c r="E669" s="205">
        <f t="shared" ref="E669" si="3609">(C669-$C$2)/$C$2</f>
        <v>0.32211145145640291</v>
      </c>
      <c r="F669" s="215">
        <v>7746.37</v>
      </c>
      <c r="G669" s="168">
        <f t="shared" ref="G669" si="3610">(F669-F668)/F668</f>
        <v>-1.8902105903332636E-3</v>
      </c>
      <c r="H669" s="199">
        <f t="shared" ref="H669" si="3611">(F669-F$2)/F$2</f>
        <v>0.52137203684427602</v>
      </c>
      <c r="I669" s="823">
        <v>382086.2</v>
      </c>
      <c r="J669" s="170">
        <v>300000</v>
      </c>
      <c r="K669" s="170">
        <f t="shared" ref="K669" si="3612">I669-I668-J669+J668</f>
        <v>-1669.289999999979</v>
      </c>
      <c r="L669" s="168">
        <f t="shared" ref="L669" si="3613">K669/I668</f>
        <v>-4.3498791378853733E-3</v>
      </c>
      <c r="M669" s="178">
        <f t="shared" ref="M669" si="3614">I669-J669</f>
        <v>82086.200000000012</v>
      </c>
      <c r="N669" s="180">
        <f t="shared" ref="N669" si="3615">M669/J669</f>
        <v>0.27362066666666668</v>
      </c>
      <c r="O669" s="179">
        <f t="shared" ref="O669" si="3616">N669/(A669/365.25)</f>
        <v>9.6747287996127779E-2</v>
      </c>
      <c r="P669" s="178" t="b">
        <f t="shared" ref="P669" si="3617">L669&gt;D669</f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ref="S669" si="3618">I669-R669</f>
        <v>83263.290000000037</v>
      </c>
      <c r="T669" s="170">
        <v>-32770</v>
      </c>
      <c r="U669" s="170">
        <f t="shared" ref="U669" si="3619">M669-T669</f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ref="X669" si="3620">E669/(A669/365.25)/V669</f>
        <v>0.80679864333878126</v>
      </c>
      <c r="Y669" s="171">
        <f t="shared" si="3549"/>
        <v>0.35615750813758806</v>
      </c>
      <c r="Z669" s="785">
        <f t="shared" ref="Z669" si="3621">-(E669-N669)</f>
        <v>-4.849078478973623E-2</v>
      </c>
    </row>
    <row r="670" spans="1:26" ht="20.100000000000001" customHeight="1" x14ac:dyDescent="0.25">
      <c r="A670" s="160">
        <f t="shared" ref="A670" si="3622">B670-$B$2</f>
        <v>1036</v>
      </c>
      <c r="B670" s="169">
        <v>43269</v>
      </c>
      <c r="C670" s="211">
        <v>2773.75</v>
      </c>
      <c r="D670" s="168">
        <f t="shared" ref="D670" si="3623">(C670-C669)/C669</f>
        <v>-2.1261593144484775E-3</v>
      </c>
      <c r="E670" s="205">
        <f t="shared" ref="E670" si="3624">(C670-$C$2)/$C$2</f>
        <v>0.31930043187914992</v>
      </c>
      <c r="F670" s="215">
        <v>7747.02</v>
      </c>
      <c r="G670" s="168">
        <f t="shared" ref="G670" si="3625">(F670-F669)/F669</f>
        <v>8.3910270229868404E-5</v>
      </c>
      <c r="H670" s="199">
        <f t="shared" ref="H670" si="3626">(F670-F$2)/F$2</f>
        <v>0.52149969558300779</v>
      </c>
      <c r="I670" s="823">
        <v>381438.85</v>
      </c>
      <c r="J670" s="170">
        <v>300000</v>
      </c>
      <c r="K670" s="170">
        <f t="shared" ref="K670" si="3627">I670-I669-J670+J669</f>
        <v>-647.35000000003492</v>
      </c>
      <c r="L670" s="168">
        <f t="shared" ref="L670" si="3628">K670/I669</f>
        <v>-1.6942511925320384E-3</v>
      </c>
      <c r="M670" s="178">
        <f t="shared" ref="M670" si="3629">I670-J670</f>
        <v>81438.849999999977</v>
      </c>
      <c r="N670" s="180">
        <f t="shared" ref="N670" si="3630">M670/J670</f>
        <v>0.27146283333333326</v>
      </c>
      <c r="O670" s="179">
        <f t="shared" ref="O670" si="3631">N670/(A670/365.25)</f>
        <v>9.5706370535714264E-2</v>
      </c>
      <c r="P670" s="178" t="b">
        <f t="shared" ref="P670" si="3632">L670&gt;D670</f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ref="S670" si="3633">I670-R670</f>
        <v>94390.709999999963</v>
      </c>
      <c r="T670" s="170">
        <v>-33106</v>
      </c>
      <c r="U670" s="170">
        <f t="shared" ref="U670" si="3634">M670-T670</f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ref="X670" si="3635">E670/(A670/365.25)/V670</f>
        <v>0.79798986219092249</v>
      </c>
      <c r="Y670" s="171">
        <f t="shared" ref="Y670" si="3636">O670/W670</f>
        <v>0.35258514222842952</v>
      </c>
      <c r="Z670" s="785">
        <f t="shared" ref="Z670" si="3637">-(E670-N670)</f>
        <v>-4.7837598545816651E-2</v>
      </c>
    </row>
    <row r="671" spans="1:26" ht="20.100000000000001" customHeight="1" x14ac:dyDescent="0.25">
      <c r="A671" s="160">
        <f t="shared" ref="A671" si="3638">B671-$B$2</f>
        <v>1037</v>
      </c>
      <c r="B671" s="169">
        <v>43270</v>
      </c>
      <c r="C671" s="211">
        <v>2762.59</v>
      </c>
      <c r="D671" s="168">
        <f t="shared" ref="D671" si="3639">(C671-C670)/C670</f>
        <v>-4.023433979269889E-3</v>
      </c>
      <c r="E671" s="205">
        <f t="shared" ref="E671" si="3640">(C671-$C$2)/$C$2</f>
        <v>0.3139923136926619</v>
      </c>
      <c r="F671" s="215">
        <v>7725.58</v>
      </c>
      <c r="G671" s="168">
        <f t="shared" ref="G671" si="3641">(F671-F670)/F670</f>
        <v>-2.7675157673531896E-3</v>
      </c>
      <c r="H671" s="199">
        <f t="shared" ref="H671" si="3642">(F671-F$2)/F$2</f>
        <v>0.51728892118545877</v>
      </c>
      <c r="I671" s="823">
        <v>382081.51</v>
      </c>
      <c r="J671" s="170">
        <v>300000</v>
      </c>
      <c r="K671" s="170">
        <f t="shared" ref="K671" si="3643">I671-I670-J671+J670</f>
        <v>642.6600000000326</v>
      </c>
      <c r="L671" s="168">
        <f t="shared" ref="L671" si="3644">K671/I670</f>
        <v>1.6848310024006013E-3</v>
      </c>
      <c r="M671" s="178">
        <f t="shared" ref="M671" si="3645">I671-J671</f>
        <v>82081.510000000009</v>
      </c>
      <c r="N671" s="180">
        <f t="shared" ref="N671" si="3646">M671/J671</f>
        <v>0.27360503333333336</v>
      </c>
      <c r="O671" s="179">
        <f t="shared" ref="O671" si="3647">N671/(A671/365.25)</f>
        <v>9.636860021697205E-2</v>
      </c>
      <c r="P671" s="178" t="b">
        <f t="shared" ref="P671" si="3648">L671&gt;D671</f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ref="S671" si="3649">I671-R671</f>
        <v>88750.72000000003</v>
      </c>
      <c r="T671" s="170">
        <v>-32722</v>
      </c>
      <c r="U671" s="170">
        <f t="shared" ref="U671" si="3650">M671-T671</f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ref="X671" si="3651">E671/(A671/365.25)/V671</f>
        <v>0.78440558773622837</v>
      </c>
      <c r="Y671" s="171">
        <f t="shared" ref="Y671" si="3652">O671/W671</f>
        <v>0.35528981091461798</v>
      </c>
      <c r="Z671" s="785">
        <f t="shared" ref="Z671" si="3653">-(E671-N671)</f>
        <v>-4.0387280359328537E-2</v>
      </c>
    </row>
    <row r="672" spans="1:26" ht="20.100000000000001" customHeight="1" x14ac:dyDescent="0.25">
      <c r="A672" s="160">
        <f t="shared" ref="A672" si="3654">B672-$B$2</f>
        <v>1038</v>
      </c>
      <c r="B672" s="169">
        <v>43271</v>
      </c>
      <c r="C672" s="211">
        <v>2767.32</v>
      </c>
      <c r="D672" s="168">
        <f t="shared" ref="D672" si="3655">(C672-C671)/C671</f>
        <v>1.712161413745803E-3</v>
      </c>
      <c r="E672" s="205">
        <f t="shared" ref="E672" si="3656">(C672-$C$2)/$C$2</f>
        <v>0.31624208063012504</v>
      </c>
      <c r="F672" s="215">
        <v>7781.51</v>
      </c>
      <c r="G672" s="168">
        <f t="shared" ref="G672" si="3657">(F672-F671)/F671</f>
        <v>7.2395858951690732E-3</v>
      </c>
      <c r="H672" s="199">
        <f t="shared" ref="H672" si="3658">(F672-F$2)/F$2</f>
        <v>0.52827346465816927</v>
      </c>
      <c r="I672" s="823">
        <v>384754.19</v>
      </c>
      <c r="J672" s="170">
        <v>300000</v>
      </c>
      <c r="K672" s="170">
        <f t="shared" ref="K672" si="3659">I672-I671-J672+J671</f>
        <v>2672.679999999993</v>
      </c>
      <c r="L672" s="168">
        <f t="shared" ref="L672" si="3660">K672/I671</f>
        <v>6.9950519196806801E-3</v>
      </c>
      <c r="M672" s="178">
        <f t="shared" ref="M672" si="3661">I672-J672</f>
        <v>84754.19</v>
      </c>
      <c r="N672" s="180">
        <f t="shared" ref="N672" si="3662">M672/J672</f>
        <v>0.28251396666666667</v>
      </c>
      <c r="O672" s="179">
        <f t="shared" ref="O672" si="3663">N672/(A672/365.25)</f>
        <v>9.9410622663776496E-2</v>
      </c>
      <c r="P672" s="178" t="b">
        <f t="shared" ref="P672" si="3664">L672&gt;D672</f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ref="S672" si="3665">I672-R672</f>
        <v>111992.40999999997</v>
      </c>
      <c r="T672" s="170">
        <v>-32680</v>
      </c>
      <c r="U672" s="170">
        <f t="shared" ref="U672" si="3666">M672-T672</f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ref="X672" si="3667">E672/(A672/365.25)/V672</f>
        <v>0.78984336003195033</v>
      </c>
      <c r="Y672" s="171">
        <f t="shared" ref="Y672" si="3668">O672/W672</f>
        <v>0.36674110913288216</v>
      </c>
      <c r="Z672" s="785">
        <f t="shared" ref="Z672" si="3669">-(E672-N672)</f>
        <v>-3.3728113963458373E-2</v>
      </c>
    </row>
    <row r="673" spans="1:26" ht="20.100000000000001" customHeight="1" x14ac:dyDescent="0.25">
      <c r="A673" s="160">
        <f t="shared" ref="A673" si="3670">B673-$B$2</f>
        <v>1039</v>
      </c>
      <c r="B673" s="169">
        <v>43272</v>
      </c>
      <c r="C673" s="211">
        <v>2749.76</v>
      </c>
      <c r="D673" s="168">
        <f t="shared" ref="D673" si="3671">(C673-C672)/C672</f>
        <v>-6.3454894988653077E-3</v>
      </c>
      <c r="E673" s="205">
        <f t="shared" ref="E673" si="3672">(C673-$C$2)/$C$2</f>
        <v>0.30788988032952197</v>
      </c>
      <c r="F673" s="215">
        <v>7712.95</v>
      </c>
      <c r="G673" s="168">
        <f t="shared" ref="G673" si="3673">(F673-F672)/F672</f>
        <v>-8.8106292994547843E-3</v>
      </c>
      <c r="H673" s="199">
        <f t="shared" ref="H673" si="3674">(F673-F$2)/F$2</f>
        <v>0.51480841369287278</v>
      </c>
      <c r="I673" s="823">
        <v>386790.11</v>
      </c>
      <c r="J673" s="170">
        <v>300000</v>
      </c>
      <c r="K673" s="170">
        <f t="shared" ref="K673" si="3675">I673-I672-J673+J672</f>
        <v>2035.9199999999837</v>
      </c>
      <c r="L673" s="168">
        <f t="shared" ref="L673" si="3676">K673/I672</f>
        <v>5.2914823357738706E-3</v>
      </c>
      <c r="M673" s="178">
        <f t="shared" ref="M673" si="3677">I673-J673</f>
        <v>86790.109999999986</v>
      </c>
      <c r="N673" s="180">
        <f t="shared" ref="N673" si="3678">M673/J673</f>
        <v>0.28930036666666664</v>
      </c>
      <c r="O673" s="179">
        <f t="shared" ref="O673" si="3679">N673/(A673/365.25)</f>
        <v>0.10170063419153032</v>
      </c>
      <c r="P673" s="178" t="b">
        <f t="shared" ref="P673" si="3680">L673&gt;D673</f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ref="S673" si="3681">I673-R673</f>
        <v>113268.26999999996</v>
      </c>
      <c r="T673" s="170">
        <v>-31908</v>
      </c>
      <c r="U673" s="170">
        <f t="shared" ref="U673" si="3682">M673-T673</f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ref="X673" si="3683">E673/(A673/365.25)/V673</f>
        <v>0.76848071530722506</v>
      </c>
      <c r="Y673" s="171">
        <f t="shared" ref="Y673" si="3684">O673/W673</f>
        <v>0.37544870444555395</v>
      </c>
      <c r="Z673" s="785">
        <f t="shared" ref="Z673" si="3685">-(E673-N673)</f>
        <v>-1.8589513662855328E-2</v>
      </c>
    </row>
    <row r="674" spans="1:26" ht="20.100000000000001" customHeight="1" x14ac:dyDescent="0.25">
      <c r="A674" s="160">
        <f t="shared" ref="A674" si="3686">B674-$B$2</f>
        <v>1040</v>
      </c>
      <c r="B674" s="169">
        <v>43273</v>
      </c>
      <c r="C674" s="211">
        <v>2754.88</v>
      </c>
      <c r="D674" s="168">
        <f t="shared" ref="D674" si="3687">(C674-C673)/C673</f>
        <v>1.8619806819503849E-3</v>
      </c>
      <c r="E674" s="205">
        <f t="shared" ref="E674" si="3688">(C674-$C$2)/$C$2</f>
        <v>0.3103251460208139</v>
      </c>
      <c r="F674" s="215">
        <v>7692.81</v>
      </c>
      <c r="G674" s="168">
        <f t="shared" ref="G674" si="3689">(F674-F673)/F673</f>
        <v>-2.6111928639495157E-3</v>
      </c>
      <c r="H674" s="199">
        <f t="shared" ref="H674" si="3690">(F674-F$2)/F$2</f>
        <v>0.51085295677278719</v>
      </c>
      <c r="I674" s="823">
        <v>393809.39</v>
      </c>
      <c r="J674" s="170">
        <v>300000</v>
      </c>
      <c r="K674" s="170">
        <f t="shared" ref="K674" si="3691">I674-I673-J674+J673</f>
        <v>7019.2800000000279</v>
      </c>
      <c r="L674" s="168">
        <f t="shared" ref="L674" si="3692">K674/I673</f>
        <v>1.8147516750105189E-2</v>
      </c>
      <c r="M674" s="178">
        <f t="shared" ref="M674" si="3693">I674-J674</f>
        <v>93809.390000000014</v>
      </c>
      <c r="N674" s="180">
        <f t="shared" ref="N674" si="3694">M674/J674</f>
        <v>0.31269796666666672</v>
      </c>
      <c r="O674" s="179">
        <f t="shared" ref="O674" si="3695">N674/(A674/365.25)</f>
        <v>0.10982012723557695</v>
      </c>
      <c r="P674" s="178" t="b">
        <f t="shared" ref="P674" si="3696">L674&gt;D674</f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ref="S674" si="3697">I674-R674</f>
        <v>119430.79999999999</v>
      </c>
      <c r="T674" s="170">
        <v>-31374</v>
      </c>
      <c r="U674" s="170">
        <f t="shared" ref="U674" si="3698">M674-T674</f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ref="X674" si="3699">E674/(A674/365.25)/V674</f>
        <v>0.77437669557314881</v>
      </c>
      <c r="Y674" s="171">
        <f t="shared" ref="Y674" si="3700">O674/W674</f>
        <v>0.40540777367822317</v>
      </c>
      <c r="Z674" s="785">
        <f t="shared" ref="Z674" si="3701">-(E674-N674)</f>
        <v>2.3728206458528134E-3</v>
      </c>
    </row>
    <row r="675" spans="1:26" ht="20.100000000000001" customHeight="1" x14ac:dyDescent="0.25">
      <c r="A675" s="160">
        <f t="shared" ref="A675" si="3702">B675-$B$2</f>
        <v>1041</v>
      </c>
      <c r="B675" s="169">
        <v>43274</v>
      </c>
      <c r="C675" s="211">
        <v>2717.07</v>
      </c>
      <c r="D675" s="168">
        <f t="shared" ref="D675" si="3703">(C675-C674)/C674</f>
        <v>-1.3724735741665679E-2</v>
      </c>
      <c r="E675" s="205">
        <f t="shared" ref="E675" si="3704">(C675-$C$2)/$C$2</f>
        <v>0.29234127965601875</v>
      </c>
      <c r="F675" s="215">
        <v>7532</v>
      </c>
      <c r="G675" s="168">
        <f t="shared" ref="G675" si="3705">(F675-F674)/F674</f>
        <v>-2.0903934973046313E-2</v>
      </c>
      <c r="H675" s="199">
        <f t="shared" ref="H675" si="3706">(F675-F$2)/F$2</f>
        <v>0.47927018481057415</v>
      </c>
      <c r="I675" s="823">
        <v>389217.82</v>
      </c>
      <c r="J675" s="170">
        <v>300000</v>
      </c>
      <c r="K675" s="170">
        <f t="shared" ref="K675" si="3707">I675-I674-J675+J674</f>
        <v>-4591.570000000007</v>
      </c>
      <c r="L675" s="168">
        <f t="shared" ref="L675" si="3708">K675/I674</f>
        <v>-1.1659371555360848E-2</v>
      </c>
      <c r="M675" s="178">
        <f t="shared" ref="M675" si="3709">I675-J675</f>
        <v>89217.82</v>
      </c>
      <c r="N675" s="180">
        <f t="shared" ref="N675" si="3710">M675/J675</f>
        <v>0.29739273333333338</v>
      </c>
      <c r="O675" s="179">
        <f t="shared" ref="O675" si="3711">N675/(A675/365.25)</f>
        <v>0.10434456853986554</v>
      </c>
      <c r="P675" s="178" t="b">
        <f t="shared" ref="P675" si="3712">L675&gt;D675</f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ref="S675" si="3713">I675-R675</f>
        <v>111667.02000000002</v>
      </c>
      <c r="T675" s="170">
        <v>-31574</v>
      </c>
      <c r="U675" s="170">
        <f t="shared" ref="U675" si="3714">M675-T675</f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ref="X675" si="3715">E675/(A675/365.25)/V675</f>
        <v>0.72796080876750646</v>
      </c>
      <c r="Y675" s="171">
        <f t="shared" ref="Y675" si="3716">O675/W675</f>
        <v>0.38533195776680862</v>
      </c>
      <c r="Z675" s="785">
        <f t="shared" ref="Z675" si="3717">-(E675-N675)</f>
        <v>5.0514536773146324E-3</v>
      </c>
    </row>
    <row r="676" spans="1:26" ht="20.100000000000001" customHeight="1" x14ac:dyDescent="0.25">
      <c r="A676" s="160">
        <f t="shared" ref="A676" si="3718">B676-$B$2</f>
        <v>1044</v>
      </c>
      <c r="B676" s="169">
        <v>43277</v>
      </c>
      <c r="C676" s="211">
        <v>2723.06</v>
      </c>
      <c r="D676" s="168">
        <f t="shared" ref="D676" si="3719">(C676-C675)/C675</f>
        <v>2.2045806696182951E-3</v>
      </c>
      <c r="E676" s="205">
        <f t="shared" ref="E676" si="3720">(C676-$C$2)/$C$2</f>
        <v>0.2951903502596982</v>
      </c>
      <c r="F676" s="215">
        <v>7561.62</v>
      </c>
      <c r="G676" s="168">
        <f t="shared" ref="G676" si="3721">(F676-F675)/F675</f>
        <v>3.9325544344131561E-3</v>
      </c>
      <c r="H676" s="199">
        <f t="shared" ref="H676" si="3722">(F676-F$2)/F$2</f>
        <v>0.48508749533554613</v>
      </c>
      <c r="I676" s="823">
        <v>389379.96</v>
      </c>
      <c r="J676" s="170">
        <v>300000</v>
      </c>
      <c r="K676" s="170">
        <f t="shared" ref="K676" si="3723">I676-I675-J676+J675</f>
        <v>162.14000000001397</v>
      </c>
      <c r="L676" s="168">
        <f t="shared" ref="L676" si="3724">K676/I675</f>
        <v>4.165790764667814E-4</v>
      </c>
      <c r="M676" s="178">
        <f t="shared" ref="M676" si="3725">I676-J676</f>
        <v>89379.960000000021</v>
      </c>
      <c r="N676" s="180">
        <f t="shared" ref="N676" si="3726">M676/J676</f>
        <v>0.29793320000000006</v>
      </c>
      <c r="O676" s="179">
        <f t="shared" ref="O676" si="3727">N676/(A676/365.25)</f>
        <v>0.10423381350574715</v>
      </c>
      <c r="P676" s="178" t="b">
        <f t="shared" ref="P676" si="3728">L676&gt;D676</f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ref="S676" si="3729">I676-R676</f>
        <v>109309.07</v>
      </c>
      <c r="T676" s="170"/>
      <c r="U676" s="170">
        <f t="shared" ref="U676" si="3730">M676-T676</f>
        <v>89379.960000000021</v>
      </c>
      <c r="V676" s="180">
        <f>STDEV(D$2:D676)*SQRT(252)</f>
        <v>0.14080295835010456</v>
      </c>
      <c r="W676" s="180">
        <f>STDEV(L$2:L676)*SQRT(252)</f>
        <v>0.27059014708609302</v>
      </c>
      <c r="X676" s="171">
        <f t="shared" ref="X676" si="3731">E676/(A676/365.25)/V676</f>
        <v>0.73346619555718418</v>
      </c>
      <c r="Y676" s="171">
        <f t="shared" ref="Y676" si="3732">O676/W676</f>
        <v>0.38520919785221641</v>
      </c>
      <c r="Z676" s="785">
        <f t="shared" ref="Z676" si="3733">-(E676-N676)</f>
        <v>2.742849740301867E-3</v>
      </c>
    </row>
  </sheetData>
  <conditionalFormatting sqref="L677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76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76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76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296.04000000000002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296.04000000000002</v>
      </c>
      <c r="R4" s="490">
        <v>-4.4000000000000003E-3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9" t="s">
        <v>78</v>
      </c>
      <c r="P42" s="849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325.64400000000006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322.68360000000007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319.72320000000002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316.76280000000003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313.80240000000003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310.84200000000004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307.88160000000005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304.92120000000006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301.96080000000001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299.00040000000001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296.04000000000002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293.07960000000003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290.11920000000003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287.15879999999999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284.19839999999999</v>
      </c>
      <c r="U57" s="470"/>
    </row>
    <row r="58" spans="1:21" x14ac:dyDescent="0.25">
      <c r="O58" s="81">
        <v>0.95</v>
      </c>
      <c r="P58" s="81">
        <f t="shared" si="3"/>
        <v>281.238</v>
      </c>
      <c r="U58" s="470"/>
    </row>
    <row r="59" spans="1:21" x14ac:dyDescent="0.25">
      <c r="O59" s="81">
        <v>0.94</v>
      </c>
      <c r="P59" s="81">
        <f t="shared" si="3"/>
        <v>278.27760000000001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275.31720000000001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272.35680000000002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269.39640000000003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266.43600000000004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20" priority="58">
      <formula>F19&gt;0</formula>
    </cfRule>
    <cfRule type="expression" dxfId="251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18" priority="47">
      <formula>H25&gt;0</formula>
    </cfRule>
    <cfRule type="expression" dxfId="2517" priority="48">
      <formula>H25&lt;0</formula>
    </cfRule>
  </conditionalFormatting>
  <conditionalFormatting sqref="M39">
    <cfRule type="expression" dxfId="2516" priority="45">
      <formula>M39&gt;0</formula>
    </cfRule>
    <cfRule type="expression" dxfId="2515" priority="46">
      <formula>M39&lt;0</formula>
    </cfRule>
  </conditionalFormatting>
  <conditionalFormatting sqref="F61:F67">
    <cfRule type="expression" dxfId="2514" priority="43">
      <formula>F61&gt;0</formula>
    </cfRule>
    <cfRule type="expression" dxfId="2513" priority="44">
      <formula>F61&lt;0</formula>
    </cfRule>
  </conditionalFormatting>
  <conditionalFormatting sqref="H61:H67">
    <cfRule type="expression" dxfId="2512" priority="41">
      <formula>H61&gt;0</formula>
    </cfRule>
    <cfRule type="expression" dxfId="2511" priority="42">
      <formula>H61&lt;0</formula>
    </cfRule>
  </conditionalFormatting>
  <conditionalFormatting sqref="F21:F24">
    <cfRule type="expression" dxfId="2510" priority="39">
      <formula>F21&gt;0</formula>
    </cfRule>
    <cfRule type="expression" dxfId="2509" priority="40">
      <formula>F21&lt;0</formula>
    </cfRule>
  </conditionalFormatting>
  <conditionalFormatting sqref="H21:H24">
    <cfRule type="expression" dxfId="2508" priority="37">
      <formula>H21&gt;0</formula>
    </cfRule>
    <cfRule type="expression" dxfId="2507" priority="38">
      <formula>H21&lt;0</formula>
    </cfRule>
  </conditionalFormatting>
  <conditionalFormatting sqref="I25:I28">
    <cfRule type="expression" dxfId="2506" priority="31">
      <formula>I25&gt;0</formula>
    </cfRule>
    <cfRule type="expression" dxfId="2505" priority="32">
      <formula>I25&lt;0</formula>
    </cfRule>
  </conditionalFormatting>
  <conditionalFormatting sqref="I21:I24">
    <cfRule type="expression" dxfId="2504" priority="29">
      <formula>I21&gt;0</formula>
    </cfRule>
    <cfRule type="expression" dxfId="2503" priority="30">
      <formula>I21&lt;0</formula>
    </cfRule>
  </conditionalFormatting>
  <conditionalFormatting sqref="H29">
    <cfRule type="expression" dxfId="2502" priority="27">
      <formula>H29&gt;0</formula>
    </cfRule>
    <cfRule type="expression" dxfId="2501" priority="28">
      <formula>H29&lt;0</formula>
    </cfRule>
  </conditionalFormatting>
  <conditionalFormatting sqref="H30">
    <cfRule type="expression" dxfId="2500" priority="25">
      <formula>H30&gt;0</formula>
    </cfRule>
    <cfRule type="expression" dxfId="2499" priority="26">
      <formula>H30&lt;0</formula>
    </cfRule>
  </conditionalFormatting>
  <conditionalFormatting sqref="H31">
    <cfRule type="expression" dxfId="2498" priority="23">
      <formula>H31&gt;0</formula>
    </cfRule>
    <cfRule type="expression" dxfId="2497" priority="24">
      <formula>H31&lt;0</formula>
    </cfRule>
  </conditionalFormatting>
  <conditionalFormatting sqref="Q7">
    <cfRule type="expression" dxfId="2496" priority="21">
      <formula>Q7&gt;0</formula>
    </cfRule>
    <cfRule type="expression" dxfId="2495" priority="22">
      <formula>Q7&lt;0</formula>
    </cfRule>
  </conditionalFormatting>
  <conditionalFormatting sqref="Q8">
    <cfRule type="expression" dxfId="2494" priority="19">
      <formula>Q8&gt;0</formula>
    </cfRule>
    <cfRule type="expression" dxfId="2493" priority="20">
      <formula>Q8&lt;0</formula>
    </cfRule>
  </conditionalFormatting>
  <conditionalFormatting sqref="F73:F82">
    <cfRule type="expression" dxfId="2492" priority="17">
      <formula>F73&gt;0</formula>
    </cfRule>
    <cfRule type="expression" dxfId="2491" priority="18">
      <formula>F73&lt;0</formula>
    </cfRule>
  </conditionalFormatting>
  <conditionalFormatting sqref="H73:H76">
    <cfRule type="expression" dxfId="2490" priority="15">
      <formula>H73&gt;0</formula>
    </cfRule>
    <cfRule type="expression" dxfId="2489" priority="16">
      <formula>H73&lt;0</formula>
    </cfRule>
  </conditionalFormatting>
  <conditionalFormatting sqref="F69:F72">
    <cfRule type="expression" dxfId="2488" priority="13">
      <formula>F69&gt;0</formula>
    </cfRule>
    <cfRule type="expression" dxfId="2487" priority="14">
      <formula>F69&lt;0</formula>
    </cfRule>
  </conditionalFormatting>
  <conditionalFormatting sqref="H69:H72">
    <cfRule type="expression" dxfId="2486" priority="11">
      <formula>H69&gt;0</formula>
    </cfRule>
    <cfRule type="expression" dxfId="2485" priority="12">
      <formula>H69&lt;0</formula>
    </cfRule>
  </conditionalFormatting>
  <conditionalFormatting sqref="I73:I76">
    <cfRule type="expression" dxfId="2484" priority="9">
      <formula>I73&gt;0</formula>
    </cfRule>
    <cfRule type="expression" dxfId="2483" priority="10">
      <formula>I73&lt;0</formula>
    </cfRule>
  </conditionalFormatting>
  <conditionalFormatting sqref="I69:I72">
    <cfRule type="expression" dxfId="2482" priority="7">
      <formula>I69&gt;0</formula>
    </cfRule>
    <cfRule type="expression" dxfId="2481" priority="8">
      <formula>I69&lt;0</formula>
    </cfRule>
  </conditionalFormatting>
  <conditionalFormatting sqref="H77">
    <cfRule type="expression" dxfId="2480" priority="5">
      <formula>H77&gt;0</formula>
    </cfRule>
    <cfRule type="expression" dxfId="2479" priority="6">
      <formula>H77&lt;0</formula>
    </cfRule>
  </conditionalFormatting>
  <conditionalFormatting sqref="H78">
    <cfRule type="expression" dxfId="2478" priority="3">
      <formula>H78&gt;0</formula>
    </cfRule>
    <cfRule type="expression" dxfId="2477" priority="4">
      <formula>H78&lt;0</formula>
    </cfRule>
  </conditionalFormatting>
  <conditionalFormatting sqref="H79">
    <cfRule type="expression" dxfId="2476" priority="1">
      <formula>H79&gt;0</formula>
    </cfRule>
    <cfRule type="expression" dxfId="247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38.31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38.31</v>
      </c>
      <c r="R4" s="490">
        <v>-8.3000000000000001E-3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9" t="s">
        <v>78</v>
      </c>
      <c r="P42" s="8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42.141000000000005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41.757900000000006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41.374800000000008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40.991700000000002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40.608600000000003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40.225500000000004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39.842400000000005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39.459300000000006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39.0762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38.693100000000001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38.31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37.926900000000003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37.543800000000005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37.160699999999999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36.7776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36.394500000000001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36.011400000000002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35.628300000000003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35.245200000000004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34.862100000000005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34.479000000000006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74" priority="29">
      <formula>N19&gt;0</formula>
    </cfRule>
    <cfRule type="expression" dxfId="247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72" priority="23">
      <formula>F22&gt;0</formula>
    </cfRule>
    <cfRule type="expression" dxfId="2471" priority="24">
      <formula>F22&lt;0</formula>
    </cfRule>
  </conditionalFormatting>
  <conditionalFormatting sqref="H22:H31">
    <cfRule type="expression" dxfId="2470" priority="21">
      <formula>H22&gt;0</formula>
    </cfRule>
    <cfRule type="expression" dxfId="2469" priority="22">
      <formula>H22&lt;0</formula>
    </cfRule>
  </conditionalFormatting>
  <conditionalFormatting sqref="I21:J31">
    <cfRule type="expression" dxfId="2468" priority="19">
      <formula>I21&gt;0</formula>
    </cfRule>
    <cfRule type="expression" dxfId="2467" priority="20">
      <formula>I21&lt;0</formula>
    </cfRule>
  </conditionalFormatting>
  <conditionalFormatting sqref="Q8">
    <cfRule type="expression" dxfId="2466" priority="11">
      <formula>Q8&gt;0</formula>
    </cfRule>
    <cfRule type="expression" dxfId="2465" priority="12">
      <formula>Q8&lt;0</formula>
    </cfRule>
  </conditionalFormatting>
  <conditionalFormatting sqref="Q7">
    <cfRule type="expression" dxfId="2464" priority="13">
      <formula>Q7&gt;0</formula>
    </cfRule>
    <cfRule type="expression" dxfId="2463" priority="14">
      <formula>Q7&lt;0</formula>
    </cfRule>
  </conditionalFormatting>
  <conditionalFormatting sqref="F56:F66">
    <cfRule type="expression" dxfId="2462" priority="9">
      <formula>F56&gt;0</formula>
    </cfRule>
    <cfRule type="expression" dxfId="2461" priority="10">
      <formula>F56&lt;0</formula>
    </cfRule>
  </conditionalFormatting>
  <conditionalFormatting sqref="H56:H66">
    <cfRule type="expression" dxfId="2460" priority="7">
      <formula>H56&gt;0</formula>
    </cfRule>
    <cfRule type="expression" dxfId="2459" priority="8">
      <formula>H56&lt;0</formula>
    </cfRule>
  </conditionalFormatting>
  <conditionalFormatting sqref="I56:I66">
    <cfRule type="expression" dxfId="2458" priority="5">
      <formula>I56&gt;0</formula>
    </cfRule>
    <cfRule type="expression" dxfId="2457" priority="6">
      <formula>I56&lt;0</formula>
    </cfRule>
  </conditionalFormatting>
  <conditionalFormatting sqref="F21">
    <cfRule type="expression" dxfId="2456" priority="3">
      <formula>F21&gt;0</formula>
    </cfRule>
    <cfRule type="expression" dxfId="2455" priority="4">
      <formula>F21&lt;0</formula>
    </cfRule>
  </conditionalFormatting>
  <conditionalFormatting sqref="H21">
    <cfRule type="expression" dxfId="2454" priority="1">
      <formula>H21&gt;0</formula>
    </cfRule>
    <cfRule type="expression" dxfId="245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1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39.522599999999947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58.029899999999998</v>
      </c>
      <c r="R4" s="222">
        <v>1.6299999999999999E-2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2901.4949999999999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1976.1299999999974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2083.2349999999979</v>
      </c>
      <c r="R7">
        <v>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925.36500000000251</v>
      </c>
      <c r="T8" s="770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0.46827131818251011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72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2.5504093579344442E-2</v>
      </c>
      <c r="R11" s="33">
        <f>1.48/4</f>
        <v>0.37</v>
      </c>
      <c r="U11" t="s">
        <v>982</v>
      </c>
    </row>
    <row r="12" spans="1:31" x14ac:dyDescent="0.25">
      <c r="B12" s="72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14.507474999999999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1100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1123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1127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600</v>
      </c>
      <c r="I22" s="14"/>
      <c r="J22" s="14"/>
      <c r="K22" s="14">
        <f>SUM(K2:K14)</f>
        <v>31932.370000000003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600</v>
      </c>
      <c r="D23" s="343"/>
      <c r="E23" s="343"/>
      <c r="F23" s="344">
        <f>SumByColor($A$23,F2:F21)</f>
        <v>30859</v>
      </c>
      <c r="G23" s="343"/>
      <c r="H23" s="343">
        <f>SumByColor($A$23,H2:H21)</f>
        <v>600</v>
      </c>
      <c r="I23" s="343"/>
      <c r="J23" s="343"/>
      <c r="K23" s="344">
        <f>SumByColor($A$23,K2:K21)</f>
        <v>31933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63.832890000000006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63.252591000000002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62.672291999999999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62.091993000000002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61.511693999999999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60.931395000000002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60.351095999999998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59.770797000000002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59.190497999999998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58.610199000000001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58.029899999999998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57.449600999999994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56.869301999999998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56.289002999999994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55.708703999999997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55.128404999999994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54.548105999999997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53.967807000000001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53.387507999999997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52.807209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52.226909999999997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52" priority="64">
      <formula>N23&gt;0</formula>
    </cfRule>
    <cfRule type="expression" dxfId="245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50" priority="58">
      <formula>F79&gt;0</formula>
    </cfRule>
    <cfRule type="expression" dxfId="2449" priority="59">
      <formula>F79&lt;0</formula>
    </cfRule>
  </conditionalFormatting>
  <conditionalFormatting sqref="H79:H97 H101:H118">
    <cfRule type="expression" dxfId="2448" priority="56">
      <formula>H79&gt;0</formula>
    </cfRule>
    <cfRule type="expression" dxfId="2447" priority="57">
      <formula>H79&lt;0</formula>
    </cfRule>
  </conditionalFormatting>
  <conditionalFormatting sqref="I75:I97 I100:I118">
    <cfRule type="expression" dxfId="2446" priority="54">
      <formula>I75&gt;0</formula>
    </cfRule>
    <cfRule type="expression" dxfId="2445" priority="55">
      <formula>I75&lt;0</formula>
    </cfRule>
  </conditionalFormatting>
  <conditionalFormatting sqref="Q7">
    <cfRule type="expression" dxfId="2444" priority="52">
      <formula>Q7&gt;0</formula>
    </cfRule>
    <cfRule type="expression" dxfId="2443" priority="53">
      <formula>Q7&lt;0</formula>
    </cfRule>
  </conditionalFormatting>
  <conditionalFormatting sqref="Q8">
    <cfRule type="expression" dxfId="2442" priority="50">
      <formula>Q8&gt;0</formula>
    </cfRule>
    <cfRule type="expression" dxfId="2441" priority="51">
      <formula>Q8&lt;0</formula>
    </cfRule>
  </conditionalFormatting>
  <conditionalFormatting sqref="F75:F78">
    <cfRule type="expression" dxfId="2440" priority="48">
      <formula>F75&gt;0</formula>
    </cfRule>
    <cfRule type="expression" dxfId="2439" priority="49">
      <formula>F75&lt;0</formula>
    </cfRule>
  </conditionalFormatting>
  <conditionalFormatting sqref="H75:H78">
    <cfRule type="expression" dxfId="2438" priority="46">
      <formula>H75&gt;0</formula>
    </cfRule>
    <cfRule type="expression" dxfId="2437" priority="47">
      <formula>H75&lt;0</formula>
    </cfRule>
  </conditionalFormatting>
  <conditionalFormatting sqref="F100:F114">
    <cfRule type="expression" dxfId="2436" priority="40">
      <formula>F100&gt;0</formula>
    </cfRule>
    <cfRule type="expression" dxfId="2435" priority="41">
      <formula>F100&lt;0</formula>
    </cfRule>
  </conditionalFormatting>
  <conditionalFormatting sqref="H100:H114">
    <cfRule type="expression" dxfId="2434" priority="38">
      <formula>H100&gt;0</formula>
    </cfRule>
    <cfRule type="expression" dxfId="2433" priority="39">
      <formula>H100&lt;0</formula>
    </cfRule>
  </conditionalFormatting>
  <conditionalFormatting sqref="F29:F63">
    <cfRule type="expression" dxfId="2432" priority="36">
      <formula>F29&gt;0</formula>
    </cfRule>
    <cfRule type="expression" dxfId="2431" priority="37">
      <formula>F29&lt;0</formula>
    </cfRule>
  </conditionalFormatting>
  <conditionalFormatting sqref="H29:H63">
    <cfRule type="expression" dxfId="2430" priority="34">
      <formula>H29&gt;0</formula>
    </cfRule>
    <cfRule type="expression" dxfId="2429" priority="35">
      <formula>H29&lt;0</formula>
    </cfRule>
  </conditionalFormatting>
  <conditionalFormatting sqref="J38:J68">
    <cfRule type="expression" dxfId="2428" priority="32">
      <formula>J38&gt;0</formula>
    </cfRule>
    <cfRule type="expression" dxfId="2427" priority="33">
      <formula>J38&lt;0</formula>
    </cfRule>
  </conditionalFormatting>
  <conditionalFormatting sqref="J43">
    <cfRule type="expression" dxfId="2426" priority="30">
      <formula>J43&gt;0</formula>
    </cfRule>
    <cfRule type="expression" dxfId="2425" priority="31">
      <formula>J43&lt;0</formula>
    </cfRule>
  </conditionalFormatting>
  <conditionalFormatting sqref="Q9">
    <cfRule type="expression" dxfId="2424" priority="24">
      <formula>Q9&gt;0</formula>
    </cfRule>
    <cfRule type="expression" dxfId="2423" priority="25">
      <formula>Q9&lt;0</formula>
    </cfRule>
  </conditionalFormatting>
  <conditionalFormatting sqref="R4">
    <cfRule type="expression" dxfId="2422" priority="26">
      <formula>R4&gt;0</formula>
    </cfRule>
    <cfRule type="expression" dxfId="242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20" priority="21">
      <formula>F120&gt;0</formula>
    </cfRule>
    <cfRule type="expression" dxfId="2419" priority="22">
      <formula>F120&lt;0</formula>
    </cfRule>
  </conditionalFormatting>
  <conditionalFormatting sqref="H120:H160">
    <cfRule type="expression" dxfId="2418" priority="19">
      <formula>H120&gt;0</formula>
    </cfRule>
    <cfRule type="expression" dxfId="2417" priority="20">
      <formula>H120&lt;0</formula>
    </cfRule>
  </conditionalFormatting>
  <conditionalFormatting sqref="J129:J160">
    <cfRule type="expression" dxfId="2416" priority="17">
      <formula>J129&gt;0</formula>
    </cfRule>
    <cfRule type="expression" dxfId="2415" priority="18">
      <formula>J129&lt;0</formula>
    </cfRule>
  </conditionalFormatting>
  <conditionalFormatting sqref="J134">
    <cfRule type="expression" dxfId="2414" priority="15">
      <formula>J134&gt;0</formula>
    </cfRule>
    <cfRule type="expression" dxfId="2413" priority="16">
      <formula>J134&lt;0</formula>
    </cfRule>
  </conditionalFormatting>
  <conditionalFormatting sqref="J31:J40">
    <cfRule type="expression" dxfId="2412" priority="13">
      <formula>J31&gt;0</formula>
    </cfRule>
    <cfRule type="expression" dxfId="2411" priority="14">
      <formula>J31&lt;0</formula>
    </cfRule>
  </conditionalFormatting>
  <conditionalFormatting sqref="J36:J37">
    <cfRule type="expression" dxfId="2410" priority="11">
      <formula>J36&gt;0</formula>
    </cfRule>
    <cfRule type="expression" dxfId="2409" priority="12">
      <formula>J36&lt;0</formula>
    </cfRule>
  </conditionalFormatting>
  <conditionalFormatting sqref="Q10">
    <cfRule type="expression" dxfId="2408" priority="9">
      <formula>Q10&gt;0</formula>
    </cfRule>
    <cfRule type="expression" dxfId="2407" priority="10">
      <formula>Q10&lt;0</formula>
    </cfRule>
  </conditionalFormatting>
  <conditionalFormatting sqref="K38:K55 K57:K68">
    <cfRule type="expression" dxfId="2406" priority="7">
      <formula>K38&gt;0</formula>
    </cfRule>
    <cfRule type="expression" dxfId="2405" priority="8">
      <formula>K38&lt;0</formula>
    </cfRule>
  </conditionalFormatting>
  <conditionalFormatting sqref="K43">
    <cfRule type="expression" dxfId="2404" priority="5">
      <formula>K43&gt;0</formula>
    </cfRule>
    <cfRule type="expression" dxfId="2403" priority="6">
      <formula>K43&lt;0</formula>
    </cfRule>
  </conditionalFormatting>
  <conditionalFormatting sqref="K31:K40">
    <cfRule type="expression" dxfId="2402" priority="3">
      <formula>K31&gt;0</formula>
    </cfRule>
    <cfRule type="expression" dxfId="2401" priority="4">
      <formula>K31&lt;0</formula>
    </cfRule>
  </conditionalFormatting>
  <conditionalFormatting sqref="K36:K37">
    <cfRule type="expression" dxfId="2400" priority="1">
      <formula>K36&gt;0</formula>
    </cfRule>
    <cfRule type="expression" dxfId="239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184.92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184.92</v>
      </c>
      <c r="R4" s="490">
        <v>-2.8999999999999998E-3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9" t="s">
        <v>78</v>
      </c>
      <c r="P42" s="849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203.41200000000001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201.56280000000001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199.71360000000001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197.86439999999999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196.01519999999999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194.166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192.3168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190.4676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188.61839999999998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186.76919999999998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184.92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183.07079999999999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181.2216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179.37239999999997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177.52319999999997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175.67399999999998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173.82479999999998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171.97559999999999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170.12639999999999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168.27719999999999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166.428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98" priority="35">
      <formula>N19&gt;0</formula>
    </cfRule>
    <cfRule type="expression" dxfId="239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96" priority="21">
      <formula>F25&gt;0</formula>
    </cfRule>
    <cfRule type="expression" dxfId="2395" priority="22">
      <formula>F25&lt;0</formula>
    </cfRule>
  </conditionalFormatting>
  <conditionalFormatting sqref="H25:H47">
    <cfRule type="expression" dxfId="2394" priority="19">
      <formula>H25&gt;0</formula>
    </cfRule>
    <cfRule type="expression" dxfId="2393" priority="20">
      <formula>H25&lt;0</formula>
    </cfRule>
  </conditionalFormatting>
  <conditionalFormatting sqref="I25:I27">
    <cfRule type="expression" dxfId="2392" priority="15">
      <formula>I25&gt;0</formula>
    </cfRule>
    <cfRule type="expression" dxfId="2391" priority="16">
      <formula>I25&lt;0</formula>
    </cfRule>
  </conditionalFormatting>
  <conditionalFormatting sqref="Q7">
    <cfRule type="expression" dxfId="2390" priority="5">
      <formula>Q7&gt;0</formula>
    </cfRule>
    <cfRule type="expression" dxfId="2389" priority="6">
      <formula>Q7&lt;0</formula>
    </cfRule>
  </conditionalFormatting>
  <conditionalFormatting sqref="Q8">
    <cfRule type="expression" dxfId="2388" priority="3">
      <formula>Q8&gt;0</formula>
    </cfRule>
    <cfRule type="expression" dxfId="238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97.23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97.23</v>
      </c>
      <c r="R4" s="475">
        <v>6.1000000000000004E-3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106.95300000000002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105.98070000000001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105.00840000000001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104.0361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103.06380000000001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102.09150000000001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101.11920000000001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100.1469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99.174600000000012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98.202300000000008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97.23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96.2577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95.285399999999996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94.313100000000006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93.340800000000002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92.368499999999997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91.396199999999993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90.423900000000003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89.451600000000013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88.479300000000009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87.507000000000005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86" priority="9">
      <formula>F36&gt;0</formula>
    </cfRule>
    <cfRule type="expression" dxfId="2385" priority="10">
      <formula>F36&lt;0</formula>
    </cfRule>
  </conditionalFormatting>
  <conditionalFormatting sqref="F25:F35">
    <cfRule type="expression" dxfId="2384" priority="7">
      <formula>F25&gt;0</formula>
    </cfRule>
    <cfRule type="expression" dxfId="2383" priority="8">
      <formula>F25&lt;0</formula>
    </cfRule>
  </conditionalFormatting>
  <conditionalFormatting sqref="H25:H35">
    <cfRule type="expression" dxfId="2382" priority="5">
      <formula>H25&gt;0</formula>
    </cfRule>
    <cfRule type="expression" dxfId="2381" priority="6">
      <formula>H25&lt;0</formula>
    </cfRule>
  </conditionalFormatting>
  <conditionalFormatting sqref="Q7">
    <cfRule type="expression" dxfId="2380" priority="3">
      <formula>Q7&gt;0</formula>
    </cfRule>
    <cfRule type="expression" dxfId="2379" priority="4">
      <formula>Q7&lt;0</formula>
    </cfRule>
  </conditionalFormatting>
  <conditionalFormatting sqref="Q8">
    <cfRule type="expression" dxfId="2378" priority="1">
      <formula>Q8&gt;0</formula>
    </cfRule>
    <cfRule type="expression" dxfId="237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100.15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100.15</v>
      </c>
      <c r="R4" s="495">
        <v>1.49E-2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V9" s="134"/>
    </row>
    <row r="10" spans="1:22" x14ac:dyDescent="0.25">
      <c r="H10" s="70"/>
      <c r="O10" s="11" t="s">
        <v>208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697</v>
      </c>
      <c r="P20" s="7" t="s">
        <v>698</v>
      </c>
      <c r="Q20" s="7" t="s">
        <v>699</v>
      </c>
      <c r="R20" s="7"/>
      <c r="V20" s="134"/>
    </row>
    <row r="21" spans="1:22" x14ac:dyDescent="0.25">
      <c r="O21" s="7" t="s">
        <v>700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701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9" t="s">
        <v>78</v>
      </c>
      <c r="P40" s="849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110.16500000000002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109.16350000000001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108.16200000000002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107.16050000000001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106.15900000000001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105.15750000000001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104.15600000000001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103.15450000000001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102.15300000000001</v>
      </c>
      <c r="Q49" s="2"/>
      <c r="T49" s="91" t="s">
        <v>121</v>
      </c>
      <c r="U49" s="127" t="s">
        <v>505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101.15150000000001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100.15</v>
      </c>
      <c r="Q51" s="2"/>
      <c r="T51" s="91" t="s">
        <v>104</v>
      </c>
      <c r="U51" s="127" t="s">
        <v>570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99.148499999999999</v>
      </c>
      <c r="Q52" s="2"/>
      <c r="T52" s="91" t="s">
        <v>105</v>
      </c>
      <c r="U52" s="127" t="s">
        <v>310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98.147000000000006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97.145499999999998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96.144000000000005</v>
      </c>
      <c r="T55" s="91" t="s">
        <v>107</v>
      </c>
      <c r="U55" s="127" t="s">
        <v>571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95.142499999999998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94.141000000000005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93.139500000000012</v>
      </c>
      <c r="T58" s="91" t="s">
        <v>108</v>
      </c>
      <c r="U58" s="127" t="s">
        <v>537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92.138000000000005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91.136500000000012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90.135000000000005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76" priority="37">
      <formula>F25&gt;0</formula>
    </cfRule>
    <cfRule type="expression" dxfId="2375" priority="38">
      <formula>F25&lt;0</formula>
    </cfRule>
  </conditionalFormatting>
  <conditionalFormatting sqref="Q7">
    <cfRule type="expression" dxfId="2374" priority="35">
      <formula>Q7&gt;0</formula>
    </cfRule>
    <cfRule type="expression" dxfId="2373" priority="36">
      <formula>Q7&lt;0</formula>
    </cfRule>
  </conditionalFormatting>
  <conditionalFormatting sqref="Q8">
    <cfRule type="expression" dxfId="2372" priority="33">
      <formula>Q8&gt;0</formula>
    </cfRule>
    <cfRule type="expression" dxfId="2371" priority="34">
      <formula>Q8&lt;0</formula>
    </cfRule>
  </conditionalFormatting>
  <conditionalFormatting sqref="F44:F46">
    <cfRule type="expression" dxfId="2370" priority="31">
      <formula>F44&gt;0</formula>
    </cfRule>
    <cfRule type="expression" dxfId="2369" priority="32">
      <formula>F44&lt;0</formula>
    </cfRule>
  </conditionalFormatting>
  <conditionalFormatting sqref="H44:H46">
    <cfRule type="expression" dxfId="2368" priority="29">
      <formula>H44&gt;0</formula>
    </cfRule>
    <cfRule type="expression" dxfId="2367" priority="30">
      <formula>H44&lt;0</formula>
    </cfRule>
  </conditionalFormatting>
  <conditionalFormatting sqref="F89:F110">
    <cfRule type="expression" dxfId="2366" priority="27">
      <formula>F89&gt;0</formula>
    </cfRule>
    <cfRule type="expression" dxfId="2365" priority="28">
      <formula>F89&lt;0</formula>
    </cfRule>
  </conditionalFormatting>
  <conditionalFormatting sqref="H89:H110">
    <cfRule type="expression" dxfId="2364" priority="25">
      <formula>H89&gt;0</formula>
    </cfRule>
    <cfRule type="expression" dxfId="2363" priority="26">
      <formula>H89&lt;0</formula>
    </cfRule>
  </conditionalFormatting>
  <conditionalFormatting sqref="Q10">
    <cfRule type="expression" dxfId="2362" priority="23">
      <formula>Q10&gt;0</formula>
    </cfRule>
    <cfRule type="expression" dxfId="2361" priority="24">
      <formula>Q10&lt;0</formula>
    </cfRule>
  </conditionalFormatting>
  <conditionalFormatting sqref="J25:J38">
    <cfRule type="expression" dxfId="2360" priority="21">
      <formula>J25&gt;0</formula>
    </cfRule>
    <cfRule type="expression" dxfId="2359" priority="22">
      <formula>J25&lt;0</formula>
    </cfRule>
  </conditionalFormatting>
  <conditionalFormatting sqref="K25:K38">
    <cfRule type="expression" dxfId="2358" priority="19">
      <formula>K25&gt;0</formula>
    </cfRule>
    <cfRule type="expression" dxfId="2357" priority="20">
      <formula>K25&lt;0</formula>
    </cfRule>
  </conditionalFormatting>
  <conditionalFormatting sqref="L25:L38">
    <cfRule type="expression" dxfId="2356" priority="17">
      <formula>L25&gt;0</formula>
    </cfRule>
    <cfRule type="expression" dxfId="2355" priority="18">
      <formula>L25&lt;0</formula>
    </cfRule>
  </conditionalFormatting>
  <conditionalFormatting sqref="J40">
    <cfRule type="expression" dxfId="2354" priority="15">
      <formula>J40&gt;0</formula>
    </cfRule>
    <cfRule type="expression" dxfId="2353" priority="16">
      <formula>J40&lt;0</formula>
    </cfRule>
  </conditionalFormatting>
  <conditionalFormatting sqref="L39">
    <cfRule type="expression" dxfId="2352" priority="11">
      <formula>L39&gt;0</formula>
    </cfRule>
    <cfRule type="expression" dxfId="2351" priority="12">
      <formula>L39&lt;0</formula>
    </cfRule>
  </conditionalFormatting>
  <conditionalFormatting sqref="F39">
    <cfRule type="expression" dxfId="2350" priority="9">
      <formula>F39&gt;0</formula>
    </cfRule>
    <cfRule type="expression" dxfId="2349" priority="10">
      <formula>F39&lt;0</formula>
    </cfRule>
  </conditionalFormatting>
  <conditionalFormatting sqref="H39">
    <cfRule type="expression" dxfId="2348" priority="7">
      <formula>H39&gt;0</formula>
    </cfRule>
    <cfRule type="expression" dxfId="2347" priority="8">
      <formula>H39&lt;0</formula>
    </cfRule>
  </conditionalFormatting>
  <conditionalFormatting sqref="J41">
    <cfRule type="expression" dxfId="2346" priority="5">
      <formula>J41&gt;0</formula>
    </cfRule>
    <cfRule type="expression" dxfId="2345" priority="6">
      <formula>J41&lt;0</formula>
    </cfRule>
  </conditionalFormatting>
  <conditionalFormatting sqref="J43">
    <cfRule type="expression" dxfId="2344" priority="3">
      <formula>J43&gt;0</formula>
    </cfRule>
    <cfRule type="expression" dxfId="2343" priority="4">
      <formula>J43&lt;0</formula>
    </cfRule>
  </conditionalFormatting>
  <conditionalFormatting sqref="J44">
    <cfRule type="expression" dxfId="2342" priority="1">
      <formula>J44&gt;0</formula>
    </cfRule>
    <cfRule type="expression" dxfId="234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35.950000000000003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35.950000000000003</v>
      </c>
      <c r="R4" s="475">
        <v>-2.5000000000000001E-3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39.545000000000009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37.388000000000005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37.028500000000001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40" priority="31">
      <formula>F29&gt;0</formula>
    </cfRule>
    <cfRule type="expression" dxfId="2339" priority="32">
      <formula>F29&lt;0</formula>
    </cfRule>
  </conditionalFormatting>
  <conditionalFormatting sqref="F29 F31:F35">
    <cfRule type="expression" dxfId="2338" priority="33">
      <formula>F29&gt;0</formula>
    </cfRule>
    <cfRule type="expression" dxfId="2337" priority="34">
      <formula>F29&lt;0</formula>
    </cfRule>
  </conditionalFormatting>
  <conditionalFormatting sqref="H29 H31:H35">
    <cfRule type="expression" dxfId="2336" priority="29">
      <formula>H29&gt;0</formula>
    </cfRule>
    <cfRule type="expression" dxfId="2335" priority="30">
      <formula>H29&lt;0</formula>
    </cfRule>
  </conditionalFormatting>
  <conditionalFormatting sqref="F21:F28">
    <cfRule type="expression" dxfId="2334" priority="27">
      <formula>F21&gt;0</formula>
    </cfRule>
    <cfRule type="expression" dxfId="2333" priority="28">
      <formula>F21&lt;0</formula>
    </cfRule>
  </conditionalFormatting>
  <conditionalFormatting sqref="H21:H28">
    <cfRule type="expression" dxfId="2332" priority="25">
      <formula>H21&gt;0</formula>
    </cfRule>
    <cfRule type="expression" dxfId="2331" priority="26">
      <formula>H21&lt;0</formula>
    </cfRule>
  </conditionalFormatting>
  <conditionalFormatting sqref="Q8">
    <cfRule type="expression" dxfId="2330" priority="21">
      <formula>Q8&gt;0</formula>
    </cfRule>
    <cfRule type="expression" dxfId="2329" priority="22">
      <formula>Q8&lt;0</formula>
    </cfRule>
  </conditionalFormatting>
  <conditionalFormatting sqref="Q7">
    <cfRule type="expression" dxfId="2328" priority="23">
      <formula>Q7&gt;0</formula>
    </cfRule>
    <cfRule type="expression" dxfId="2327" priority="24">
      <formula>Q7&lt;0</formula>
    </cfRule>
  </conditionalFormatting>
  <conditionalFormatting sqref="F30">
    <cfRule type="expression" dxfId="2326" priority="19">
      <formula>F30&gt;0</formula>
    </cfRule>
    <cfRule type="expression" dxfId="2325" priority="20">
      <formula>F30&lt;0</formula>
    </cfRule>
  </conditionalFormatting>
  <conditionalFormatting sqref="H30">
    <cfRule type="expression" dxfId="2324" priority="17">
      <formula>H30&gt;0</formula>
    </cfRule>
    <cfRule type="expression" dxfId="2323" priority="18">
      <formula>H30&lt;0</formula>
    </cfRule>
  </conditionalFormatting>
  <conditionalFormatting sqref="F68 F70:F74">
    <cfRule type="expression" dxfId="2322" priority="13">
      <formula>F68&gt;0</formula>
    </cfRule>
    <cfRule type="expression" dxfId="2321" priority="14">
      <formula>F68&lt;0</formula>
    </cfRule>
  </conditionalFormatting>
  <conditionalFormatting sqref="F68 F70:F74">
    <cfRule type="expression" dxfId="2320" priority="15">
      <formula>F68&gt;0</formula>
    </cfRule>
    <cfRule type="expression" dxfId="2319" priority="16">
      <formula>F68&lt;0</formula>
    </cfRule>
  </conditionalFormatting>
  <conditionalFormatting sqref="H68 H70:H74">
    <cfRule type="expression" dxfId="2318" priority="11">
      <formula>H68&gt;0</formula>
    </cfRule>
    <cfRule type="expression" dxfId="2317" priority="12">
      <formula>H68&lt;0</formula>
    </cfRule>
  </conditionalFormatting>
  <conditionalFormatting sqref="F60:F67">
    <cfRule type="expression" dxfId="2316" priority="9">
      <formula>F60&gt;0</formula>
    </cfRule>
    <cfRule type="expression" dxfId="2315" priority="10">
      <formula>F60&lt;0</formula>
    </cfRule>
  </conditionalFormatting>
  <conditionalFormatting sqref="H60:H67">
    <cfRule type="expression" dxfId="2314" priority="7">
      <formula>H60&gt;0</formula>
    </cfRule>
    <cfRule type="expression" dxfId="2313" priority="8">
      <formula>H60&lt;0</formula>
    </cfRule>
  </conditionalFormatting>
  <conditionalFormatting sqref="F69">
    <cfRule type="expression" dxfId="2312" priority="5">
      <formula>F69&gt;0</formula>
    </cfRule>
    <cfRule type="expression" dxfId="2311" priority="6">
      <formula>F69&lt;0</formula>
    </cfRule>
  </conditionalFormatting>
  <conditionalFormatting sqref="H69">
    <cfRule type="expression" dxfId="2310" priority="3">
      <formula>H69&gt;0</formula>
    </cfRule>
    <cfRule type="expression" dxfId="2309" priority="4">
      <formula>H69&lt;0</formula>
    </cfRule>
  </conditionalFormatting>
  <conditionalFormatting sqref="Q10">
    <cfRule type="expression" dxfId="2308" priority="1">
      <formula>Q10&gt;0</formula>
    </cfRule>
    <cfRule type="expression" dxfId="230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48.61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48.61</v>
      </c>
      <c r="R4" s="475">
        <v>5.4000000000000003E-3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9" t="s">
        <v>78</v>
      </c>
      <c r="P40" s="8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53.471000000000004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52.984900000000003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52.498800000000003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52.012700000000002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51.526600000000002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51.040500000000002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50.554400000000001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50.068300000000001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49.5822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49.0961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48.61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48.123899999999999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47.637799999999999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47.151699999999998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46.665599999999998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46.179499999999997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45.693399999999997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45.207300000000004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44.721200000000003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44.235100000000003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43.749000000000002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06" priority="11">
      <formula>F33&gt;0</formula>
    </cfRule>
    <cfRule type="expression" dxfId="2305" priority="12">
      <formula>F33&lt;0</formula>
    </cfRule>
  </conditionalFormatting>
  <conditionalFormatting sqref="Q7">
    <cfRule type="expression" dxfId="2304" priority="9">
      <formula>Q7&gt;0</formula>
    </cfRule>
    <cfRule type="expression" dxfId="2303" priority="10">
      <formula>Q7&lt;0</formula>
    </cfRule>
  </conditionalFormatting>
  <conditionalFormatting sqref="Q8">
    <cfRule type="expression" dxfId="2302" priority="7">
      <formula>Q8&gt;0</formula>
    </cfRule>
    <cfRule type="expression" dxfId="2301" priority="8">
      <formula>Q8&lt;0</formula>
    </cfRule>
  </conditionalFormatting>
  <conditionalFormatting sqref="F25:F32">
    <cfRule type="expression" dxfId="2300" priority="5">
      <formula>F25&gt;0</formula>
    </cfRule>
    <cfRule type="expression" dxfId="2299" priority="6">
      <formula>F25&lt;0</formula>
    </cfRule>
  </conditionalFormatting>
  <conditionalFormatting sqref="H25:H32">
    <cfRule type="expression" dxfId="2298" priority="3">
      <formula>H25&gt;0</formula>
    </cfRule>
    <cfRule type="expression" dxfId="2297" priority="4">
      <formula>H25&lt;0</formula>
    </cfRule>
  </conditionalFormatting>
  <conditionalFormatting sqref="Q10">
    <cfRule type="expression" dxfId="2296" priority="1">
      <formula>Q10&gt;0</formula>
    </cfRule>
    <cfRule type="expression" dxfId="229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12.66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12.66</v>
      </c>
      <c r="R4" s="475">
        <v>-1.09E-2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39.5625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9" t="s">
        <v>78</v>
      </c>
      <c r="P15" s="849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14.558999999999999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14.432399999999999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14.3058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14.179200000000002</v>
      </c>
      <c r="X19" s="134"/>
    </row>
    <row r="20" spans="1:39" x14ac:dyDescent="0.25">
      <c r="O20" s="81">
        <v>1.1100000000000001</v>
      </c>
      <c r="P20" s="81">
        <f t="shared" si="5"/>
        <v>14.052600000000002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13.926000000000002</v>
      </c>
      <c r="X21" s="134"/>
    </row>
    <row r="22" spans="1:39" x14ac:dyDescent="0.25">
      <c r="O22" s="81">
        <v>1.0900000000000001</v>
      </c>
      <c r="P22" s="81">
        <f t="shared" si="5"/>
        <v>13.7994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13.672800000000001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13.546200000000001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13.419600000000001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13.293000000000001</v>
      </c>
      <c r="T26" s="1">
        <v>43237</v>
      </c>
      <c r="U26" t="s">
        <v>1092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13.166400000000001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13.0398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12.9132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12.7866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12.66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12.5334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12.4068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12.280200000000001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12.153599999999999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12.026999999999999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11.900399999999999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11.773800000000001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11.6472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11.5206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11.394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11.2674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11.1408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11.014200000000001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94" priority="75">
      <formula>F32&gt;0</formula>
    </cfRule>
    <cfRule type="expression" dxfId="2293" priority="76">
      <formula>F32&lt;0</formula>
    </cfRule>
  </conditionalFormatting>
  <conditionalFormatting sqref="Q7">
    <cfRule type="expression" dxfId="2292" priority="73">
      <formula>Q7&gt;0</formula>
    </cfRule>
    <cfRule type="expression" dxfId="2291" priority="74">
      <formula>Q7&lt;0</formula>
    </cfRule>
  </conditionalFormatting>
  <conditionalFormatting sqref="Q8">
    <cfRule type="expression" dxfId="2290" priority="71">
      <formula>Q8&gt;0</formula>
    </cfRule>
    <cfRule type="expression" dxfId="228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88" priority="63">
      <formula>M58&gt;0</formula>
    </cfRule>
    <cfRule type="expression" dxfId="2287" priority="64">
      <formula>M58&lt;0</formula>
    </cfRule>
  </conditionalFormatting>
  <conditionalFormatting sqref="Q10">
    <cfRule type="expression" dxfId="2286" priority="61">
      <formula>Q10&gt;0</formula>
    </cfRule>
    <cfRule type="expression" dxfId="2285" priority="62">
      <formula>Q10&lt;0</formula>
    </cfRule>
  </conditionalFormatting>
  <conditionalFormatting sqref="F29:F31">
    <cfRule type="expression" dxfId="2284" priority="59">
      <formula>F29&gt;0</formula>
    </cfRule>
    <cfRule type="expression" dxfId="2283" priority="60">
      <formula>F29&lt;0</formula>
    </cfRule>
  </conditionalFormatting>
  <conditionalFormatting sqref="H29:H31">
    <cfRule type="expression" dxfId="2282" priority="57">
      <formula>H29&gt;0</formula>
    </cfRule>
    <cfRule type="expression" dxfId="2281" priority="58">
      <formula>H29&lt;0</formula>
    </cfRule>
  </conditionalFormatting>
  <conditionalFormatting sqref="F83:F94">
    <cfRule type="expression" dxfId="2280" priority="55">
      <formula>F83&gt;0</formula>
    </cfRule>
    <cfRule type="expression" dxfId="2279" priority="56">
      <formula>F83&lt;0</formula>
    </cfRule>
  </conditionalFormatting>
  <conditionalFormatting sqref="H83:H94">
    <cfRule type="expression" dxfId="2278" priority="53">
      <formula>H83&gt;0</formula>
    </cfRule>
    <cfRule type="expression" dxfId="2277" priority="54">
      <formula>H83&lt;0</formula>
    </cfRule>
  </conditionalFormatting>
  <conditionalFormatting sqref="J41">
    <cfRule type="expression" dxfId="2276" priority="51">
      <formula>J41&gt;0</formula>
    </cfRule>
    <cfRule type="expression" dxfId="2275" priority="52">
      <formula>J41&lt;0</formula>
    </cfRule>
  </conditionalFormatting>
  <conditionalFormatting sqref="J39:J47">
    <cfRule type="expression" dxfId="2274" priority="49">
      <formula>J39&gt;0</formula>
    </cfRule>
    <cfRule type="expression" dxfId="2273" priority="50">
      <formula>J39&lt;0</formula>
    </cfRule>
  </conditionalFormatting>
  <conditionalFormatting sqref="F48:F51 H48:H51">
    <cfRule type="expression" dxfId="2272" priority="47">
      <formula>F48&gt;0</formula>
    </cfRule>
    <cfRule type="expression" dxfId="2271" priority="48">
      <formula>F48&lt;0</formula>
    </cfRule>
  </conditionalFormatting>
  <conditionalFormatting sqref="J48:J57">
    <cfRule type="expression" dxfId="2270" priority="45">
      <formula>J48&gt;0</formula>
    </cfRule>
    <cfRule type="expression" dxfId="2269" priority="46">
      <formula>J48&lt;0</formula>
    </cfRule>
  </conditionalFormatting>
  <conditionalFormatting sqref="K45:K52">
    <cfRule type="expression" dxfId="2268" priority="43">
      <formula>K45&gt;0</formula>
    </cfRule>
    <cfRule type="expression" dxfId="2267" priority="44">
      <formula>K45&lt;0</formula>
    </cfRule>
  </conditionalFormatting>
  <conditionalFormatting sqref="K45:K52">
    <cfRule type="expression" dxfId="2266" priority="41">
      <formula>K45&gt;0</formula>
    </cfRule>
    <cfRule type="expression" dxfId="2265" priority="42">
      <formula>K45&lt;0</formula>
    </cfRule>
  </conditionalFormatting>
  <conditionalFormatting sqref="F102:F118 H102:H118 H120:H128 F120:F128">
    <cfRule type="expression" dxfId="2264" priority="37">
      <formula>F102&gt;0</formula>
    </cfRule>
    <cfRule type="expression" dxfId="2263" priority="38">
      <formula>F102&lt;0</formula>
    </cfRule>
  </conditionalFormatting>
  <conditionalFormatting sqref="F96:F101">
    <cfRule type="expression" dxfId="2262" priority="35">
      <formula>F96&gt;0</formula>
    </cfRule>
    <cfRule type="expression" dxfId="2261" priority="36">
      <formula>F96&lt;0</formula>
    </cfRule>
  </conditionalFormatting>
  <conditionalFormatting sqref="H96:H101">
    <cfRule type="expression" dxfId="2260" priority="33">
      <formula>H96&gt;0</formula>
    </cfRule>
    <cfRule type="expression" dxfId="2259" priority="34">
      <formula>H96&lt;0</formula>
    </cfRule>
  </conditionalFormatting>
  <conditionalFormatting sqref="J112">
    <cfRule type="expression" dxfId="2258" priority="31">
      <formula>J112&gt;0</formula>
    </cfRule>
    <cfRule type="expression" dxfId="2257" priority="32">
      <formula>J112&lt;0</formula>
    </cfRule>
  </conditionalFormatting>
  <conditionalFormatting sqref="J110:J118 J120">
    <cfRule type="expression" dxfId="2256" priority="29">
      <formula>J110&gt;0</formula>
    </cfRule>
    <cfRule type="expression" dxfId="2255" priority="30">
      <formula>J110&lt;0</formula>
    </cfRule>
  </conditionalFormatting>
  <conditionalFormatting sqref="F119 H119">
    <cfRule type="expression" dxfId="2254" priority="27">
      <formula>F119&gt;0</formula>
    </cfRule>
    <cfRule type="expression" dxfId="2253" priority="28">
      <formula>F119&lt;0</formula>
    </cfRule>
  </conditionalFormatting>
  <conditionalFormatting sqref="J119">
    <cfRule type="expression" dxfId="2252" priority="25">
      <formula>J119&gt;0</formula>
    </cfRule>
    <cfRule type="expression" dxfId="2251" priority="26">
      <formula>J119&lt;0</formula>
    </cfRule>
  </conditionalFormatting>
  <conditionalFormatting sqref="K112:K123">
    <cfRule type="expression" dxfId="2250" priority="23">
      <formula>K112&gt;0</formula>
    </cfRule>
    <cfRule type="expression" dxfId="2249" priority="24">
      <formula>K112&lt;0</formula>
    </cfRule>
  </conditionalFormatting>
  <conditionalFormatting sqref="K110:K123">
    <cfRule type="expression" dxfId="2248" priority="21">
      <formula>K110&gt;0</formula>
    </cfRule>
    <cfRule type="expression" dxfId="2247" priority="22">
      <formula>K110&lt;0</formula>
    </cfRule>
  </conditionalFormatting>
  <conditionalFormatting sqref="J121">
    <cfRule type="expression" dxfId="2246" priority="19">
      <formula>J121&gt;0</formula>
    </cfRule>
    <cfRule type="expression" dxfId="2245" priority="20">
      <formula>J121&lt;0</formula>
    </cfRule>
  </conditionalFormatting>
  <conditionalFormatting sqref="F25:F28">
    <cfRule type="expression" dxfId="2244" priority="17">
      <formula>F25&gt;0</formula>
    </cfRule>
    <cfRule type="expression" dxfId="2243" priority="18">
      <formula>F25&lt;0</formula>
    </cfRule>
  </conditionalFormatting>
  <conditionalFormatting sqref="H25:H28">
    <cfRule type="expression" dxfId="2242" priority="15">
      <formula>H25&gt;0</formula>
    </cfRule>
    <cfRule type="expression" dxfId="2241" priority="16">
      <formula>H25&lt;0</formula>
    </cfRule>
  </conditionalFormatting>
  <conditionalFormatting sqref="J27:J29">
    <cfRule type="expression" dxfId="2240" priority="13">
      <formula>J27&gt;0</formula>
    </cfRule>
    <cfRule type="expression" dxfId="2239" priority="14">
      <formula>J27&lt;0</formula>
    </cfRule>
  </conditionalFormatting>
  <conditionalFormatting sqref="J30:J31">
    <cfRule type="expression" dxfId="2238" priority="11">
      <formula>J30&gt;0</formula>
    </cfRule>
    <cfRule type="expression" dxfId="2237" priority="12">
      <formula>J30&lt;0</formula>
    </cfRule>
  </conditionalFormatting>
  <conditionalFormatting sqref="J33">
    <cfRule type="expression" dxfId="2236" priority="9">
      <formula>J33&gt;0</formula>
    </cfRule>
    <cfRule type="expression" dxfId="2235" priority="10">
      <formula>J33&lt;0</formula>
    </cfRule>
  </conditionalFormatting>
  <conditionalFormatting sqref="J34">
    <cfRule type="expression" dxfId="2234" priority="7">
      <formula>J34&gt;0</formula>
    </cfRule>
    <cfRule type="expression" dxfId="2233" priority="8">
      <formula>J34&lt;0</formula>
    </cfRule>
  </conditionalFormatting>
  <conditionalFormatting sqref="J35:J43">
    <cfRule type="expression" dxfId="2232" priority="5">
      <formula>J35&gt;0</formula>
    </cfRule>
    <cfRule type="expression" dxfId="223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30" priority="1">
      <formula>Q9&gt;0</formula>
    </cfRule>
    <cfRule type="expression" dxfId="222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51.91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51.91</v>
      </c>
      <c r="R4" s="475">
        <v>-2.35E-2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49" t="s">
        <v>78</v>
      </c>
      <c r="P40" s="849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57.100999999999999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56.581899999999997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56.062800000000003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55.543700000000001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55.0246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54.505499999999998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53.986399999999996</v>
      </c>
      <c r="Q47" s="2"/>
    </row>
    <row r="48" spans="2:17" x14ac:dyDescent="0.25">
      <c r="O48" s="81">
        <v>1.03</v>
      </c>
      <c r="P48" s="81">
        <f t="shared" si="4"/>
        <v>53.467299999999994</v>
      </c>
      <c r="Q48" s="2"/>
    </row>
    <row r="49" spans="1:17" x14ac:dyDescent="0.25">
      <c r="O49" s="81">
        <v>1.02</v>
      </c>
      <c r="P49" s="81">
        <f t="shared" si="4"/>
        <v>52.9482</v>
      </c>
      <c r="Q49" s="2"/>
    </row>
    <row r="50" spans="1:17" x14ac:dyDescent="0.25">
      <c r="O50" s="81">
        <v>1.01</v>
      </c>
      <c r="P50" s="81">
        <f t="shared" si="4"/>
        <v>52.429099999999998</v>
      </c>
      <c r="Q50" s="2"/>
    </row>
    <row r="51" spans="1:17" x14ac:dyDescent="0.25">
      <c r="O51" s="81">
        <v>1</v>
      </c>
      <c r="P51" s="81">
        <f t="shared" si="4"/>
        <v>51.91</v>
      </c>
      <c r="Q51" s="2"/>
    </row>
    <row r="52" spans="1:17" x14ac:dyDescent="0.25">
      <c r="O52" s="81">
        <v>0.99</v>
      </c>
      <c r="P52" s="81">
        <f t="shared" si="4"/>
        <v>51.390899999999995</v>
      </c>
      <c r="Q52" s="2"/>
    </row>
    <row r="53" spans="1:17" x14ac:dyDescent="0.25">
      <c r="O53" s="81">
        <v>0.98</v>
      </c>
      <c r="P53" s="81">
        <f t="shared" si="4"/>
        <v>50.871799999999993</v>
      </c>
      <c r="Q53" s="2"/>
    </row>
    <row r="54" spans="1:17" x14ac:dyDescent="0.25">
      <c r="O54" s="81">
        <v>0.97</v>
      </c>
      <c r="P54" s="81">
        <f t="shared" si="4"/>
        <v>50.352699999999999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49.833599999999997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49.314499999999995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48.795399999999994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48.276299999999999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47.757199999999997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47.238099999999996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46.719000000000001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28" priority="15">
      <formula>F39&gt;0</formula>
    </cfRule>
    <cfRule type="expression" dxfId="2227" priority="16">
      <formula>F39&lt;0</formula>
    </cfRule>
  </conditionalFormatting>
  <conditionalFormatting sqref="Q7">
    <cfRule type="expression" dxfId="2226" priority="13">
      <formula>Q7&gt;0</formula>
    </cfRule>
    <cfRule type="expression" dxfId="2225" priority="14">
      <formula>Q7&lt;0</formula>
    </cfRule>
  </conditionalFormatting>
  <conditionalFormatting sqref="Q8">
    <cfRule type="expression" dxfId="2224" priority="11">
      <formula>Q8&gt;0</formula>
    </cfRule>
    <cfRule type="expression" dxfId="2223" priority="12">
      <formula>Q8&lt;0</formula>
    </cfRule>
  </conditionalFormatting>
  <conditionalFormatting sqref="F25:F38">
    <cfRule type="expression" dxfId="2222" priority="9">
      <formula>F25&gt;0</formula>
    </cfRule>
    <cfRule type="expression" dxfId="2221" priority="10">
      <formula>F25&lt;0</formula>
    </cfRule>
  </conditionalFormatting>
  <conditionalFormatting sqref="H25:H38">
    <cfRule type="expression" dxfId="2220" priority="7">
      <formula>H25&gt;0</formula>
    </cfRule>
    <cfRule type="expression" dxfId="2219" priority="8">
      <formula>H25&lt;0</formula>
    </cfRule>
  </conditionalFormatting>
  <conditionalFormatting sqref="M55">
    <cfRule type="expression" dxfId="2218" priority="3">
      <formula>M55&gt;0</formula>
    </cfRule>
    <cfRule type="expression" dxfId="2217" priority="4">
      <formula>M55&lt;0</formula>
    </cfRule>
  </conditionalFormatting>
  <conditionalFormatting sqref="Q10">
    <cfRule type="expression" dxfId="2216" priority="1">
      <formula>Q10&gt;0</formula>
    </cfRule>
    <cfRule type="expression" dxfId="221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39.909999999999997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39.909999999999997</v>
      </c>
      <c r="R4" s="475">
        <v>2.0500000000000001E-2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9" t="s">
        <v>78</v>
      </c>
      <c r="P40" s="8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43.900999999999996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43.501899999999999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43.102800000000002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42.703699999999998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42.304600000000001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41.905499999999996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41.506399999999999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41.107299999999995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40.708199999999998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40.309099999999994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39.909999999999997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39.510899999999999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39.111799999999995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38.712699999999998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38.313599999999994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37.914499999999997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37.515399999999993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37.116299999999995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36.717199999999998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36.318100000000001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35.918999999999997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14" priority="27">
      <formula>F27&gt;0</formula>
    </cfRule>
    <cfRule type="expression" dxfId="221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12" priority="15">
      <formula>Q8&gt;0</formula>
    </cfRule>
    <cfRule type="expression" dxfId="2211" priority="16">
      <formula>Q8&lt;0</formula>
    </cfRule>
  </conditionalFormatting>
  <conditionalFormatting sqref="Q7">
    <cfRule type="expression" dxfId="2210" priority="17">
      <formula>Q7&gt;0</formula>
    </cfRule>
    <cfRule type="expression" dxfId="2209" priority="18">
      <formula>Q7&lt;0</formula>
    </cfRule>
  </conditionalFormatting>
  <conditionalFormatting sqref="F37:F38">
    <cfRule type="expression" dxfId="2208" priority="13">
      <formula>F37&gt;0</formula>
    </cfRule>
    <cfRule type="expression" dxfId="2207" priority="14">
      <formula>F37&lt;0</formula>
    </cfRule>
  </conditionalFormatting>
  <conditionalFormatting sqref="H37:H38">
    <cfRule type="expression" dxfId="2206" priority="11">
      <formula>H37&gt;0</formula>
    </cfRule>
    <cfRule type="expression" dxfId="2205" priority="12">
      <formula>H37&lt;0</formula>
    </cfRule>
  </conditionalFormatting>
  <conditionalFormatting sqref="F23:F26 H23:H26">
    <cfRule type="expression" dxfId="2204" priority="9">
      <formula>F23&gt;0</formula>
    </cfRule>
    <cfRule type="expression" dxfId="2203" priority="10">
      <formula>F23&lt;0</formula>
    </cfRule>
  </conditionalFormatting>
  <conditionalFormatting sqref="Q10">
    <cfRule type="expression" dxfId="2202" priority="3">
      <formula>Q10&gt;0</formula>
    </cfRule>
    <cfRule type="expression" dxfId="2201" priority="4">
      <formula>Q10&lt;0</formula>
    </cfRule>
  </conditionalFormatting>
  <conditionalFormatting sqref="F22 H22">
    <cfRule type="expression" dxfId="2200" priority="1">
      <formula>F22&gt;0</formula>
    </cfRule>
    <cfRule type="expression" dxfId="2199" priority="2">
      <formula>F22&lt;0</formula>
    </cfRule>
  </conditionalFormatting>
  <conditionalFormatting sqref="M41">
    <cfRule type="expression" dxfId="2198" priority="5">
      <formula>M41&gt;0</formula>
    </cfRule>
    <cfRule type="expression" dxfId="219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55.14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55.14</v>
      </c>
      <c r="R4" s="475">
        <v>2.2200000000000001E-2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60.654000000000003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60.102600000000002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59.551200000000001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58.999800000000008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58.448400000000007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57.897000000000006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57.345600000000005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56.794200000000004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56.242800000000003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55.691400000000002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55.14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54.5886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54.037199999999999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53.485799999999998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52.934399999999997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52.382999999999996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51.831599999999995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51.280200000000001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50.7288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50.177400000000006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49.626000000000005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96" priority="29">
      <formula>F25&gt;0</formula>
    </cfRule>
    <cfRule type="expression" dxfId="2195" priority="30">
      <formula>F25&lt;0</formula>
    </cfRule>
  </conditionalFormatting>
  <conditionalFormatting sqref="Q7">
    <cfRule type="expression" dxfId="2194" priority="27">
      <formula>Q7&gt;0</formula>
    </cfRule>
    <cfRule type="expression" dxfId="2193" priority="28">
      <formula>Q7&lt;0</formula>
    </cfRule>
  </conditionalFormatting>
  <conditionalFormatting sqref="Q8">
    <cfRule type="expression" dxfId="2192" priority="25">
      <formula>Q8&gt;0</formula>
    </cfRule>
    <cfRule type="expression" dxfId="2191" priority="26">
      <formula>Q8&lt;0</formula>
    </cfRule>
  </conditionalFormatting>
  <conditionalFormatting sqref="Q10">
    <cfRule type="expression" dxfId="2190" priority="13">
      <formula>Q10&gt;0</formula>
    </cfRule>
    <cfRule type="expression" dxfId="2189" priority="14">
      <formula>Q10&lt;0</formula>
    </cfRule>
  </conditionalFormatting>
  <conditionalFormatting sqref="M46">
    <cfRule type="expression" dxfId="2188" priority="11">
      <formula>M46&gt;0</formula>
    </cfRule>
    <cfRule type="expression" dxfId="2187" priority="12">
      <formula>M46&lt;0</formula>
    </cfRule>
  </conditionalFormatting>
  <conditionalFormatting sqref="F80:F88 H80:H88">
    <cfRule type="expression" dxfId="2186" priority="9">
      <formula>F80&gt;0</formula>
    </cfRule>
    <cfRule type="expression" dxfId="2185" priority="10">
      <formula>F80&lt;0</formula>
    </cfRule>
  </conditionalFormatting>
  <conditionalFormatting sqref="F75:F79">
    <cfRule type="expression" dxfId="2184" priority="7">
      <formula>F75&gt;0</formula>
    </cfRule>
    <cfRule type="expression" dxfId="2183" priority="8">
      <formula>F75&lt;0</formula>
    </cfRule>
  </conditionalFormatting>
  <conditionalFormatting sqref="H75:H79">
    <cfRule type="expression" dxfId="2182" priority="5">
      <formula>H75&gt;0</formula>
    </cfRule>
    <cfRule type="expression" dxfId="2181" priority="6">
      <formula>H75&lt;0</formula>
    </cfRule>
  </conditionalFormatting>
  <conditionalFormatting sqref="F71:F74">
    <cfRule type="expression" dxfId="2180" priority="3">
      <formula>F71&gt;0</formula>
    </cfRule>
    <cfRule type="expression" dxfId="2179" priority="4">
      <formula>F71&lt;0</formula>
    </cfRule>
  </conditionalFormatting>
  <conditionalFormatting sqref="H71:H74">
    <cfRule type="expression" dxfId="2178" priority="1">
      <formula>H71&gt;0</formula>
    </cfRule>
    <cfRule type="expression" dxfId="217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33.39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33.39</v>
      </c>
      <c r="R4" s="495">
        <v>-1.04E-2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36.729000000000006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36.395100000000006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36.061199999999999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35.7273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35.3934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35.0595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34.7256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34.3917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34.0578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33.7239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33.39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33.056100000000001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32.722200000000001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32.388300000000001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32.054400000000001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31.720499999999998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31.386599999999998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31.052700000000002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30.718800000000002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30.384900000000002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30.051000000000002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76" priority="21">
      <formula>F47&gt;0</formula>
    </cfRule>
    <cfRule type="expression" dxfId="2175" priority="22">
      <formula>F47&lt;0</formula>
    </cfRule>
  </conditionalFormatting>
  <conditionalFormatting sqref="Q7">
    <cfRule type="expression" dxfId="2174" priority="19">
      <formula>Q7&gt;0</formula>
    </cfRule>
    <cfRule type="expression" dxfId="2173" priority="20">
      <formula>Q7&lt;0</formula>
    </cfRule>
  </conditionalFormatting>
  <conditionalFormatting sqref="Q8">
    <cfRule type="expression" dxfId="2172" priority="17">
      <formula>Q8&gt;0</formula>
    </cfRule>
    <cfRule type="expression" dxfId="2171" priority="18">
      <formula>Q8&lt;0</formula>
    </cfRule>
  </conditionalFormatting>
  <conditionalFormatting sqref="F25:F46">
    <cfRule type="expression" dxfId="2170" priority="15">
      <formula>F25&gt;0</formula>
    </cfRule>
    <cfRule type="expression" dxfId="2169" priority="16">
      <formula>F25&lt;0</formula>
    </cfRule>
  </conditionalFormatting>
  <conditionalFormatting sqref="H25:H46">
    <cfRule type="expression" dxfId="2168" priority="13">
      <formula>H25&gt;0</formula>
    </cfRule>
    <cfRule type="expression" dxfId="2167" priority="14">
      <formula>H25&lt;0</formula>
    </cfRule>
  </conditionalFormatting>
  <conditionalFormatting sqref="F89:F110">
    <cfRule type="expression" dxfId="2166" priority="11">
      <formula>F89&gt;0</formula>
    </cfRule>
    <cfRule type="expression" dxfId="2165" priority="12">
      <formula>F89&lt;0</formula>
    </cfRule>
  </conditionalFormatting>
  <conditionalFormatting sqref="H89:H110">
    <cfRule type="expression" dxfId="2164" priority="9">
      <formula>H89&gt;0</formula>
    </cfRule>
    <cfRule type="expression" dxfId="2163" priority="10">
      <formula>H89&lt;0</formula>
    </cfRule>
  </conditionalFormatting>
  <conditionalFormatting sqref="Q10">
    <cfRule type="expression" dxfId="2162" priority="7">
      <formula>Q10&gt;0</formula>
    </cfRule>
    <cfRule type="expression" dxfId="2161" priority="8">
      <formula>Q10&lt;0</formula>
    </cfRule>
  </conditionalFormatting>
  <conditionalFormatting sqref="J25:J38">
    <cfRule type="expression" dxfId="2160" priority="5">
      <formula>J25&gt;0</formula>
    </cfRule>
    <cfRule type="expression" dxfId="2159" priority="6">
      <formula>J25&lt;0</formula>
    </cfRule>
  </conditionalFormatting>
  <conditionalFormatting sqref="K25:K38">
    <cfRule type="expression" dxfId="2158" priority="3">
      <formula>K25&gt;0</formula>
    </cfRule>
    <cfRule type="expression" dxfId="2157" priority="4">
      <formula>K25&lt;0</formula>
    </cfRule>
  </conditionalFormatting>
  <conditionalFormatting sqref="L25:L38">
    <cfRule type="expression" dxfId="2156" priority="1">
      <formula>L25&gt;0</formula>
    </cfRule>
    <cfRule type="expression" dxfId="215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80.319999999999993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80.319999999999993</v>
      </c>
      <c r="R4" s="475">
        <v>-1.6799999999999999E-2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88.352000000000004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87.5488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86.745599999999996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85.942399999999992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85.139200000000002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84.335999999999999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83.532799999999995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82.729599999999991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81.926400000000001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81.123199999999997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80.319999999999993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79.516799999999989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78.713599999999985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77.910399999999996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77.107199999999992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76.303999999999988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75.500799999999984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74.697599999999994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73.89439999999999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73.091200000000001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72.287999999999997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54" priority="23">
      <formula>F34&gt;0</formula>
    </cfRule>
    <cfRule type="expression" dxfId="2153" priority="24">
      <formula>F34&lt;0</formula>
    </cfRule>
  </conditionalFormatting>
  <conditionalFormatting sqref="Q7">
    <cfRule type="expression" dxfId="2152" priority="21">
      <formula>Q7&gt;0</formula>
    </cfRule>
    <cfRule type="expression" dxfId="2151" priority="22">
      <formula>Q7&lt;0</formula>
    </cfRule>
  </conditionalFormatting>
  <conditionalFormatting sqref="Q8">
    <cfRule type="expression" dxfId="2150" priority="19">
      <formula>Q8&gt;0</formula>
    </cfRule>
    <cfRule type="expression" dxfId="2149" priority="20">
      <formula>Q8&lt;0</formula>
    </cfRule>
  </conditionalFormatting>
  <conditionalFormatting sqref="F25:F33">
    <cfRule type="expression" dxfId="2148" priority="17">
      <formula>F25&gt;0</formula>
    </cfRule>
    <cfRule type="expression" dxfId="2147" priority="18">
      <formula>F25&lt;0</formula>
    </cfRule>
  </conditionalFormatting>
  <conditionalFormatting sqref="H25:H33">
    <cfRule type="expression" dxfId="2146" priority="15">
      <formula>H25&gt;0</formula>
    </cfRule>
    <cfRule type="expression" dxfId="2145" priority="16">
      <formula>H25&lt;0</formula>
    </cfRule>
  </conditionalFormatting>
  <conditionalFormatting sqref="M46">
    <cfRule type="expression" dxfId="2144" priority="13">
      <formula>M46&gt;0</formula>
    </cfRule>
    <cfRule type="expression" dxfId="2143" priority="14">
      <formula>M46&lt;0</formula>
    </cfRule>
  </conditionalFormatting>
  <conditionalFormatting sqref="F79:F87 H79:H87">
    <cfRule type="expression" dxfId="2142" priority="11">
      <formula>F79&gt;0</formula>
    </cfRule>
    <cfRule type="expression" dxfId="2141" priority="12">
      <formula>F79&lt;0</formula>
    </cfRule>
  </conditionalFormatting>
  <conditionalFormatting sqref="F70:F78">
    <cfRule type="expression" dxfId="2140" priority="9">
      <formula>F70&gt;0</formula>
    </cfRule>
    <cfRule type="expression" dxfId="2139" priority="10">
      <formula>F70&lt;0</formula>
    </cfRule>
  </conditionalFormatting>
  <conditionalFormatting sqref="H70:H78">
    <cfRule type="expression" dxfId="2138" priority="7">
      <formula>H70&gt;0</formula>
    </cfRule>
    <cfRule type="expression" dxfId="2137" priority="8">
      <formula>H70&lt;0</formula>
    </cfRule>
  </conditionalFormatting>
  <conditionalFormatting sqref="J27:K27 J30:K30 J33:K33 J36:K36 J39:K39 J42:K42">
    <cfRule type="expression" dxfId="2136" priority="5">
      <formula>J27&gt;0</formula>
    </cfRule>
    <cfRule type="expression" dxfId="2135" priority="6">
      <formula>J27&lt;0</formula>
    </cfRule>
  </conditionalFormatting>
  <conditionalFormatting sqref="J28:K29 J31:K32 J34:K35 J37:K38 J40:K41">
    <cfRule type="expression" dxfId="2134" priority="3">
      <formula>J28&gt;0</formula>
    </cfRule>
    <cfRule type="expression" dxfId="2133" priority="4">
      <formula>J28&lt;0</formula>
    </cfRule>
  </conditionalFormatting>
  <conditionalFormatting sqref="L27:L42">
    <cfRule type="expression" dxfId="2132" priority="1">
      <formula>L27&gt;0</formula>
    </cfRule>
    <cfRule type="expression" dxfId="213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35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17.04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17.04</v>
      </c>
      <c r="R4" s="475">
        <v>5.0000000000000001E-3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18.744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18.573599999999999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18.403200000000002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18.232800000000001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18.0624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17.891999999999999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17.721599999999999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17.551199999999998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17.380800000000001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17.2104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17.04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16.869599999999998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16.699199999999998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16.5288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16.3584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16.187999999999999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16.017599999999998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15.847200000000001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15.6768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15.506399999999999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15.336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30" priority="9">
      <formula>F57&gt;0</formula>
    </cfRule>
    <cfRule type="expression" dxfId="2129" priority="10">
      <formula>F57&lt;0</formula>
    </cfRule>
  </conditionalFormatting>
  <conditionalFormatting sqref="Q7">
    <cfRule type="expression" dxfId="2128" priority="7">
      <formula>Q7&gt;0</formula>
    </cfRule>
    <cfRule type="expression" dxfId="2127" priority="8">
      <formula>Q7&lt;0</formula>
    </cfRule>
  </conditionalFormatting>
  <conditionalFormatting sqref="Q8">
    <cfRule type="expression" dxfId="2126" priority="5">
      <formula>Q8&gt;0</formula>
    </cfRule>
    <cfRule type="expression" dxfId="2125" priority="6">
      <formula>Q8&lt;0</formula>
    </cfRule>
  </conditionalFormatting>
  <conditionalFormatting sqref="F25:F56">
    <cfRule type="expression" dxfId="2124" priority="3">
      <formula>F25&gt;0</formula>
    </cfRule>
    <cfRule type="expression" dxfId="2123" priority="4">
      <formula>F25&lt;0</formula>
    </cfRule>
  </conditionalFormatting>
  <conditionalFormatting sqref="H25:H56">
    <cfRule type="expression" dxfId="2122" priority="1">
      <formula>H25&gt;0</formula>
    </cfRule>
    <cfRule type="expression" dxfId="212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72.180000000000007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72.180000000000007</v>
      </c>
      <c r="R4" s="475">
        <v>1.5599999999999999E-2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79.39800000000001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78.676200000000009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77.954400000000007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77.232600000000005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76.510800000000017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75.789000000000016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75.067200000000014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74.345400000000012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73.62360000000001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72.901800000000009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72.180000000000007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71.458200000000005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70.736400000000003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70.014600000000002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69.2928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68.570999999999998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67.849199999999996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67.127400000000009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66.405600000000007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65.683800000000005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64.962000000000003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20" priority="15">
      <formula>F57&gt;0</formula>
    </cfRule>
    <cfRule type="expression" dxfId="2119" priority="16">
      <formula>F57&lt;0</formula>
    </cfRule>
  </conditionalFormatting>
  <conditionalFormatting sqref="Q7">
    <cfRule type="expression" dxfId="2118" priority="13">
      <formula>Q7&gt;0</formula>
    </cfRule>
    <cfRule type="expression" dxfId="2117" priority="14">
      <formula>Q7&lt;0</formula>
    </cfRule>
  </conditionalFormatting>
  <conditionalFormatting sqref="Q8">
    <cfRule type="expression" dxfId="2116" priority="11">
      <formula>Q8&gt;0</formula>
    </cfRule>
    <cfRule type="expression" dxfId="2115" priority="12">
      <formula>Q8&lt;0</formula>
    </cfRule>
  </conditionalFormatting>
  <conditionalFormatting sqref="F25:F56">
    <cfRule type="expression" dxfId="2114" priority="9">
      <formula>F25&gt;0</formula>
    </cfRule>
    <cfRule type="expression" dxfId="2113" priority="10">
      <formula>F25&lt;0</formula>
    </cfRule>
  </conditionalFormatting>
  <conditionalFormatting sqref="H25:H56">
    <cfRule type="expression" dxfId="2112" priority="7">
      <formula>H25&gt;0</formula>
    </cfRule>
    <cfRule type="expression" dxfId="2111" priority="8">
      <formula>H25&lt;0</formula>
    </cfRule>
  </conditionalFormatting>
  <conditionalFormatting sqref="M58">
    <cfRule type="expression" dxfId="2110" priority="5">
      <formula>M58&gt;0</formula>
    </cfRule>
    <cfRule type="expression" dxfId="2109" priority="6">
      <formula>M58&lt;0</formula>
    </cfRule>
  </conditionalFormatting>
  <conditionalFormatting sqref="F84:F115">
    <cfRule type="expression" dxfId="2108" priority="3">
      <formula>F84&gt;0</formula>
    </cfRule>
    <cfRule type="expression" dxfId="2107" priority="4">
      <formula>F84&lt;0</formula>
    </cfRule>
  </conditionalFormatting>
  <conditionalFormatting sqref="H84:H115">
    <cfRule type="expression" dxfId="2106" priority="1">
      <formula>H84&gt;0</formula>
    </cfRule>
    <cfRule type="expression" dxfId="210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243.63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243.63</v>
      </c>
      <c r="R4" s="495">
        <v>-2.0899999999999998E-2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267.99299999999999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265.55670000000003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263.12040000000002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260.6841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258.24779999999998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255.8115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253.37520000000001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250.93889999999999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248.5026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246.06629999999998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243.63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241.19370000000001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238.75739999999999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236.3211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233.88479999999998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231.4485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229.01219999999998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226.57590000000002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224.1396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221.70330000000001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219.267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04" priority="21">
      <formula>F47&gt;0</formula>
    </cfRule>
    <cfRule type="expression" dxfId="2103" priority="22">
      <formula>F47&lt;0</formula>
    </cfRule>
  </conditionalFormatting>
  <conditionalFormatting sqref="Q7">
    <cfRule type="expression" dxfId="2102" priority="19">
      <formula>Q7&gt;0</formula>
    </cfRule>
    <cfRule type="expression" dxfId="2101" priority="20">
      <formula>Q7&lt;0</formula>
    </cfRule>
  </conditionalFormatting>
  <conditionalFormatting sqref="Q8">
    <cfRule type="expression" dxfId="2100" priority="17">
      <formula>Q8&gt;0</formula>
    </cfRule>
    <cfRule type="expression" dxfId="2099" priority="18">
      <formula>Q8&lt;0</formula>
    </cfRule>
  </conditionalFormatting>
  <conditionalFormatting sqref="F25:F46">
    <cfRule type="expression" dxfId="2098" priority="15">
      <formula>F25&gt;0</formula>
    </cfRule>
    <cfRule type="expression" dxfId="2097" priority="16">
      <formula>F25&lt;0</formula>
    </cfRule>
  </conditionalFormatting>
  <conditionalFormatting sqref="H25:H46">
    <cfRule type="expression" dxfId="2096" priority="13">
      <formula>H25&gt;0</formula>
    </cfRule>
    <cfRule type="expression" dxfId="2095" priority="14">
      <formula>H25&lt;0</formula>
    </cfRule>
  </conditionalFormatting>
  <conditionalFormatting sqref="F89:F110">
    <cfRule type="expression" dxfId="2094" priority="11">
      <formula>F89&gt;0</formula>
    </cfRule>
    <cfRule type="expression" dxfId="2093" priority="12">
      <formula>F89&lt;0</formula>
    </cfRule>
  </conditionalFormatting>
  <conditionalFormatting sqref="H89:H110">
    <cfRule type="expression" dxfId="2092" priority="9">
      <formula>H89&gt;0</formula>
    </cfRule>
    <cfRule type="expression" dxfId="2091" priority="10">
      <formula>H89&lt;0</formula>
    </cfRule>
  </conditionalFormatting>
  <conditionalFormatting sqref="Q10">
    <cfRule type="expression" dxfId="2090" priority="7">
      <formula>Q10&gt;0</formula>
    </cfRule>
    <cfRule type="expression" dxfId="2089" priority="8">
      <formula>Q10&lt;0</formula>
    </cfRule>
  </conditionalFormatting>
  <conditionalFormatting sqref="J25:J38">
    <cfRule type="expression" dxfId="2088" priority="5">
      <formula>J25&gt;0</formula>
    </cfRule>
    <cfRule type="expression" dxfId="2087" priority="6">
      <formula>J25&lt;0</formula>
    </cfRule>
  </conditionalFormatting>
  <conditionalFormatting sqref="K25:K38">
    <cfRule type="expression" dxfId="2086" priority="3">
      <formula>K25&gt;0</formula>
    </cfRule>
    <cfRule type="expression" dxfId="2085" priority="4">
      <formula>K25&lt;0</formula>
    </cfRule>
  </conditionalFormatting>
  <conditionalFormatting sqref="L25:L38">
    <cfRule type="expression" dxfId="2084" priority="1">
      <formula>L25&gt;0</formula>
    </cfRule>
    <cfRule type="expression" dxfId="208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164" activePane="bottomLeft" state="frozen"/>
      <selection pane="bottomLeft" activeCell="M239" sqref="M239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4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2200</v>
      </c>
      <c r="U2" s="121">
        <v>42804</v>
      </c>
      <c r="V2" s="839" t="s">
        <v>677</v>
      </c>
      <c r="W2" s="839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6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9.2149318181817819</v>
      </c>
      <c r="U3" s="121">
        <v>42866</v>
      </c>
      <c r="V3" s="839" t="s">
        <v>678</v>
      </c>
      <c r="W3" s="839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20.729900000000001</v>
      </c>
      <c r="R4" s="475">
        <v>2.12E-2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45605.78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20272.849999999919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39948.501000001706</v>
      </c>
      <c r="R7">
        <v>1000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25332.93000000008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1.2495988477199891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9.6478998933907066E-3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1125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32.904603174603174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1113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5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5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5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5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5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5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9" t="s">
        <v>78</v>
      </c>
      <c r="P23" s="849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25.290478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25.083179000000001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24.875879999999999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24.668581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24.461282000000001</v>
      </c>
      <c r="U28" s="825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24.253982999999998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24.046683999999999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23.839385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23.632085999999997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23.424786999999998</v>
      </c>
      <c r="U33" s="121">
        <v>43238</v>
      </c>
      <c r="V33" s="748" t="s">
        <v>1094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23.217488000000003</v>
      </c>
      <c r="V34" s="737" t="s">
        <v>1095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23.010189000000004</v>
      </c>
      <c r="V35" s="737" t="s">
        <v>1096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22.802890000000001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22.595591000000002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22.388292000000003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22.180993000000001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21.973694000000002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21.766395000000003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21.559096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21.351797000000001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21.144498000000002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20.937199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20.729900000000001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20.522601000000002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20.315301999999999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20.108003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19.900704000000001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19.693404999999998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19.486105999999999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19.278807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19.071508000000001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18.864209000000002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18.65691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18.449611000000001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18.242312000000002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18.035012999999999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17.827714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17.620415000000001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5" si="5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  <c r="AA77" s="2"/>
      <c r="AD77" s="2"/>
      <c r="AG77" s="2"/>
      <c r="AI77" s="2"/>
    </row>
    <row r="78" spans="1:35" x14ac:dyDescent="0.25">
      <c r="B78" s="477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1:35" x14ac:dyDescent="0.25">
      <c r="B79" s="477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1:35" x14ac:dyDescent="0.25">
      <c r="A80" s="850" t="s">
        <v>1139</v>
      </c>
      <c r="B80" s="735">
        <v>43266</v>
      </c>
      <c r="C80" s="4">
        <v>200</v>
      </c>
      <c r="D80" s="78">
        <v>20.65</v>
      </c>
      <c r="E80" s="2">
        <v>0</v>
      </c>
      <c r="F80" s="2">
        <f t="shared" si="5"/>
        <v>4130</v>
      </c>
      <c r="G80" s="29"/>
      <c r="AA80" s="2"/>
      <c r="AD80" s="2"/>
      <c r="AG80" s="2"/>
      <c r="AI80" s="2"/>
    </row>
    <row r="81" spans="1:35" x14ac:dyDescent="0.25">
      <c r="A81" s="850"/>
      <c r="B81" s="735">
        <v>43266</v>
      </c>
      <c r="C81" s="4">
        <v>100</v>
      </c>
      <c r="D81" s="78">
        <v>20.350000000000001</v>
      </c>
      <c r="E81" s="2">
        <v>0</v>
      </c>
      <c r="F81" s="2">
        <f t="shared" si="5"/>
        <v>2035.0000000000002</v>
      </c>
      <c r="G81" s="29"/>
      <c r="AA81" s="2"/>
      <c r="AD81" s="2"/>
      <c r="AG81" s="2"/>
      <c r="AI81" s="2"/>
    </row>
    <row r="82" spans="1:35" x14ac:dyDescent="0.25">
      <c r="A82" s="850"/>
      <c r="B82" s="735">
        <v>43266</v>
      </c>
      <c r="C82" s="4">
        <v>500</v>
      </c>
      <c r="D82" s="231">
        <v>19.98</v>
      </c>
      <c r="E82" s="3">
        <v>-0.5</v>
      </c>
      <c r="F82" s="3">
        <f t="shared" si="5"/>
        <v>9989.5</v>
      </c>
      <c r="G82" s="29"/>
      <c r="AA82" s="2"/>
      <c r="AD82" s="2"/>
      <c r="AG82" s="2"/>
      <c r="AI82" s="2"/>
    </row>
    <row r="83" spans="1:35" x14ac:dyDescent="0.25">
      <c r="B83" s="735">
        <v>43272</v>
      </c>
      <c r="C83" s="4">
        <v>200</v>
      </c>
      <c r="D83" s="78">
        <v>20.05</v>
      </c>
      <c r="E83" s="2">
        <v>0</v>
      </c>
      <c r="F83" s="2">
        <f t="shared" si="5"/>
        <v>4010</v>
      </c>
      <c r="G83" s="29"/>
      <c r="AA83" s="2"/>
      <c r="AD83" s="2"/>
      <c r="AG83" s="2"/>
      <c r="AI83" s="2"/>
    </row>
    <row r="84" spans="1:35" x14ac:dyDescent="0.25">
      <c r="B84" s="735">
        <v>43276</v>
      </c>
      <c r="C84" s="4">
        <v>200</v>
      </c>
      <c r="D84" s="78">
        <v>20.48</v>
      </c>
      <c r="E84" s="2">
        <v>0</v>
      </c>
      <c r="F84" s="2">
        <f t="shared" si="5"/>
        <v>4096</v>
      </c>
      <c r="G84" s="29"/>
      <c r="AA84" s="2"/>
      <c r="AD84" s="2"/>
      <c r="AG84" s="2"/>
      <c r="AI84" s="2"/>
    </row>
    <row r="85" spans="1:35" x14ac:dyDescent="0.25">
      <c r="C85" s="4"/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25500</v>
      </c>
      <c r="D90" s="18"/>
      <c r="E90" s="18"/>
      <c r="F90" s="18">
        <f>SUM(F2:F89)</f>
        <v>405671.05</v>
      </c>
      <c r="G90" s="14"/>
      <c r="H90" s="71">
        <f>SUM(H2:H89)</f>
        <v>23300</v>
      </c>
      <c r="I90" s="79"/>
      <c r="J90" s="18"/>
      <c r="K90" s="18">
        <f>SUM(K2:K89)</f>
        <v>383684.95000000007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23300</v>
      </c>
      <c r="D91" s="343"/>
      <c r="E91" s="343"/>
      <c r="F91" s="344">
        <f>SumByColor($A$91, F2:F89)</f>
        <v>360831</v>
      </c>
      <c r="G91" s="343"/>
      <c r="H91" s="343">
        <f>SumByColor($A$91, H2:H89)</f>
        <v>23300</v>
      </c>
      <c r="I91" s="343"/>
      <c r="J91" s="344"/>
      <c r="K91" s="344">
        <f>SumByColor($A$91, K2:K89)</f>
        <v>383692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2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6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6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6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7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7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7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0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0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799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799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1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1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1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0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1">
        <v>5000</v>
      </c>
      <c r="D196" s="812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1">
        <v>5000</v>
      </c>
      <c r="D202" s="812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1">
        <v>5000</v>
      </c>
      <c r="D206" s="812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29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:F228" si="135">C225*(E225-D225)</f>
        <v>26040.769999999997</v>
      </c>
      <c r="G225" s="39">
        <f t="shared" ref="G225:G228" si="136">D225*C225</f>
        <v>10458.230000000001</v>
      </c>
      <c r="H225" s="222">
        <f t="shared" ref="H225:H228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A226">
        <v>700</v>
      </c>
      <c r="B226" s="150">
        <v>43266</v>
      </c>
      <c r="C226" s="10">
        <v>2000</v>
      </c>
      <c r="D226" s="233">
        <v>8.3116000000000003</v>
      </c>
      <c r="E226" s="39">
        <v>19.989999999999998</v>
      </c>
      <c r="F226" s="39">
        <f t="shared" si="135"/>
        <v>23356.799999999996</v>
      </c>
      <c r="G226" s="39">
        <f t="shared" si="136"/>
        <v>16623.2</v>
      </c>
      <c r="H226" s="222">
        <f t="shared" si="137"/>
        <v>1.4050724288945566</v>
      </c>
      <c r="I226" s="39"/>
      <c r="J226" s="39"/>
      <c r="K226" s="39">
        <v>37972</v>
      </c>
      <c r="L226" s="39">
        <v>64.3</v>
      </c>
    </row>
    <row r="227" spans="1:17" ht="15" customHeight="1" x14ac:dyDescent="0.25">
      <c r="A227">
        <v>700</v>
      </c>
      <c r="B227" s="150">
        <v>43266</v>
      </c>
      <c r="C227" s="10">
        <v>2500</v>
      </c>
      <c r="D227" s="233">
        <v>10.645</v>
      </c>
      <c r="E227" s="39">
        <v>19.989999999999998</v>
      </c>
      <c r="F227" s="39">
        <f t="shared" si="135"/>
        <v>23362.499999999996</v>
      </c>
      <c r="G227" s="39">
        <f t="shared" si="136"/>
        <v>26612.5</v>
      </c>
      <c r="H227" s="222">
        <f t="shared" si="137"/>
        <v>0.87787693752935647</v>
      </c>
      <c r="I227" s="39"/>
      <c r="J227" s="39"/>
      <c r="K227" s="39">
        <v>37978</v>
      </c>
      <c r="L227" s="39"/>
    </row>
    <row r="228" spans="1:17" ht="15" customHeight="1" x14ac:dyDescent="0.25">
      <c r="A228">
        <v>200</v>
      </c>
      <c r="B228" s="150">
        <v>43269</v>
      </c>
      <c r="C228" s="10">
        <v>2000</v>
      </c>
      <c r="D228" s="233">
        <v>8.1714000000000002</v>
      </c>
      <c r="E228" s="39">
        <v>20.32</v>
      </c>
      <c r="F228" s="39">
        <f t="shared" si="135"/>
        <v>24297.200000000001</v>
      </c>
      <c r="G228" s="39">
        <f t="shared" si="136"/>
        <v>16342.800000000001</v>
      </c>
      <c r="H228" s="222">
        <f t="shared" si="137"/>
        <v>1.48672198154539</v>
      </c>
      <c r="I228" s="39"/>
      <c r="J228" s="39"/>
      <c r="K228" s="39">
        <v>38913</v>
      </c>
      <c r="L228" s="39">
        <v>65.62</v>
      </c>
    </row>
    <row r="229" spans="1:17" x14ac:dyDescent="0.25">
      <c r="A229">
        <v>0</v>
      </c>
      <c r="B229" s="150">
        <v>43271</v>
      </c>
      <c r="C229" s="10">
        <v>1800</v>
      </c>
      <c r="D229" s="233">
        <v>6.7594000000000003</v>
      </c>
      <c r="E229" s="39">
        <v>21.06</v>
      </c>
      <c r="F229" s="39">
        <f t="shared" ref="F229:F231" si="138">C229*(E229-D229)</f>
        <v>25741.079999999998</v>
      </c>
      <c r="G229" s="39">
        <f t="shared" ref="G229:G231" si="139">D229*C229</f>
        <v>12166.92</v>
      </c>
      <c r="H229" s="222">
        <f t="shared" ref="H229:H231" si="140">(E229-D229)/D229</f>
        <v>2.1156611533568066</v>
      </c>
      <c r="I229" s="39"/>
      <c r="J229" s="39"/>
      <c r="K229" s="39">
        <v>40357</v>
      </c>
      <c r="L229" s="39">
        <v>65.91</v>
      </c>
      <c r="P229" s="1"/>
    </row>
    <row r="230" spans="1:17" x14ac:dyDescent="0.25">
      <c r="A230">
        <v>0</v>
      </c>
      <c r="B230" s="150">
        <v>43272</v>
      </c>
      <c r="C230" s="10">
        <v>2000</v>
      </c>
      <c r="D230" s="233">
        <v>8.0879999999999992</v>
      </c>
      <c r="E230" s="39">
        <v>19.920000000000002</v>
      </c>
      <c r="F230" s="39">
        <f t="shared" si="138"/>
        <v>23664.000000000004</v>
      </c>
      <c r="G230" s="39">
        <f t="shared" si="139"/>
        <v>16175.999999999998</v>
      </c>
      <c r="H230" s="222">
        <f t="shared" si="140"/>
        <v>1.4629080118694366</v>
      </c>
      <c r="I230" s="39"/>
      <c r="J230" s="39"/>
      <c r="K230" s="39">
        <v>38279</v>
      </c>
      <c r="L230" s="39">
        <v>69.28</v>
      </c>
      <c r="Q230" s="70"/>
    </row>
    <row r="231" spans="1:17" x14ac:dyDescent="0.25">
      <c r="A231">
        <v>1000</v>
      </c>
      <c r="B231" s="150">
        <v>43276</v>
      </c>
      <c r="C231" s="10">
        <v>2200</v>
      </c>
      <c r="D231" s="233">
        <v>9.2149999999999999</v>
      </c>
      <c r="E231" s="39">
        <v>20.3</v>
      </c>
      <c r="F231" s="39">
        <f t="shared" si="138"/>
        <v>24387.000000000004</v>
      </c>
      <c r="G231" s="39">
        <f t="shared" si="139"/>
        <v>20273</v>
      </c>
      <c r="H231" s="222">
        <f t="shared" si="140"/>
        <v>1.202930005425936</v>
      </c>
      <c r="I231" s="39"/>
      <c r="J231" s="39"/>
      <c r="K231" s="39">
        <v>39003</v>
      </c>
      <c r="L231" s="39">
        <v>70.53</v>
      </c>
      <c r="P231" s="1"/>
    </row>
    <row r="232" spans="1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1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1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1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1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41">IF(C239=0, 0,D239*C239)</f>
        <v>68120</v>
      </c>
      <c r="H239" s="365">
        <f t="shared" ref="H239:H245" si="142">IF(C239=0, D239, (E239-D239)/D239)</f>
        <v>-0.48091603053435117</v>
      </c>
      <c r="I239" s="363"/>
    </row>
    <row r="240" spans="1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41"/>
        <v>0</v>
      </c>
      <c r="H240" s="365" t="str">
        <f t="shared" si="142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41"/>
        <v>0</v>
      </c>
      <c r="H241" s="365" t="str">
        <f t="shared" si="142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41"/>
        <v>75600</v>
      </c>
      <c r="H242" s="365">
        <f t="shared" si="142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41"/>
        <v>0</v>
      </c>
      <c r="H243" s="365" t="str">
        <f t="shared" si="142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41"/>
        <v>82367.28</v>
      </c>
      <c r="H244" s="365">
        <f t="shared" si="142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41"/>
        <v>0</v>
      </c>
      <c r="H245" s="365" t="str">
        <f t="shared" si="142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43">C247*(E247-D247)</f>
        <v>-29017.579999999998</v>
      </c>
      <c r="G247" s="363">
        <f t="shared" ref="G247:G276" si="144">D247*C247</f>
        <v>91417.900000000009</v>
      </c>
      <c r="H247" s="364">
        <f t="shared" ref="H247:H276" si="145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43"/>
        <v>-31836.35999999999</v>
      </c>
      <c r="G248" s="363">
        <f t="shared" si="144"/>
        <v>101483.62</v>
      </c>
      <c r="H248" s="364">
        <f t="shared" si="145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43"/>
        <v>-34009.06</v>
      </c>
      <c r="G249" s="363">
        <f t="shared" si="144"/>
        <v>109418.42</v>
      </c>
      <c r="H249" s="364">
        <f t="shared" si="145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43"/>
        <v>-34008.920000000006</v>
      </c>
      <c r="G250" s="363">
        <f t="shared" si="144"/>
        <v>101358.28000000001</v>
      </c>
      <c r="H250" s="364">
        <f t="shared" si="145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43"/>
        <v>-39575.879999999997</v>
      </c>
      <c r="G251" s="363">
        <f t="shared" si="144"/>
        <v>108716.71999999999</v>
      </c>
      <c r="H251" s="364">
        <f t="shared" si="145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43"/>
        <v>-38892.919999999991</v>
      </c>
      <c r="G252" s="363">
        <f t="shared" si="144"/>
        <v>110180.68</v>
      </c>
      <c r="H252" s="364">
        <f t="shared" si="145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43"/>
        <v>-39649.22</v>
      </c>
      <c r="G253" s="363">
        <f t="shared" si="144"/>
        <v>101232.94</v>
      </c>
      <c r="H253" s="364">
        <f t="shared" si="145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43"/>
        <v>-41303.94</v>
      </c>
      <c r="G254" s="363">
        <f t="shared" si="144"/>
        <v>94046.46</v>
      </c>
      <c r="H254" s="364">
        <f t="shared" si="145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43"/>
        <v>-42699.159999999996</v>
      </c>
      <c r="G255" s="363">
        <f t="shared" si="144"/>
        <v>101024.04</v>
      </c>
      <c r="H255" s="364">
        <f t="shared" si="145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43"/>
        <v>-47715.600000000006</v>
      </c>
      <c r="G256" s="363">
        <f t="shared" si="144"/>
        <v>107500.44</v>
      </c>
      <c r="H256" s="364">
        <f t="shared" si="145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43"/>
        <v>-46809.119999999995</v>
      </c>
      <c r="G257" s="363">
        <f t="shared" si="144"/>
        <v>113864.21999999999</v>
      </c>
      <c r="H257" s="364">
        <f t="shared" si="145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43"/>
        <v>-47694.16</v>
      </c>
      <c r="G258" s="363">
        <f t="shared" si="144"/>
        <v>126525.44</v>
      </c>
      <c r="H258" s="364">
        <f t="shared" si="145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43"/>
        <v>-48128</v>
      </c>
      <c r="G259" s="363">
        <f t="shared" si="144"/>
        <v>129280</v>
      </c>
      <c r="H259" s="364">
        <f t="shared" si="145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43"/>
        <v>-48155.4</v>
      </c>
      <c r="G260" s="363">
        <f t="shared" si="144"/>
        <v>113708.88</v>
      </c>
      <c r="H260" s="364">
        <f t="shared" si="145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43"/>
        <v>-42239.579999999994</v>
      </c>
      <c r="G261" s="363">
        <f t="shared" si="144"/>
        <v>100564.46</v>
      </c>
      <c r="H261" s="364">
        <f t="shared" si="145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43"/>
        <v>-42072.46</v>
      </c>
      <c r="G262" s="363">
        <f t="shared" si="144"/>
        <v>100397.34000000001</v>
      </c>
      <c r="H262" s="364">
        <f t="shared" si="145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43"/>
        <v>-45543.96</v>
      </c>
      <c r="G263" s="363">
        <f t="shared" si="144"/>
        <v>132958.98000000001</v>
      </c>
      <c r="H263" s="364">
        <f t="shared" si="145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43"/>
        <v>-45906.62000000001</v>
      </c>
      <c r="G264" s="363">
        <f t="shared" si="144"/>
        <v>158980.96</v>
      </c>
      <c r="H264" s="364">
        <f t="shared" si="145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43"/>
        <v>-51777.299999999996</v>
      </c>
      <c r="G265" s="363">
        <f t="shared" si="144"/>
        <v>171590.94</v>
      </c>
      <c r="H265" s="365">
        <f t="shared" si="145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43"/>
        <v>-49664.193999999989</v>
      </c>
      <c r="G266" s="363">
        <f t="shared" si="144"/>
        <v>158920.21399999998</v>
      </c>
      <c r="H266" s="365">
        <f t="shared" si="145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43"/>
        <v>-47987.500000000015</v>
      </c>
      <c r="G267" s="363">
        <f t="shared" si="144"/>
        <v>145958.78</v>
      </c>
      <c r="H267" s="365">
        <f t="shared" si="145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43"/>
        <v>-47702.966000000015</v>
      </c>
      <c r="G268" s="363">
        <f t="shared" si="144"/>
        <v>158434.24600000001</v>
      </c>
      <c r="H268" s="365">
        <f t="shared" si="145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43"/>
        <v>-60971.399999999987</v>
      </c>
      <c r="G269" s="363">
        <f t="shared" si="144"/>
        <v>170139.24</v>
      </c>
      <c r="H269" s="365">
        <f t="shared" si="145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43"/>
        <v>-77656.859999999986</v>
      </c>
      <c r="G270" s="363">
        <f t="shared" si="144"/>
        <v>166354.54</v>
      </c>
      <c r="H270" s="365">
        <f t="shared" si="145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43"/>
        <v>-85359.959999999992</v>
      </c>
      <c r="G271" s="363">
        <f t="shared" si="144"/>
        <v>169945.68</v>
      </c>
      <c r="H271" s="365">
        <f t="shared" si="145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43"/>
        <v>-100883.47199999999</v>
      </c>
      <c r="G272" s="363">
        <f t="shared" si="144"/>
        <v>169887.61199999999</v>
      </c>
      <c r="H272" s="364">
        <f t="shared" si="145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43"/>
        <v>-97651.02</v>
      </c>
      <c r="G273" s="363">
        <f t="shared" si="144"/>
        <v>169848.9</v>
      </c>
      <c r="H273" s="364">
        <f t="shared" si="145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43"/>
        <v>-97231.731999999989</v>
      </c>
      <c r="G274" s="363">
        <f t="shared" si="144"/>
        <v>165974.95199999999</v>
      </c>
      <c r="H274" s="364">
        <f t="shared" si="145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43"/>
        <v>-97234.865999999995</v>
      </c>
      <c r="G275" s="363">
        <f t="shared" si="144"/>
        <v>169723.08599999998</v>
      </c>
      <c r="H275" s="364">
        <f t="shared" si="145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43"/>
        <v>-104373.632</v>
      </c>
      <c r="G276" s="363">
        <f t="shared" si="144"/>
        <v>197776.17199999999</v>
      </c>
      <c r="H276" s="364">
        <f t="shared" si="145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43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43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6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6"/>
        <v>-94166.28</v>
      </c>
      <c r="G280" s="363">
        <f t="shared" ref="G280:G287" si="147">IF(C280=0, 0,D280*C280)</f>
        <v>165387.56</v>
      </c>
      <c r="H280" s="364">
        <f t="shared" ref="H280:H287" si="148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6"/>
        <v>-91969.787999999986</v>
      </c>
      <c r="G281" s="363">
        <f t="shared" si="147"/>
        <v>157393.788</v>
      </c>
      <c r="H281" s="364">
        <f t="shared" si="148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6"/>
        <v>-91154.7</v>
      </c>
      <c r="G282" s="363">
        <f t="shared" si="147"/>
        <v>145246.5</v>
      </c>
      <c r="H282" s="364">
        <f t="shared" si="148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6"/>
        <v>-92238.461999999985</v>
      </c>
      <c r="G283" s="363">
        <f t="shared" si="147"/>
        <v>161141.78199999998</v>
      </c>
      <c r="H283" s="364">
        <f t="shared" si="148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6"/>
        <v>-89571.54800000001</v>
      </c>
      <c r="G284" s="363">
        <f t="shared" si="147"/>
        <v>152607.92800000001</v>
      </c>
      <c r="H284" s="364">
        <f t="shared" si="148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6"/>
        <v>-89550.534</v>
      </c>
      <c r="G285" s="363">
        <f t="shared" si="147"/>
        <v>169006.91400000002</v>
      </c>
      <c r="H285" s="364">
        <f t="shared" si="148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6"/>
        <v>-89678.238000000012</v>
      </c>
      <c r="G286" s="363">
        <f t="shared" si="147"/>
        <v>165029.61800000002</v>
      </c>
      <c r="H286" s="364">
        <f t="shared" si="148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6"/>
        <v>-89511.821999999986</v>
      </c>
      <c r="G287" s="363">
        <f t="shared" si="147"/>
        <v>168968.20199999999</v>
      </c>
      <c r="H287" s="364">
        <f t="shared" si="148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9">C288*(E288-D288)</f>
        <v>-89632.347999999984</v>
      </c>
      <c r="G288" s="363">
        <f t="shared" ref="G288:G299" si="150">IF(C288=0, 0,D288*C288)</f>
        <v>164983.728</v>
      </c>
      <c r="H288" s="364">
        <f t="shared" ref="H288:H339" si="151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9"/>
        <v>-93372.971999999994</v>
      </c>
      <c r="G289" s="363">
        <f t="shared" si="150"/>
        <v>172761.372</v>
      </c>
      <c r="H289" s="364">
        <f t="shared" si="151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9"/>
        <v>-91747.44</v>
      </c>
      <c r="G290" s="363">
        <f t="shared" si="150"/>
        <v>168784.32</v>
      </c>
      <c r="H290" s="364">
        <f t="shared" si="151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9"/>
        <v>-80757.467999999993</v>
      </c>
      <c r="G291" s="363">
        <f t="shared" si="150"/>
        <v>159727.26799999998</v>
      </c>
      <c r="H291" s="365">
        <f t="shared" si="151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9"/>
        <v>-72386.955999999976</v>
      </c>
      <c r="G292" s="363">
        <f t="shared" si="150"/>
        <v>164888.61599999998</v>
      </c>
      <c r="H292" s="365">
        <f t="shared" si="151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9"/>
        <v>-62830.615999999987</v>
      </c>
      <c r="G293" s="363">
        <f t="shared" si="150"/>
        <v>164888.61599999998</v>
      </c>
      <c r="H293" s="365">
        <f t="shared" si="151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9"/>
        <v>-66133.584000000003</v>
      </c>
      <c r="G294" s="363">
        <f t="shared" si="150"/>
        <v>164387.60399999999</v>
      </c>
      <c r="H294" s="365">
        <f t="shared" si="151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9"/>
        <v>-61160.576000000008</v>
      </c>
      <c r="G295" s="363">
        <f t="shared" si="150"/>
        <v>164331.93599999999</v>
      </c>
      <c r="H295" s="365">
        <f t="shared" si="151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9"/>
        <v>-58033.889999999992</v>
      </c>
      <c r="G296" s="363">
        <f t="shared" si="150"/>
        <v>164266.99</v>
      </c>
      <c r="H296" s="365">
        <f t="shared" si="151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9"/>
        <v>-56328.439999999988</v>
      </c>
      <c r="G297" s="363">
        <f t="shared" si="150"/>
        <v>148531.07999999999</v>
      </c>
      <c r="H297" s="365">
        <f t="shared" si="151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9"/>
        <v>-57894.720000000016</v>
      </c>
      <c r="G298" s="363">
        <f t="shared" si="150"/>
        <v>163942.26</v>
      </c>
      <c r="H298" s="364">
        <f t="shared" si="151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9"/>
        <v>-58904.104000000007</v>
      </c>
      <c r="G299" s="363">
        <f t="shared" si="150"/>
        <v>167796.78400000001</v>
      </c>
      <c r="H299" s="364">
        <f t="shared" si="151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52">C300*(E300-D300)</f>
        <v>-69928.587000000014</v>
      </c>
      <c r="G300" s="363">
        <f t="shared" ref="G300:G339" si="153">IF(C300=0, 0,D300*C300)</f>
        <v>206559.20699999999</v>
      </c>
      <c r="H300" s="364">
        <f t="shared" si="151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52"/>
        <v>-66302.234199999992</v>
      </c>
      <c r="G301" s="363">
        <f t="shared" si="153"/>
        <v>185059.5742</v>
      </c>
      <c r="H301" s="364">
        <f t="shared" si="151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52"/>
        <v>-59729.712599999977</v>
      </c>
      <c r="G302" s="363">
        <f t="shared" si="153"/>
        <v>167542.63259999998</v>
      </c>
      <c r="H302" s="364">
        <f t="shared" si="151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52"/>
        <v>-65233.308000000005</v>
      </c>
      <c r="G303" s="363">
        <f t="shared" si="153"/>
        <v>188202.64799999999</v>
      </c>
      <c r="H303" s="364">
        <f t="shared" si="151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52"/>
        <v>-64902.603600000009</v>
      </c>
      <c r="G304" s="363">
        <f t="shared" si="153"/>
        <v>167102.28360000002</v>
      </c>
      <c r="H304" s="364">
        <f t="shared" si="151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52"/>
        <v>-66452.265800000008</v>
      </c>
      <c r="G305" s="363">
        <f t="shared" si="153"/>
        <v>168143.46580000001</v>
      </c>
      <c r="H305" s="364">
        <f t="shared" si="151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52"/>
        <v>-64191.270599999982</v>
      </c>
      <c r="G306" s="363">
        <f t="shared" si="153"/>
        <v>167068.4106</v>
      </c>
      <c r="H306" s="364">
        <f t="shared" si="151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52"/>
        <v>-53072.044600000016</v>
      </c>
      <c r="G307" s="363">
        <f t="shared" si="153"/>
        <v>155298.88460000002</v>
      </c>
      <c r="H307" s="364">
        <f t="shared" si="151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52"/>
        <v>-54016.789200000007</v>
      </c>
      <c r="G308" s="363">
        <f t="shared" si="153"/>
        <v>166959.04920000001</v>
      </c>
      <c r="H308" s="364">
        <f t="shared" si="151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52"/>
        <v>-40694.080000000002</v>
      </c>
      <c r="G309" s="363">
        <f t="shared" si="153"/>
        <v>148852.48000000001</v>
      </c>
      <c r="H309" s="364">
        <f t="shared" si="151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52"/>
        <v>-41622.116400000006</v>
      </c>
      <c r="G310" s="363">
        <f t="shared" si="153"/>
        <v>161235.47640000001</v>
      </c>
      <c r="H310" s="364">
        <f t="shared" si="151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52"/>
        <v>-39713.673000000003</v>
      </c>
      <c r="G311" s="363">
        <f t="shared" si="153"/>
        <v>166592.253</v>
      </c>
      <c r="H311" s="364">
        <f t="shared" si="151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52"/>
        <v>-39679.2474</v>
      </c>
      <c r="G312" s="363">
        <f t="shared" si="153"/>
        <v>160002.82739999998</v>
      </c>
      <c r="H312" s="364">
        <f t="shared" si="151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52"/>
        <v>-40600.177800000019</v>
      </c>
      <c r="G313" s="363">
        <f t="shared" si="153"/>
        <v>166510.9578</v>
      </c>
      <c r="H313" s="364">
        <f t="shared" si="151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52"/>
        <v>-37192.92720000002</v>
      </c>
      <c r="G314" s="363">
        <f t="shared" si="153"/>
        <v>159811.00720000002</v>
      </c>
      <c r="H314" s="364">
        <f t="shared" si="151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52"/>
        <v>-28198.487200000018</v>
      </c>
      <c r="G315" s="363">
        <f t="shared" si="153"/>
        <v>159811.00720000002</v>
      </c>
      <c r="H315" s="364">
        <f t="shared" si="151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52"/>
        <v>-32939.072999999997</v>
      </c>
      <c r="G316" s="363">
        <f t="shared" si="153"/>
        <v>166785.81299999999</v>
      </c>
      <c r="H316" s="364">
        <f t="shared" si="151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52"/>
        <v>-27080.606799999998</v>
      </c>
      <c r="G317" s="363">
        <f t="shared" si="153"/>
        <v>159610.92679999999</v>
      </c>
      <c r="H317" s="365">
        <f t="shared" si="151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52"/>
        <v>-23278.161400000005</v>
      </c>
      <c r="G318" s="363">
        <f t="shared" si="153"/>
        <v>159479.6814</v>
      </c>
      <c r="H318" s="365">
        <f t="shared" si="151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52"/>
        <v>-27860.058600000004</v>
      </c>
      <c r="G319" s="363">
        <f t="shared" si="153"/>
        <v>166739.35860000001</v>
      </c>
      <c r="H319" s="365">
        <f t="shared" si="151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52"/>
        <v>-29897.277600000016</v>
      </c>
      <c r="G320" s="363">
        <f t="shared" si="153"/>
        <v>166260.29760000002</v>
      </c>
      <c r="H320" s="365">
        <f t="shared" si="151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52"/>
        <v>-34709.179199999977</v>
      </c>
      <c r="G321" s="363">
        <f t="shared" si="153"/>
        <v>165846.07919999998</v>
      </c>
      <c r="H321" s="365">
        <f t="shared" si="151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52"/>
        <v>-41926.063800000004</v>
      </c>
      <c r="G322" s="363">
        <f t="shared" si="153"/>
        <v>165707.6838</v>
      </c>
      <c r="H322" s="365">
        <f t="shared" si="151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52"/>
        <v>-48426.330400000006</v>
      </c>
      <c r="G323" s="363">
        <f t="shared" si="153"/>
        <v>190547.59040000002</v>
      </c>
      <c r="H323" s="365">
        <f t="shared" si="151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52"/>
        <v>-48374.515200000002</v>
      </c>
      <c r="G324" s="363">
        <f t="shared" si="153"/>
        <v>165187.97520000002</v>
      </c>
      <c r="H324" s="364">
        <f t="shared" si="151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52"/>
        <v>-54432.172800000015</v>
      </c>
      <c r="G325" s="363">
        <f t="shared" si="153"/>
        <v>176588.49280000001</v>
      </c>
      <c r="H325" s="364">
        <f t="shared" si="151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52"/>
        <v>-49378.123800000016</v>
      </c>
      <c r="G326" s="363">
        <f t="shared" si="153"/>
        <v>164933.44380000001</v>
      </c>
      <c r="H326" s="364">
        <f t="shared" si="151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52"/>
        <v>-45614.280400000011</v>
      </c>
      <c r="G327" s="363">
        <f t="shared" si="153"/>
        <v>177274.02040000001</v>
      </c>
      <c r="H327" s="364">
        <f t="shared" si="151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52"/>
        <v>-45519.5052</v>
      </c>
      <c r="G328" s="363">
        <f t="shared" si="153"/>
        <v>164849.2452</v>
      </c>
      <c r="H328" s="364">
        <f t="shared" si="151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52"/>
        <v>-45770.165399999983</v>
      </c>
      <c r="G329" s="363">
        <f t="shared" si="153"/>
        <v>164809.56539999999</v>
      </c>
      <c r="H329" s="364">
        <f t="shared" si="151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52"/>
        <v>-41109.240599999997</v>
      </c>
      <c r="G330" s="363">
        <f t="shared" si="153"/>
        <v>164794.08059999999</v>
      </c>
      <c r="H330" s="364">
        <f t="shared" si="151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52"/>
        <v>-37211.283199999991</v>
      </c>
      <c r="G331" s="363">
        <f t="shared" si="153"/>
        <v>158269.10319999998</v>
      </c>
      <c r="H331" s="364">
        <f t="shared" si="151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52"/>
        <v>-38770.067999999999</v>
      </c>
      <c r="G332" s="363">
        <f t="shared" si="153"/>
        <v>164777.628</v>
      </c>
      <c r="H332" s="364">
        <f t="shared" si="151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52"/>
        <v>-33653.890400000018</v>
      </c>
      <c r="G333" s="363">
        <f t="shared" si="153"/>
        <v>157924.0104</v>
      </c>
      <c r="H333" s="364">
        <f t="shared" si="151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52"/>
        <v>-37103.516399999986</v>
      </c>
      <c r="G334" s="363">
        <f t="shared" si="153"/>
        <v>164562.77639999997</v>
      </c>
      <c r="H334" s="364">
        <f t="shared" si="151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52"/>
        <v>-39676.8966</v>
      </c>
      <c r="G335" s="363">
        <f t="shared" si="153"/>
        <v>164523.09660000002</v>
      </c>
      <c r="H335" s="364">
        <f t="shared" si="151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52"/>
        <v>-35572.456799999993</v>
      </c>
      <c r="G336" s="363">
        <f t="shared" si="153"/>
        <v>164483.41680000001</v>
      </c>
      <c r="H336" s="364">
        <f t="shared" si="151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52"/>
        <v>-29514.401999999984</v>
      </c>
      <c r="G337" s="363">
        <f t="shared" si="153"/>
        <v>143679.28200000001</v>
      </c>
      <c r="H337" s="364">
        <f t="shared" si="151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52"/>
        <v>-24105.848799999996</v>
      </c>
      <c r="G338" s="363">
        <f t="shared" si="153"/>
        <v>136358.20879999999</v>
      </c>
      <c r="H338" s="364">
        <f t="shared" si="151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52"/>
        <v>-24823.50120000001</v>
      </c>
      <c r="G339" s="363">
        <f t="shared" si="153"/>
        <v>143649.8412</v>
      </c>
      <c r="H339" s="364">
        <f t="shared" si="151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54">C340*(E340-D340)</f>
        <v>-33713.287800000006</v>
      </c>
      <c r="G340" s="363">
        <f t="shared" ref="G340:G348" si="155">IF(C340=0, 0,D340*C340)</f>
        <v>154198.0478</v>
      </c>
      <c r="H340" s="364">
        <f t="shared" ref="H340:H348" si="156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54"/>
        <v>-34191.285600000003</v>
      </c>
      <c r="G341" s="363">
        <f t="shared" si="155"/>
        <v>158702.04560000001</v>
      </c>
      <c r="H341" s="364">
        <f t="shared" si="156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54"/>
        <v>-33706.974000000009</v>
      </c>
      <c r="G342" s="363">
        <f t="shared" si="155"/>
        <v>158217.734</v>
      </c>
      <c r="H342" s="364">
        <f t="shared" si="156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54"/>
        <v>-35317.9254</v>
      </c>
      <c r="G343" s="363">
        <f t="shared" si="155"/>
        <v>163357.86540000001</v>
      </c>
      <c r="H343" s="364">
        <f t="shared" si="156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54"/>
        <v>-36815.103999999985</v>
      </c>
      <c r="G344" s="363">
        <f t="shared" si="155"/>
        <v>157985.78399999999</v>
      </c>
      <c r="H344" s="364">
        <f t="shared" si="156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54"/>
        <v>-40329.610399999998</v>
      </c>
      <c r="G345" s="363">
        <f t="shared" si="155"/>
        <v>157881.87039999999</v>
      </c>
      <c r="H345" s="364">
        <f t="shared" si="156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54"/>
        <v>-35684.1158</v>
      </c>
      <c r="G346" s="363">
        <f t="shared" si="155"/>
        <v>157782.59580000001</v>
      </c>
      <c r="H346" s="364">
        <f t="shared" si="156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54"/>
        <v>-23709.664000000008</v>
      </c>
      <c r="G347" s="363">
        <f t="shared" si="155"/>
        <v>134887.10400000002</v>
      </c>
      <c r="H347" s="365">
        <f t="shared" si="156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54"/>
        <v>-19054.279999999995</v>
      </c>
      <c r="G348" s="363">
        <f t="shared" si="155"/>
        <v>121666.28</v>
      </c>
      <c r="H348" s="365">
        <f t="shared" si="156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7">C349*(E349-D349)</f>
        <v>-21366.37</v>
      </c>
      <c r="G349" s="363">
        <f t="shared" ref="G349:G357" si="158">IF(C349=0, 0,D349*C349)</f>
        <v>129041.37</v>
      </c>
      <c r="H349" s="365">
        <f t="shared" ref="H349:H357" si="159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7"/>
        <v>-17585.480000000014</v>
      </c>
      <c r="G350" s="363">
        <f t="shared" si="158"/>
        <v>121421.48000000001</v>
      </c>
      <c r="H350" s="365">
        <f t="shared" si="159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7"/>
        <v>-23433.255999999998</v>
      </c>
      <c r="G351" s="363">
        <f t="shared" si="158"/>
        <v>134073.236</v>
      </c>
      <c r="H351" s="365">
        <f t="shared" si="159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7"/>
        <v>-21154.320000000003</v>
      </c>
      <c r="G352" s="363">
        <f t="shared" si="158"/>
        <v>138785.16</v>
      </c>
      <c r="H352" s="365">
        <f t="shared" si="159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7"/>
        <v>-29477.467400000005</v>
      </c>
      <c r="G353" s="363">
        <f t="shared" si="158"/>
        <v>152116.9474</v>
      </c>
      <c r="H353" s="365">
        <f t="shared" si="159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7"/>
        <v>-29453.938799999982</v>
      </c>
      <c r="G354" s="363">
        <f t="shared" si="158"/>
        <v>156191.41879999998</v>
      </c>
      <c r="H354" s="364">
        <f t="shared" si="159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7"/>
        <v>-19172.503200000017</v>
      </c>
      <c r="G355" s="363">
        <f t="shared" si="158"/>
        <v>140043.3432</v>
      </c>
      <c r="H355" s="364">
        <f t="shared" si="159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7"/>
        <v>-13448.017</v>
      </c>
      <c r="G356" s="363">
        <f t="shared" si="158"/>
        <v>132303.45699999999</v>
      </c>
      <c r="H356" s="364">
        <f t="shared" si="159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7"/>
        <v>-12142.820000000009</v>
      </c>
      <c r="G357" s="363">
        <f t="shared" si="158"/>
        <v>126387.82</v>
      </c>
      <c r="H357" s="364">
        <f t="shared" si="159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60">C358*(E358-D358)</f>
        <v>-11873.480000000014</v>
      </c>
      <c r="G358" s="363">
        <f t="shared" ref="G358:G379" si="161">IF(C358=0, 0,D358*C358)</f>
        <v>118633.48000000001</v>
      </c>
      <c r="H358" s="364">
        <f t="shared" ref="H358:H379" si="162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60"/>
        <v>-11929.199999999995</v>
      </c>
      <c r="G359" s="363">
        <f t="shared" si="161"/>
        <v>106009.2</v>
      </c>
      <c r="H359" s="364">
        <f t="shared" si="162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60"/>
        <v>-18473.284199999991</v>
      </c>
      <c r="G360" s="363">
        <f t="shared" si="161"/>
        <v>138853.4442</v>
      </c>
      <c r="H360" s="364">
        <f t="shared" si="162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60"/>
        <v>-18423.393999999993</v>
      </c>
      <c r="G361" s="363">
        <f t="shared" si="161"/>
        <v>146163.554</v>
      </c>
      <c r="H361" s="364">
        <f t="shared" si="162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60"/>
        <v>-17342.266799999998</v>
      </c>
      <c r="G362" s="363">
        <f t="shared" si="161"/>
        <v>138703.7868</v>
      </c>
      <c r="H362" s="364">
        <f t="shared" si="162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60"/>
        <v>-17312.610000000008</v>
      </c>
      <c r="G363" s="363">
        <f t="shared" si="161"/>
        <v>146094.13</v>
      </c>
      <c r="H363" s="364">
        <f t="shared" si="162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60"/>
        <v>-16618.370000000006</v>
      </c>
      <c r="G364" s="363">
        <f t="shared" si="161"/>
        <v>146094.13</v>
      </c>
      <c r="H364" s="364">
        <f t="shared" si="162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60"/>
        <v>-18614.310000000012</v>
      </c>
      <c r="G365" s="363">
        <f t="shared" si="161"/>
        <v>146094.13</v>
      </c>
      <c r="H365" s="364">
        <f t="shared" si="162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60"/>
        <v>-10717.330000000011</v>
      </c>
      <c r="G366" s="363">
        <f t="shared" si="161"/>
        <v>146094.13</v>
      </c>
      <c r="H366" s="364">
        <f t="shared" si="162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60"/>
        <v>-13335.061799999996</v>
      </c>
      <c r="G367" s="363">
        <f t="shared" si="161"/>
        <v>146939.08179999999</v>
      </c>
      <c r="H367" s="364">
        <f t="shared" si="162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60"/>
        <v>-14034.101799999982</v>
      </c>
      <c r="G368" s="363">
        <f t="shared" si="161"/>
        <v>146939.08179999999</v>
      </c>
      <c r="H368" s="364">
        <f t="shared" si="162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60"/>
        <v>-18125.222999999994</v>
      </c>
      <c r="G369" s="363">
        <f t="shared" si="161"/>
        <v>152910.723</v>
      </c>
      <c r="H369" s="364">
        <f t="shared" si="162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60"/>
        <v>-17204.112599999997</v>
      </c>
      <c r="G370" s="363">
        <f t="shared" si="161"/>
        <v>152812.03260000001</v>
      </c>
      <c r="H370" s="364">
        <f t="shared" si="162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60"/>
        <v>-21007.348200000015</v>
      </c>
      <c r="G371" s="363">
        <f t="shared" si="161"/>
        <v>152777.3082</v>
      </c>
      <c r="H371" s="364">
        <f t="shared" si="162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60"/>
        <v>-23836.109799999987</v>
      </c>
      <c r="G372" s="363">
        <f t="shared" si="161"/>
        <v>154748.68979999999</v>
      </c>
      <c r="H372" s="364">
        <f t="shared" si="162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60"/>
        <v>-28747.721799999992</v>
      </c>
      <c r="G373" s="363">
        <f t="shared" si="161"/>
        <v>157458.96179999999</v>
      </c>
      <c r="H373" s="364">
        <f t="shared" si="162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60"/>
        <v>-26852.387599999998</v>
      </c>
      <c r="G374" s="363">
        <f t="shared" si="161"/>
        <v>154703.22759999998</v>
      </c>
      <c r="H374" s="364">
        <f t="shared" si="162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60"/>
        <v>-32892.451199999996</v>
      </c>
      <c r="G375" s="363">
        <f t="shared" si="161"/>
        <v>157338.5912</v>
      </c>
      <c r="H375" s="364">
        <f t="shared" si="162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60"/>
        <v>-28045.401999999998</v>
      </c>
      <c r="G376" s="363">
        <f t="shared" si="161"/>
        <v>157325.32200000001</v>
      </c>
      <c r="H376" s="365">
        <f t="shared" si="162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60"/>
        <v>-28056.67200000001</v>
      </c>
      <c r="G377" s="363">
        <f t="shared" si="161"/>
        <v>154608.592</v>
      </c>
      <c r="H377" s="365">
        <f t="shared" si="162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60"/>
        <v>-34756.773799999995</v>
      </c>
      <c r="G378" s="363">
        <f t="shared" si="161"/>
        <v>157212.5338</v>
      </c>
      <c r="H378" s="365">
        <f t="shared" si="162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60"/>
        <v>-34901.771399999991</v>
      </c>
      <c r="G379" s="363">
        <f t="shared" si="161"/>
        <v>159747.97140000001</v>
      </c>
      <c r="H379" s="365">
        <f t="shared" si="162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63">C380*(E380-D380)</f>
        <v>-36344.291399999995</v>
      </c>
      <c r="G380" s="363">
        <f t="shared" ref="G380:G395" si="164">IF(C380=0, 0,D380*C380)</f>
        <v>166350.4914</v>
      </c>
      <c r="H380" s="365">
        <f t="shared" ref="H380:H395" si="165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63"/>
        <v>-29806.304399999986</v>
      </c>
      <c r="G381" s="363">
        <f t="shared" si="164"/>
        <v>159588.28439999997</v>
      </c>
      <c r="H381" s="365">
        <f t="shared" si="165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63"/>
        <v>-27362.67760000001</v>
      </c>
      <c r="G382" s="363">
        <f t="shared" si="164"/>
        <v>154100.15760000001</v>
      </c>
      <c r="H382" s="365">
        <f t="shared" si="165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63"/>
        <v>-25413.691800000004</v>
      </c>
      <c r="G383" s="363">
        <f t="shared" si="164"/>
        <v>152157.7518</v>
      </c>
      <c r="H383" s="364">
        <f t="shared" si="165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63"/>
        <v>-18660.303400000012</v>
      </c>
      <c r="G384" s="363">
        <f t="shared" si="164"/>
        <v>145445.88340000002</v>
      </c>
      <c r="H384" s="364">
        <f t="shared" si="165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63"/>
        <v>-16029.133799999994</v>
      </c>
      <c r="G385" s="363">
        <f t="shared" si="164"/>
        <v>145331.33379999999</v>
      </c>
      <c r="H385" s="364">
        <f t="shared" si="165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63"/>
        <v>-13680.976200000003</v>
      </c>
      <c r="G386" s="363">
        <f t="shared" si="164"/>
        <v>137741.23620000001</v>
      </c>
      <c r="H386" s="364">
        <f t="shared" si="165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63"/>
        <v>-9402.4621999999927</v>
      </c>
      <c r="G387" s="363">
        <f t="shared" si="164"/>
        <v>122097.06219999999</v>
      </c>
      <c r="H387" s="364">
        <f t="shared" si="165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63"/>
        <v>-2780.8000000000065</v>
      </c>
      <c r="G388" s="363">
        <f t="shared" si="164"/>
        <v>94520.8</v>
      </c>
      <c r="H388" s="364">
        <f t="shared" si="165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63"/>
        <v>-2111.0000000000005</v>
      </c>
      <c r="G389" s="363">
        <f t="shared" si="164"/>
        <v>86111</v>
      </c>
      <c r="H389" s="364">
        <f t="shared" si="165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63"/>
        <v>-7950.599999999994</v>
      </c>
      <c r="G390" s="363">
        <f t="shared" si="164"/>
        <v>101790.59999999999</v>
      </c>
      <c r="H390" s="364">
        <f t="shared" si="165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63"/>
        <v>-7870.8499999999922</v>
      </c>
      <c r="G391" s="363">
        <f t="shared" si="164"/>
        <v>109530.84999999999</v>
      </c>
      <c r="H391" s="364">
        <f t="shared" si="165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63"/>
        <v>-2961.0000000000055</v>
      </c>
      <c r="G392" s="363">
        <f t="shared" si="164"/>
        <v>101541</v>
      </c>
      <c r="H392" s="364">
        <f t="shared" si="165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63"/>
        <v>-3051.400000000001</v>
      </c>
      <c r="G393" s="363">
        <f t="shared" si="164"/>
        <v>93416.4</v>
      </c>
      <c r="H393" s="364">
        <f t="shared" si="165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63"/>
        <v>-3026.4999999999986</v>
      </c>
      <c r="G394" s="363">
        <f t="shared" si="164"/>
        <v>85176.5</v>
      </c>
      <c r="H394" s="364">
        <f t="shared" si="165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63"/>
        <v>-4876.1226000000042</v>
      </c>
      <c r="G395" s="363">
        <f t="shared" si="164"/>
        <v>88034.802599999995</v>
      </c>
      <c r="H395" s="364">
        <f t="shared" si="165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6">C398*(E398-D398)</f>
        <v>-5163.5724000000046</v>
      </c>
      <c r="G398" s="363">
        <f t="shared" ref="G398:G403" si="167">IF(C398=0, 0,D398*C398)</f>
        <v>103949.79240000001</v>
      </c>
      <c r="H398" s="364">
        <f t="shared" ref="H398:H403" si="168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6"/>
        <v>-7946.8199999999852</v>
      </c>
      <c r="G399" s="363">
        <f t="shared" si="167"/>
        <v>111789.71999999999</v>
      </c>
      <c r="H399" s="365">
        <f t="shared" si="168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6"/>
        <v>-7946.7637999999934</v>
      </c>
      <c r="G400" s="363">
        <f t="shared" si="167"/>
        <v>119564.66379999999</v>
      </c>
      <c r="H400" s="364">
        <f t="shared" si="168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6"/>
        <v>-11864.04560000001</v>
      </c>
      <c r="G401" s="363">
        <f t="shared" si="167"/>
        <v>127187.60560000001</v>
      </c>
      <c r="H401" s="364">
        <f t="shared" si="168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6"/>
        <v>-11894.083199999997</v>
      </c>
      <c r="G402" s="363">
        <f t="shared" si="167"/>
        <v>134727.64319999999</v>
      </c>
      <c r="H402" s="364">
        <f t="shared" si="168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6"/>
        <v>-7970.5317999999861</v>
      </c>
      <c r="G403" s="363">
        <f t="shared" si="167"/>
        <v>126902.75179999998</v>
      </c>
      <c r="H403" s="364">
        <f t="shared" si="168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9">C409*(E409-D409)</f>
        <v>-5839.4414759999936</v>
      </c>
      <c r="G409" s="363">
        <f t="shared" ref="G409:G415" si="170">IF(C409=0, 0,D409*C409)</f>
        <v>126153.70147599999</v>
      </c>
      <c r="H409" s="364">
        <f t="shared" ref="H409:H415" si="171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9"/>
        <v>-7235.2097400000011</v>
      </c>
      <c r="G410" s="363">
        <f t="shared" si="170"/>
        <v>126013.86974000001</v>
      </c>
      <c r="H410" s="364">
        <f t="shared" si="171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9"/>
        <v>-6801.3106039999893</v>
      </c>
      <c r="G411" s="363">
        <f t="shared" si="170"/>
        <v>125579.970604</v>
      </c>
      <c r="H411" s="364">
        <f t="shared" si="171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9"/>
        <v>-15816.44348</v>
      </c>
      <c r="G412" s="363">
        <f t="shared" si="170"/>
        <v>134522.96348000001</v>
      </c>
      <c r="H412" s="365">
        <f t="shared" si="171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9"/>
        <v>-15980.450220000002</v>
      </c>
      <c r="G413" s="363">
        <f t="shared" si="170"/>
        <v>140422.97021999999</v>
      </c>
      <c r="H413" s="365">
        <f t="shared" si="171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9"/>
        <v>-16022.453030000013</v>
      </c>
      <c r="G414" s="363">
        <f t="shared" si="170"/>
        <v>144766.97303000002</v>
      </c>
      <c r="H414" s="365">
        <f t="shared" si="171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9"/>
        <v>-15995.457559999995</v>
      </c>
      <c r="G415" s="363">
        <f t="shared" si="170"/>
        <v>149041.97756</v>
      </c>
      <c r="H415" s="365">
        <f t="shared" si="171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72">C416*(E416-D416)</f>
        <v>-19058.277097999995</v>
      </c>
      <c r="G416" s="363">
        <f t="shared" ref="G416:G423" si="173">IF(C416=0, 0,D416*C416)</f>
        <v>151845.05709799999</v>
      </c>
      <c r="H416" s="365">
        <f t="shared" ref="H416:H423" si="174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72"/>
        <v>-16640.780505999985</v>
      </c>
      <c r="G417" s="363">
        <f t="shared" si="173"/>
        <v>151797.06050599998</v>
      </c>
      <c r="H417" s="365">
        <f t="shared" si="174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72"/>
        <v>-16830.340505999982</v>
      </c>
      <c r="G418" s="363">
        <f t="shared" si="173"/>
        <v>151797.06050599998</v>
      </c>
      <c r="H418" s="365">
        <f t="shared" si="174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72"/>
        <v>-18246.039857999996</v>
      </c>
      <c r="G419" s="363">
        <f t="shared" si="173"/>
        <v>154609.05985799999</v>
      </c>
      <c r="H419" s="364">
        <f t="shared" si="174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72"/>
        <v>-20423.199632000014</v>
      </c>
      <c r="G420" s="363">
        <f t="shared" si="173"/>
        <v>157431.05963200002</v>
      </c>
      <c r="H420" s="364">
        <f t="shared" si="174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72"/>
        <v>-20451.260000000017</v>
      </c>
      <c r="G421" s="363">
        <f t="shared" si="173"/>
        <v>159151.26</v>
      </c>
      <c r="H421" s="364">
        <f t="shared" si="174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72"/>
        <v>-12770.498441999989</v>
      </c>
      <c r="G422" s="363">
        <f t="shared" si="173"/>
        <v>154553.19844199999</v>
      </c>
      <c r="H422" s="364">
        <f t="shared" si="174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72"/>
        <v>-12774.627693999981</v>
      </c>
      <c r="G423" s="363">
        <f t="shared" si="173"/>
        <v>148697.32769399998</v>
      </c>
      <c r="H423" s="364">
        <f t="shared" si="174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75">C424*(E424-D424)</f>
        <v>-10733.467693999992</v>
      </c>
      <c r="G424" s="363">
        <f t="shared" ref="G424:G435" si="176">IF(C424=0, 0,D424*C424)</f>
        <v>148697.32769399998</v>
      </c>
      <c r="H424" s="364">
        <f t="shared" ref="H424:H435" si="177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75"/>
        <v>-14237.112315999999</v>
      </c>
      <c r="G425" s="363">
        <f t="shared" si="176"/>
        <v>151573.33231600001</v>
      </c>
      <c r="H425" s="364">
        <f t="shared" si="177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75"/>
        <v>-14933.404899999989</v>
      </c>
      <c r="G426" s="363">
        <f t="shared" si="176"/>
        <v>148629.38489999998</v>
      </c>
      <c r="H426" s="364">
        <f t="shared" si="177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75"/>
        <v>-14951.241703999996</v>
      </c>
      <c r="G427" s="363">
        <f t="shared" si="176"/>
        <v>151529.221704</v>
      </c>
      <c r="H427" s="364">
        <f t="shared" si="177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75"/>
        <v>-14945.406348000004</v>
      </c>
      <c r="G428" s="363">
        <f t="shared" si="176"/>
        <v>154405.386348</v>
      </c>
      <c r="H428" s="364">
        <f t="shared" si="177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75"/>
        <v>-18303.73</v>
      </c>
      <c r="G429" s="363">
        <f t="shared" si="176"/>
        <v>158903.73000000001</v>
      </c>
      <c r="H429" s="364">
        <f t="shared" si="177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75"/>
        <v>-7311.0640000000021</v>
      </c>
      <c r="G430" s="363">
        <f t="shared" si="176"/>
        <v>148151.10399999999</v>
      </c>
      <c r="H430" s="364">
        <f t="shared" si="177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75"/>
        <v>-7285.3417480000098</v>
      </c>
      <c r="G431" s="363">
        <f t="shared" si="176"/>
        <v>143571.38174800001</v>
      </c>
      <c r="H431" s="364">
        <f t="shared" si="177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75"/>
        <v>-1007.5158000000105</v>
      </c>
      <c r="G432" s="363">
        <f t="shared" si="176"/>
        <v>138987.71580000001</v>
      </c>
      <c r="H432" s="364">
        <f t="shared" si="177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75"/>
        <v>-1091.5898499999998</v>
      </c>
      <c r="G433" s="363">
        <f t="shared" si="176"/>
        <v>127941.78985</v>
      </c>
      <c r="H433" s="364">
        <f t="shared" si="177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75"/>
        <v>-1074.5375999999919</v>
      </c>
      <c r="G434" s="363">
        <f t="shared" si="176"/>
        <v>124522.1376</v>
      </c>
      <c r="H434" s="364">
        <f t="shared" si="177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75"/>
        <v>-975.11200799999187</v>
      </c>
      <c r="G435" s="363">
        <f t="shared" si="176"/>
        <v>131005.31200799999</v>
      </c>
      <c r="H435" s="364">
        <f t="shared" si="177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8">C437*(E437-D437)</f>
        <v>-320.8720079999913</v>
      </c>
      <c r="G437" s="363">
        <f t="shared" ref="G437:G446" si="179">IF(C437=0, 0,D437*C437)</f>
        <v>131005.31200799999</v>
      </c>
      <c r="H437" s="364">
        <f t="shared" ref="H437:H446" si="180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8"/>
        <v>-3298.169357999996</v>
      </c>
      <c r="G438" s="363">
        <f t="shared" si="179"/>
        <v>138935.309358</v>
      </c>
      <c r="H438" s="364">
        <f t="shared" si="180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8"/>
        <v>-3293.1673579999938</v>
      </c>
      <c r="G439" s="363">
        <f t="shared" si="179"/>
        <v>146745.30735799999</v>
      </c>
      <c r="H439" s="364">
        <f t="shared" si="180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8"/>
        <v>1163.524950000012</v>
      </c>
      <c r="G440" s="363">
        <f t="shared" si="179"/>
        <v>130665.83504999999</v>
      </c>
      <c r="H440" s="364">
        <f t="shared" si="180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8"/>
        <v>1293.5203380000021</v>
      </c>
      <c r="G441" s="363">
        <f t="shared" si="179"/>
        <v>122475.839662</v>
      </c>
      <c r="H441" s="364">
        <f t="shared" si="180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8"/>
        <v>1201.2174379999781</v>
      </c>
      <c r="G442" s="363">
        <f t="shared" si="179"/>
        <v>138341.022562</v>
      </c>
      <c r="H442" s="364">
        <f t="shared" si="180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8"/>
        <v>-3368.3391059999908</v>
      </c>
      <c r="G443" s="363">
        <f t="shared" si="179"/>
        <v>143066.01910599999</v>
      </c>
      <c r="H443" s="364">
        <f t="shared" si="180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8"/>
        <v>-3374.3343760000034</v>
      </c>
      <c r="G444" s="363">
        <f t="shared" si="179"/>
        <v>147740.01437600001</v>
      </c>
      <c r="H444" s="364">
        <f t="shared" si="180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8"/>
        <v>-1890.1133999999961</v>
      </c>
      <c r="G445" s="363">
        <f t="shared" si="179"/>
        <v>154028.27340000001</v>
      </c>
      <c r="H445" s="364">
        <f t="shared" si="180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8"/>
        <v>-17012.580000000009</v>
      </c>
      <c r="G446" s="363">
        <f t="shared" si="179"/>
        <v>159012.58000000002</v>
      </c>
      <c r="H446" s="364">
        <f t="shared" si="180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81">C450*(E450-D450)</f>
        <v>-19935.600000000009</v>
      </c>
      <c r="G450" s="363">
        <f t="shared" ref="G450:G457" si="182">IF(C450=0, 0,D450*C450)</f>
        <v>187335.6</v>
      </c>
      <c r="H450" s="365">
        <f t="shared" ref="H450:H457" si="183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81"/>
        <v>-19900.075000000015</v>
      </c>
      <c r="G451" s="363">
        <f t="shared" si="182"/>
        <v>194275.07500000001</v>
      </c>
      <c r="H451" s="365">
        <f t="shared" si="183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81"/>
        <v>-22705.387499999997</v>
      </c>
      <c r="G452" s="363">
        <f t="shared" si="182"/>
        <v>194205.38750000001</v>
      </c>
      <c r="H452" s="365">
        <f t="shared" si="183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81"/>
        <v>-29391.250000000004</v>
      </c>
      <c r="G453" s="363">
        <f t="shared" si="182"/>
        <v>194141.25</v>
      </c>
      <c r="H453" s="365">
        <f t="shared" si="183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81"/>
        <v>-34359.325000000004</v>
      </c>
      <c r="G454" s="363">
        <f t="shared" si="182"/>
        <v>194109.32500000001</v>
      </c>
      <c r="H454" s="364">
        <f t="shared" si="183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81"/>
        <v>-16630.000000000004</v>
      </c>
      <c r="G455" s="363">
        <f t="shared" si="182"/>
        <v>158130</v>
      </c>
      <c r="H455" s="364">
        <f t="shared" si="183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81"/>
        <v>-21229.999999999996</v>
      </c>
      <c r="G456" s="363">
        <f t="shared" si="182"/>
        <v>171820</v>
      </c>
      <c r="H456" s="364">
        <f t="shared" si="183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81"/>
        <v>6109.9988400000047</v>
      </c>
      <c r="G457" s="363">
        <f t="shared" si="182"/>
        <v>118887.84116000001</v>
      </c>
      <c r="H457" s="364">
        <f t="shared" si="183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84">C458*(E458-D458)</f>
        <v>822.70680000000016</v>
      </c>
      <c r="G458" s="363">
        <f t="shared" ref="G458:G475" si="185">IF(C458=0, 0,D458*C458)</f>
        <v>126917.6532</v>
      </c>
      <c r="H458" s="364">
        <f t="shared" ref="H458:H475" si="186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84"/>
        <v>83.308799999990825</v>
      </c>
      <c r="G459" s="363">
        <f t="shared" si="185"/>
        <v>134772.8112</v>
      </c>
      <c r="H459" s="364">
        <f t="shared" si="186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84"/>
        <v>-4985.4834000000074</v>
      </c>
      <c r="G460" s="363">
        <f t="shared" si="185"/>
        <v>139206.5834</v>
      </c>
      <c r="H460" s="364">
        <f t="shared" si="186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84"/>
        <v>18978.923399999992</v>
      </c>
      <c r="G461" s="363">
        <f t="shared" si="185"/>
        <v>74535.756600000008</v>
      </c>
      <c r="H461" s="364">
        <f t="shared" si="186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84"/>
        <v>18638.087600000006</v>
      </c>
      <c r="G462" s="363">
        <f t="shared" si="185"/>
        <v>65051.332399999999</v>
      </c>
      <c r="H462" s="364">
        <f t="shared" si="186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84"/>
        <v>18627.5</v>
      </c>
      <c r="G463" s="363">
        <f t="shared" si="185"/>
        <v>70822.5</v>
      </c>
      <c r="H463" s="364">
        <f t="shared" si="186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84"/>
        <v>20177.499999999996</v>
      </c>
      <c r="G464" s="363">
        <f t="shared" si="185"/>
        <v>70822.5</v>
      </c>
      <c r="H464" s="364">
        <f t="shared" si="186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84"/>
        <v>21382.430000000011</v>
      </c>
      <c r="G465" s="363">
        <f t="shared" si="185"/>
        <v>70717.569999999992</v>
      </c>
      <c r="H465" s="364">
        <f t="shared" si="186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84"/>
        <v>20612.23</v>
      </c>
      <c r="G466" s="363">
        <f t="shared" si="185"/>
        <v>70637.77</v>
      </c>
      <c r="H466" s="364">
        <f t="shared" si="186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84"/>
        <v>22311.999999999993</v>
      </c>
      <c r="G467" s="363">
        <f t="shared" si="185"/>
        <v>70138</v>
      </c>
      <c r="H467" s="364">
        <f t="shared" si="186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84"/>
        <v>20873</v>
      </c>
      <c r="G468" s="363">
        <f t="shared" si="185"/>
        <v>70127</v>
      </c>
      <c r="H468" s="364">
        <f t="shared" si="186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84"/>
        <v>20073</v>
      </c>
      <c r="G469" s="363">
        <f t="shared" si="185"/>
        <v>70127</v>
      </c>
      <c r="H469" s="364">
        <f t="shared" si="186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84"/>
        <v>17654.651999999998</v>
      </c>
      <c r="G470" s="363">
        <f t="shared" si="185"/>
        <v>87765.347999999998</v>
      </c>
      <c r="H470" s="365">
        <f t="shared" si="186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84"/>
        <v>16484.261999999992</v>
      </c>
      <c r="G471" s="363">
        <f t="shared" si="185"/>
        <v>87375.737999999998</v>
      </c>
      <c r="H471" s="365">
        <f t="shared" si="186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84"/>
        <v>20939.061000000002</v>
      </c>
      <c r="G472" s="363">
        <f t="shared" si="185"/>
        <v>78335.938999999998</v>
      </c>
      <c r="H472" s="365">
        <f t="shared" si="186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84"/>
        <v>20604.060000000005</v>
      </c>
      <c r="G473" s="363">
        <f t="shared" si="185"/>
        <v>87275.94</v>
      </c>
      <c r="H473" s="365">
        <f t="shared" si="186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84"/>
        <v>17593.872000000007</v>
      </c>
      <c r="G474" s="363">
        <f t="shared" si="185"/>
        <v>87166.127999999997</v>
      </c>
      <c r="H474" s="365">
        <f t="shared" si="186"/>
        <v>0.20184299112150547</v>
      </c>
      <c r="I474" s="363"/>
    </row>
    <row r="475" spans="1:10" x14ac:dyDescent="0.25">
      <c r="A475" s="226" t="s">
        <v>331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84"/>
        <v>16453.871999999999</v>
      </c>
      <c r="G475" s="363">
        <f t="shared" si="185"/>
        <v>87166.127999999997</v>
      </c>
      <c r="H475" s="365">
        <f t="shared" si="186"/>
        <v>0.1887645164185795</v>
      </c>
      <c r="I475" s="363"/>
    </row>
    <row r="476" spans="1:10" x14ac:dyDescent="0.25">
      <c r="A476" t="s">
        <v>331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7">C476*(E476-D476)</f>
        <v>19333.872000000003</v>
      </c>
      <c r="G476" s="363">
        <f t="shared" ref="G476:G490" si="188">IF(C476=0, 0,D476*C476)</f>
        <v>87166.127999999997</v>
      </c>
      <c r="H476" s="365">
        <f t="shared" ref="H476:H490" si="189">IF(C476=0, D476, (E476-D476)/D476)</f>
        <v>0.22180487356281334</v>
      </c>
      <c r="I476" s="363"/>
    </row>
    <row r="477" spans="1:10" x14ac:dyDescent="0.25">
      <c r="A477" t="s">
        <v>363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7"/>
        <v>19450.98</v>
      </c>
      <c r="G477" s="363">
        <f t="shared" si="188"/>
        <v>87049.02</v>
      </c>
      <c r="H477" s="365">
        <f t="shared" si="189"/>
        <v>0.22344858104088938</v>
      </c>
      <c r="I477" s="363"/>
    </row>
    <row r="478" spans="1:10" ht="15" customHeight="1" x14ac:dyDescent="0.25">
      <c r="A478" t="s">
        <v>366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7"/>
        <v>17423.978999999996</v>
      </c>
      <c r="G478" s="363">
        <f t="shared" si="188"/>
        <v>88777.021000000008</v>
      </c>
      <c r="H478" s="365">
        <f t="shared" si="189"/>
        <v>0.19626676817641803</v>
      </c>
      <c r="I478" s="363"/>
    </row>
    <row r="479" spans="1:10" x14ac:dyDescent="0.25">
      <c r="A479" t="s">
        <v>376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7"/>
        <v>11978.979600000011</v>
      </c>
      <c r="G479" s="363">
        <f t="shared" si="188"/>
        <v>102078.02039999999</v>
      </c>
      <c r="H479" s="365">
        <f t="shared" si="189"/>
        <v>0.11735121383682331</v>
      </c>
      <c r="I479" s="363"/>
    </row>
    <row r="480" spans="1:10" x14ac:dyDescent="0.25">
      <c r="A480" t="s">
        <v>377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7"/>
        <v>13568.870699999996</v>
      </c>
      <c r="G480" s="363">
        <f t="shared" si="188"/>
        <v>102006.1293</v>
      </c>
      <c r="H480" s="365">
        <f t="shared" si="189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7"/>
        <v>12886.949999999995</v>
      </c>
      <c r="G481" s="363">
        <f t="shared" si="188"/>
        <v>86653.05</v>
      </c>
      <c r="H481" s="365">
        <f t="shared" si="189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7"/>
        <v>13051.947999999999</v>
      </c>
      <c r="G482" s="363">
        <f t="shared" si="188"/>
        <v>103078.052</v>
      </c>
      <c r="H482" s="365">
        <f t="shared" si="189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7"/>
        <v>13089.952800000001</v>
      </c>
      <c r="G483" s="363">
        <f t="shared" si="188"/>
        <v>106358.0472</v>
      </c>
      <c r="H483" s="365">
        <f t="shared" si="189"/>
        <v>0.12307439958337259</v>
      </c>
      <c r="I483" s="363"/>
    </row>
    <row r="484" spans="1:9" x14ac:dyDescent="0.25">
      <c r="A484" t="s">
        <v>381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7"/>
        <v>13075.699000000004</v>
      </c>
      <c r="G484" s="363">
        <f t="shared" si="188"/>
        <v>94759.300999999992</v>
      </c>
      <c r="H484" s="365">
        <f t="shared" si="189"/>
        <v>0.13798855481215511</v>
      </c>
      <c r="I484" s="363"/>
    </row>
    <row r="485" spans="1:9" x14ac:dyDescent="0.25">
      <c r="A485" t="s">
        <v>383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7"/>
        <v>13867.271999999995</v>
      </c>
      <c r="G485" s="363">
        <f>IF(C485=0, 0,D485*C485)</f>
        <v>86212.728000000003</v>
      </c>
      <c r="H485" s="365">
        <f t="shared" si="189"/>
        <v>0.16084947456946261</v>
      </c>
      <c r="I485" s="363"/>
    </row>
    <row r="486" spans="1:9" x14ac:dyDescent="0.25">
      <c r="A486" t="s">
        <v>390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7"/>
        <v>17083.611900000004</v>
      </c>
      <c r="G486" s="363">
        <f t="shared" si="188"/>
        <v>74235.388099999996</v>
      </c>
      <c r="H486" s="365">
        <f t="shared" si="189"/>
        <v>0.2301276027140485</v>
      </c>
      <c r="I486" s="363"/>
    </row>
    <row r="487" spans="1:9" ht="15" customHeight="1" x14ac:dyDescent="0.25">
      <c r="A487" t="s">
        <v>400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7"/>
        <v>13252.614000000001</v>
      </c>
      <c r="G487" s="363">
        <f t="shared" si="188"/>
        <v>85867.385999999999</v>
      </c>
      <c r="H487" s="365">
        <f t="shared" si="189"/>
        <v>0.15433815581622576</v>
      </c>
      <c r="I487" s="363"/>
    </row>
    <row r="488" spans="1:9" x14ac:dyDescent="0.25">
      <c r="A488" t="s">
        <v>405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7"/>
        <v>10351.611600000004</v>
      </c>
      <c r="G488" s="363">
        <f t="shared" si="188"/>
        <v>95446.388400000011</v>
      </c>
      <c r="H488" s="365">
        <f t="shared" si="189"/>
        <v>0.10845472283998965</v>
      </c>
      <c r="I488" s="363"/>
    </row>
    <row r="489" spans="1:9" x14ac:dyDescent="0.25">
      <c r="A489" t="s">
        <v>428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7"/>
        <v>12307.2804</v>
      </c>
      <c r="G489" s="363">
        <f t="shared" si="188"/>
        <v>80602.719600000011</v>
      </c>
      <c r="H489" s="365">
        <f t="shared" si="189"/>
        <v>0.1526906345229572</v>
      </c>
      <c r="I489" s="363"/>
    </row>
    <row r="490" spans="1:9" x14ac:dyDescent="0.25">
      <c r="A490" t="s">
        <v>430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7"/>
        <v>11781.900000000011</v>
      </c>
      <c r="G490" s="363">
        <f t="shared" si="188"/>
        <v>80387.100000000006</v>
      </c>
      <c r="H490" s="365">
        <f t="shared" si="189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90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91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90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91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90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91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90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91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90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91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90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91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90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91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90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91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90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91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90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91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90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91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90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91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90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91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90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91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90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91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90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91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90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91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90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91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90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91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90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91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90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91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90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91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90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91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90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91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90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91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90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91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90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91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90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91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90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90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90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92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90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92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90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92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90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92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90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92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90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92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90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92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90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92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90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92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90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92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90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92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90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92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90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92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90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90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90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93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90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93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90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93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90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93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90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93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90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93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90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93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90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93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90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93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90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93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90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93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90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93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90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93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90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93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90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93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90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93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90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93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90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93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90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93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94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93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94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93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94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93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94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93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94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93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94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93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94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93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94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93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94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93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94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93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94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93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94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93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94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93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94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93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94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93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94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93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94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93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94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93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94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93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94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93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94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93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94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93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94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93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94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93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94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93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94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93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94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93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94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93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94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93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94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93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94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93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94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93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94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93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94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93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94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93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94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93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94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93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94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93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94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93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94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93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94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93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94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94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94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94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94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94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94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94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94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94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94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94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94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94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94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94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94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94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94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94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94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94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94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95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95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95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95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95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95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95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95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95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95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95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95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95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95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95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95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6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95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6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95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6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95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6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95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6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95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6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95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6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95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6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95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6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95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6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95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6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95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6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95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6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95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6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95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6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95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6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95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6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95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6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95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6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95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6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95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6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95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6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95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6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95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6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95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6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95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6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95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6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95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6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95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6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95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6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95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6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95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6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95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6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95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6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95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6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95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6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95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6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95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6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95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6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95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6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95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6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95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6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95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6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95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6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95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6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95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6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95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6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95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6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95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6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7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6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7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6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7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6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7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6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7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6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7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6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7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6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7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6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7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6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7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6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7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6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7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6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7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6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7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6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7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6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6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6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8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6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8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6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8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6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8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6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8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6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8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6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8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6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8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6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8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6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8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6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6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9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6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9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6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9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6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9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6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9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6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9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6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9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6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9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6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9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6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9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9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9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9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9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9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9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9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2">
    <mergeCell ref="O23:P23"/>
    <mergeCell ref="A80:A82"/>
  </mergeCells>
  <conditionalFormatting sqref="F246:F264 H246:H264 H399 F399 H470:H494 F470:F494 K103:K201 F113:F202 H113:H202 K210 K235:K236 H235:H236 F235:F236">
    <cfRule type="expression" dxfId="2082" priority="141">
      <formula>F103&gt;0</formula>
    </cfRule>
    <cfRule type="expression" dxfId="2081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80" priority="134">
      <formula>F239&gt;0</formula>
    </cfRule>
    <cfRule type="expression" dxfId="2079" priority="135">
      <formula>F239&lt;0</formula>
    </cfRule>
  </conditionalFormatting>
  <conditionalFormatting sqref="H239:H245">
    <cfRule type="expression" dxfId="2078" priority="130">
      <formula>H239&gt;0</formula>
    </cfRule>
    <cfRule type="expression" dxfId="2077" priority="131">
      <formula>H239&lt;0</formula>
    </cfRule>
  </conditionalFormatting>
  <conditionalFormatting sqref="Q8">
    <cfRule type="expression" dxfId="2076" priority="116">
      <formula>Q8&gt;0</formula>
    </cfRule>
    <cfRule type="expression" dxfId="2075" priority="117">
      <formula>Q8&lt;0</formula>
    </cfRule>
  </conditionalFormatting>
  <conditionalFormatting sqref="Q7">
    <cfRule type="expression" dxfId="2074" priority="118">
      <formula>Q7&gt;0</formula>
    </cfRule>
    <cfRule type="expression" dxfId="2073" priority="119">
      <formula>Q7&lt;0</formula>
    </cfRule>
  </conditionalFormatting>
  <conditionalFormatting sqref="F347:F353">
    <cfRule type="expression" dxfId="2072" priority="90">
      <formula>F347&gt;0</formula>
    </cfRule>
    <cfRule type="expression" dxfId="2071" priority="91">
      <formula>F347&lt;0</formula>
    </cfRule>
  </conditionalFormatting>
  <conditionalFormatting sqref="F272:F290 H272:H290">
    <cfRule type="expression" dxfId="2070" priority="112">
      <formula>F272&gt;0</formula>
    </cfRule>
    <cfRule type="expression" dxfId="2069" priority="113">
      <formula>F272&lt;0</formula>
    </cfRule>
  </conditionalFormatting>
  <conditionalFormatting sqref="F265:F271">
    <cfRule type="expression" dxfId="2068" priority="110">
      <formula>F265&gt;0</formula>
    </cfRule>
    <cfRule type="expression" dxfId="2067" priority="111">
      <formula>F265&lt;0</formula>
    </cfRule>
  </conditionalFormatting>
  <conditionalFormatting sqref="H265:H271">
    <cfRule type="expression" dxfId="2066" priority="108">
      <formula>H265&gt;0</formula>
    </cfRule>
    <cfRule type="expression" dxfId="2065" priority="109">
      <formula>H265&lt;0</formula>
    </cfRule>
  </conditionalFormatting>
  <conditionalFormatting sqref="F298:F316 H298:H316">
    <cfRule type="expression" dxfId="2064" priority="106">
      <formula>F298&gt;0</formula>
    </cfRule>
    <cfRule type="expression" dxfId="2063" priority="107">
      <formula>F298&lt;0</formula>
    </cfRule>
  </conditionalFormatting>
  <conditionalFormatting sqref="F291:F297">
    <cfRule type="expression" dxfId="2062" priority="104">
      <formula>F291&gt;0</formula>
    </cfRule>
    <cfRule type="expression" dxfId="2061" priority="105">
      <formula>F291&lt;0</formula>
    </cfRule>
  </conditionalFormatting>
  <conditionalFormatting sqref="H291:H297">
    <cfRule type="expression" dxfId="2060" priority="102">
      <formula>H291&gt;0</formula>
    </cfRule>
    <cfRule type="expression" dxfId="2059" priority="103">
      <formula>H291&lt;0</formula>
    </cfRule>
  </conditionalFormatting>
  <conditionalFormatting sqref="F324:F341 H324:H341">
    <cfRule type="expression" dxfId="2058" priority="100">
      <formula>F324&gt;0</formula>
    </cfRule>
    <cfRule type="expression" dxfId="2057" priority="101">
      <formula>F324&lt;0</formula>
    </cfRule>
  </conditionalFormatting>
  <conditionalFormatting sqref="F317:F323">
    <cfRule type="expression" dxfId="2056" priority="98">
      <formula>F317&gt;0</formula>
    </cfRule>
    <cfRule type="expression" dxfId="2055" priority="99">
      <formula>F317&lt;0</formula>
    </cfRule>
  </conditionalFormatting>
  <conditionalFormatting sqref="H317:H323">
    <cfRule type="expression" dxfId="2054" priority="96">
      <formula>H317&gt;0</formula>
    </cfRule>
    <cfRule type="expression" dxfId="2053" priority="97">
      <formula>H317&lt;0</formula>
    </cfRule>
  </conditionalFormatting>
  <conditionalFormatting sqref="F342:F346 H342:H346">
    <cfRule type="expression" dxfId="2052" priority="94">
      <formula>F342&gt;0</formula>
    </cfRule>
    <cfRule type="expression" dxfId="2051" priority="95">
      <formula>F342&lt;0</formula>
    </cfRule>
  </conditionalFormatting>
  <conditionalFormatting sqref="F354:F369 H354:H369">
    <cfRule type="expression" dxfId="2050" priority="92">
      <formula>F354&gt;0</formula>
    </cfRule>
    <cfRule type="expression" dxfId="2049" priority="93">
      <formula>F354&lt;0</formula>
    </cfRule>
  </conditionalFormatting>
  <conditionalFormatting sqref="H347:H353">
    <cfRule type="expression" dxfId="2048" priority="88">
      <formula>H347&gt;0</formula>
    </cfRule>
    <cfRule type="expression" dxfId="2047" priority="89">
      <formula>H347&lt;0</formula>
    </cfRule>
  </conditionalFormatting>
  <conditionalFormatting sqref="F370 H370">
    <cfRule type="expression" dxfId="2046" priority="86">
      <formula>F370&gt;0</formula>
    </cfRule>
    <cfRule type="expression" dxfId="2045" priority="87">
      <formula>F370&lt;0</formula>
    </cfRule>
  </conditionalFormatting>
  <conditionalFormatting sqref="F371:F375 H371:H375">
    <cfRule type="expression" dxfId="2044" priority="84">
      <formula>F371&gt;0</formula>
    </cfRule>
    <cfRule type="expression" dxfId="2043" priority="85">
      <formula>F371&lt;0</formula>
    </cfRule>
  </conditionalFormatting>
  <conditionalFormatting sqref="F383:F398 H383:H398">
    <cfRule type="expression" dxfId="2042" priority="82">
      <formula>F383&gt;0</formula>
    </cfRule>
    <cfRule type="expression" dxfId="2041" priority="83">
      <formula>F383&lt;0</formula>
    </cfRule>
  </conditionalFormatting>
  <conditionalFormatting sqref="F376:F382">
    <cfRule type="expression" dxfId="2040" priority="80">
      <formula>F376&gt;0</formula>
    </cfRule>
    <cfRule type="expression" dxfId="2039" priority="81">
      <formula>F376&lt;0</formula>
    </cfRule>
  </conditionalFormatting>
  <conditionalFormatting sqref="H376:H382">
    <cfRule type="expression" dxfId="2038" priority="78">
      <formula>H376&gt;0</formula>
    </cfRule>
    <cfRule type="expression" dxfId="2037" priority="79">
      <formula>H376&lt;0</formula>
    </cfRule>
  </conditionalFormatting>
  <conditionalFormatting sqref="F400:F405 H400:H405">
    <cfRule type="expression" dxfId="2036" priority="76">
      <formula>F400&gt;0</formula>
    </cfRule>
    <cfRule type="expression" dxfId="2035" priority="77">
      <formula>F400&lt;0</formula>
    </cfRule>
  </conditionalFormatting>
  <conditionalFormatting sqref="F406 H406">
    <cfRule type="expression" dxfId="2034" priority="74">
      <formula>F406&gt;0</formula>
    </cfRule>
    <cfRule type="expression" dxfId="2033" priority="75">
      <formula>F406&lt;0</formula>
    </cfRule>
  </conditionalFormatting>
  <conditionalFormatting sqref="F407:F411 H407:H411">
    <cfRule type="expression" dxfId="2032" priority="72">
      <formula>F407&gt;0</formula>
    </cfRule>
    <cfRule type="expression" dxfId="2031" priority="73">
      <formula>F407&lt;0</formula>
    </cfRule>
  </conditionalFormatting>
  <conditionalFormatting sqref="F419:F434 H419:H434">
    <cfRule type="expression" dxfId="2030" priority="70">
      <formula>F419&gt;0</formula>
    </cfRule>
    <cfRule type="expression" dxfId="2029" priority="71">
      <formula>F419&lt;0</formula>
    </cfRule>
  </conditionalFormatting>
  <conditionalFormatting sqref="F412:F418">
    <cfRule type="expression" dxfId="2028" priority="68">
      <formula>F412&gt;0</formula>
    </cfRule>
    <cfRule type="expression" dxfId="2027" priority="69">
      <formula>F412&lt;0</formula>
    </cfRule>
  </conditionalFormatting>
  <conditionalFormatting sqref="H412:H418">
    <cfRule type="expression" dxfId="2026" priority="66">
      <formula>H412&gt;0</formula>
    </cfRule>
    <cfRule type="expression" dxfId="2025" priority="67">
      <formula>H412&lt;0</formula>
    </cfRule>
  </conditionalFormatting>
  <conditionalFormatting sqref="F435:F440 H435:H440">
    <cfRule type="expression" dxfId="2024" priority="64">
      <formula>F435&gt;0</formula>
    </cfRule>
    <cfRule type="expression" dxfId="2023" priority="65">
      <formula>F435&lt;0</formula>
    </cfRule>
  </conditionalFormatting>
  <conditionalFormatting sqref="F441 H441">
    <cfRule type="expression" dxfId="2022" priority="62">
      <formula>F441&gt;0</formula>
    </cfRule>
    <cfRule type="expression" dxfId="2021" priority="63">
      <formula>F441&lt;0</formula>
    </cfRule>
  </conditionalFormatting>
  <conditionalFormatting sqref="F442:F446 H442:H446">
    <cfRule type="expression" dxfId="2020" priority="60">
      <formula>F442&gt;0</formula>
    </cfRule>
    <cfRule type="expression" dxfId="2019" priority="61">
      <formula>F442&lt;0</formula>
    </cfRule>
  </conditionalFormatting>
  <conditionalFormatting sqref="F454:F469 H454:H469">
    <cfRule type="expression" dxfId="2018" priority="58">
      <formula>F454&gt;0</formula>
    </cfRule>
    <cfRule type="expression" dxfId="2017" priority="59">
      <formula>F454&lt;0</formula>
    </cfRule>
  </conditionalFormatting>
  <conditionalFormatting sqref="F447:F453">
    <cfRule type="expression" dxfId="2016" priority="56">
      <formula>F447&gt;0</formula>
    </cfRule>
    <cfRule type="expression" dxfId="2015" priority="57">
      <formula>F447&lt;0</formula>
    </cfRule>
  </conditionalFormatting>
  <conditionalFormatting sqref="H447:H453">
    <cfRule type="expression" dxfId="2014" priority="54">
      <formula>H447&gt;0</formula>
    </cfRule>
    <cfRule type="expression" dxfId="2013" priority="55">
      <formula>H447&lt;0</formula>
    </cfRule>
  </conditionalFormatting>
  <conditionalFormatting sqref="M498">
    <cfRule type="expression" dxfId="2012" priority="52">
      <formula>M498&gt;0</formula>
    </cfRule>
    <cfRule type="expression" dxfId="2011" priority="53">
      <formula>M498&lt;0</formula>
    </cfRule>
  </conditionalFormatting>
  <conditionalFormatting sqref="F101:F112">
    <cfRule type="expression" dxfId="2010" priority="48">
      <formula>F101&gt;0</formula>
    </cfRule>
    <cfRule type="expression" dxfId="2009" priority="49">
      <formula>F101&lt;0</formula>
    </cfRule>
  </conditionalFormatting>
  <conditionalFormatting sqref="H101:H112">
    <cfRule type="expression" dxfId="2008" priority="46">
      <formula>H101&gt;0</formula>
    </cfRule>
    <cfRule type="expression" dxfId="2007" priority="47">
      <formula>H101&lt;0</formula>
    </cfRule>
  </conditionalFormatting>
  <conditionalFormatting sqref="F95:F100 H95:H100">
    <cfRule type="expression" dxfId="2006" priority="44">
      <formula>F95&gt;0</formula>
    </cfRule>
    <cfRule type="expression" dxfId="2005" priority="45">
      <formula>F95&lt;0</formula>
    </cfRule>
  </conditionalFormatting>
  <conditionalFormatting sqref="J97:K97">
    <cfRule type="expression" dxfId="2004" priority="42">
      <formula>J97&gt;0</formula>
    </cfRule>
    <cfRule type="expression" dxfId="2003" priority="43">
      <formula>J97&lt;0</formula>
    </cfRule>
  </conditionalFormatting>
  <conditionalFormatting sqref="J98:K104">
    <cfRule type="expression" dxfId="2002" priority="40">
      <formula>J98&gt;0</formula>
    </cfRule>
    <cfRule type="expression" dxfId="2001" priority="41">
      <formula>J98&lt;0</formula>
    </cfRule>
  </conditionalFormatting>
  <conditionalFormatting sqref="L97:L179 L186 L188">
    <cfRule type="expression" dxfId="2000" priority="36">
      <formula>L97&gt;0</formula>
    </cfRule>
    <cfRule type="expression" dxfId="1999" priority="37">
      <formula>L97&lt;0</formula>
    </cfRule>
  </conditionalFormatting>
  <conditionalFormatting sqref="Q10">
    <cfRule type="expression" dxfId="1998" priority="34">
      <formula>Q10&gt;0</formula>
    </cfRule>
    <cfRule type="expression" dxfId="1997" priority="35">
      <formula>Q10&lt;0</formula>
    </cfRule>
  </conditionalFormatting>
  <conditionalFormatting sqref="K208:K209 H208:H210 F208:F210">
    <cfRule type="expression" dxfId="1996" priority="31">
      <formula>F208&gt;0</formula>
    </cfRule>
    <cfRule type="expression" dxfId="1995" priority="32">
      <formula>F208&lt;0</formula>
    </cfRule>
  </conditionalFormatting>
  <conditionalFormatting sqref="K204:K206 H204:H206 F204:F206">
    <cfRule type="expression" dxfId="1994" priority="29">
      <formula>F204&gt;0</formula>
    </cfRule>
    <cfRule type="expression" dxfId="1993" priority="30">
      <formula>F204&lt;0</formula>
    </cfRule>
  </conditionalFormatting>
  <conditionalFormatting sqref="K202:K203 H203 F203">
    <cfRule type="expression" dxfId="1992" priority="27">
      <formula>F202&gt;0</formula>
    </cfRule>
    <cfRule type="expression" dxfId="1991" priority="28">
      <formula>F202&lt;0</formula>
    </cfRule>
  </conditionalFormatting>
  <conditionalFormatting sqref="K207 H207 F207">
    <cfRule type="expression" dxfId="1990" priority="25">
      <formula>F207&gt;0</formula>
    </cfRule>
    <cfRule type="expression" dxfId="1989" priority="26">
      <formula>F207&lt;0</formula>
    </cfRule>
  </conditionalFormatting>
  <conditionalFormatting sqref="K215:K216">
    <cfRule type="expression" dxfId="1988" priority="23">
      <formula>K215&gt;0</formula>
    </cfRule>
    <cfRule type="expression" dxfId="1987" priority="24">
      <formula>K215&lt;0</formula>
    </cfRule>
  </conditionalFormatting>
  <conditionalFormatting sqref="K213:K214 H213:H216 F213:F216">
    <cfRule type="expression" dxfId="1986" priority="21">
      <formula>F213&gt;0</formula>
    </cfRule>
    <cfRule type="expression" dxfId="1985" priority="22">
      <formula>F213&lt;0</formula>
    </cfRule>
  </conditionalFormatting>
  <conditionalFormatting sqref="H211:H212 F211:F212 K211:K212">
    <cfRule type="expression" dxfId="1984" priority="19">
      <formula>F211&gt;0</formula>
    </cfRule>
    <cfRule type="expression" dxfId="1983" priority="20">
      <formula>F211&lt;0</formula>
    </cfRule>
  </conditionalFormatting>
  <conditionalFormatting sqref="K233:K234 H233:H234 F233:F234">
    <cfRule type="expression" dxfId="1982" priority="17">
      <formula>F233&gt;0</formula>
    </cfRule>
    <cfRule type="expression" dxfId="1981" priority="18">
      <formula>F233&lt;0</formula>
    </cfRule>
  </conditionalFormatting>
  <conditionalFormatting sqref="K219:K220 H219:H221 F219:F221">
    <cfRule type="expression" dxfId="1980" priority="15">
      <formula>F219&gt;0</formula>
    </cfRule>
    <cfRule type="expression" dxfId="1979" priority="16">
      <formula>F219&lt;0</formula>
    </cfRule>
  </conditionalFormatting>
  <conditionalFormatting sqref="K217:K218 H217:H218 F217:F218">
    <cfRule type="expression" dxfId="1978" priority="13">
      <formula>F217&gt;0</formula>
    </cfRule>
    <cfRule type="expression" dxfId="1977" priority="14">
      <formula>F217&lt;0</formula>
    </cfRule>
  </conditionalFormatting>
  <conditionalFormatting sqref="K231:K232 H231:H232 F231:F232">
    <cfRule type="expression" dxfId="1976" priority="11">
      <formula>F231&gt;0</formula>
    </cfRule>
    <cfRule type="expression" dxfId="1975" priority="12">
      <formula>F231&lt;0</formula>
    </cfRule>
  </conditionalFormatting>
  <conditionalFormatting sqref="K229:K230 H230 F230">
    <cfRule type="expression" dxfId="1974" priority="9">
      <formula>F229&gt;0</formula>
    </cfRule>
    <cfRule type="expression" dxfId="1973" priority="10">
      <formula>F229&lt;0</formula>
    </cfRule>
  </conditionalFormatting>
  <conditionalFormatting sqref="K227:K228 H227:H229 F227:F229">
    <cfRule type="expression" dxfId="1972" priority="7">
      <formula>F227&gt;0</formula>
    </cfRule>
    <cfRule type="expression" dxfId="1971" priority="8">
      <formula>F227&lt;0</formula>
    </cfRule>
  </conditionalFormatting>
  <conditionalFormatting sqref="K225:K226 H226 F226">
    <cfRule type="expression" dxfId="1970" priority="5">
      <formula>F225&gt;0</formula>
    </cfRule>
    <cfRule type="expression" dxfId="1969" priority="6">
      <formula>F225&lt;0</formula>
    </cfRule>
  </conditionalFormatting>
  <conditionalFormatting sqref="K223:K224 H223:H225 F223:F225">
    <cfRule type="expression" dxfId="1968" priority="3">
      <formula>F223&gt;0</formula>
    </cfRule>
    <cfRule type="expression" dxfId="1967" priority="4">
      <formula>F223&lt;0</formula>
    </cfRule>
  </conditionalFormatting>
  <conditionalFormatting sqref="K221:K222 H222 F222">
    <cfRule type="expression" dxfId="1966" priority="1">
      <formula>F221&gt;0</formula>
    </cfRule>
    <cfRule type="expression" dxfId="1965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182</v>
      </c>
      <c r="AJ2">
        <f>$Q$2*$Q$4</f>
        <v>5495.96</v>
      </c>
      <c r="AK2">
        <f ca="1">AJ2*EXP(-$X$2 * AI2/365.25)</f>
        <v>5495.96</v>
      </c>
      <c r="AM2" s="2">
        <f>Q10</f>
        <v>0</v>
      </c>
      <c r="AO2">
        <f ca="1" xml:space="preserve"> (SUM(AB:AB) - SUM(AE:AE) - SUM(AH:AH) - SUM(AK:AK))/SUM(AB:AB)</f>
        <v>5.222319003945277E-2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15.013949999999999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13.7399</v>
      </c>
      <c r="R4" s="495">
        <v>7.7600000000000002E-2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5495.96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6005.58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74">
        <v>43266</v>
      </c>
      <c r="C7" s="4">
        <v>100</v>
      </c>
      <c r="D7" s="3">
        <v>13.34</v>
      </c>
      <c r="E7" s="3">
        <v>0</v>
      </c>
      <c r="F7" s="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-509.61999999999989</v>
      </c>
      <c r="R7">
        <v>300</v>
      </c>
      <c r="T7" s="1">
        <v>43117</v>
      </c>
      <c r="U7" t="s">
        <v>896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-509.61999999999989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-8.4857748960133719E-2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3.4934752072431387E-2</v>
      </c>
      <c r="R11">
        <f>0.12</f>
        <v>0.12</v>
      </c>
      <c r="T11" s="818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14.463052631578948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1113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1117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9" t="s">
        <v>78</v>
      </c>
      <c r="P20" s="849"/>
      <c r="W20" s="134"/>
    </row>
    <row r="21" spans="1:34" ht="15.75" thickTop="1" x14ac:dyDescent="0.25">
      <c r="O21" s="81">
        <v>1.1000000000000001</v>
      </c>
      <c r="P21" s="81">
        <f>O21*$Q$4</f>
        <v>15.113890000000001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14.976491000000001</v>
      </c>
      <c r="W22" s="134"/>
    </row>
    <row r="23" spans="1:34" x14ac:dyDescent="0.25">
      <c r="O23" s="81">
        <v>1.08</v>
      </c>
      <c r="P23" s="81">
        <f t="shared" si="10"/>
        <v>14.839092000000001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14.701693000000001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14.564294000000002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14.426895000000002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14.289496000000002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14.152097000000001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14.014698000000001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13.877299000000001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13.7399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13.602501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7" si="29">C33*(E33-D33)</f>
        <v>-920.00000000000023</v>
      </c>
      <c r="G33" s="39">
        <f t="shared" ref="G33:G37" si="30">D33*C33</f>
        <v>6296</v>
      </c>
      <c r="H33" s="222">
        <f t="shared" ref="H33:H37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13.465102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13.327703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13.190303999999999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13.052904999999999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29"/>
        <v>-685.59999999999945</v>
      </c>
      <c r="G37" s="39">
        <f t="shared" si="30"/>
        <v>6005.5999999999995</v>
      </c>
      <c r="H37" s="222">
        <f t="shared" si="31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12.915505999999999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12.778107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12.640708000000002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12.503309000000002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12.365910000000001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4" priority="25">
      <formula>F47&gt;0</formula>
    </cfRule>
    <cfRule type="expression" dxfId="1963" priority="26">
      <formula>F47&lt;0</formula>
    </cfRule>
  </conditionalFormatting>
  <conditionalFormatting sqref="Q7">
    <cfRule type="expression" dxfId="1962" priority="23">
      <formula>Q7&gt;0</formula>
    </cfRule>
    <cfRule type="expression" dxfId="1961" priority="24">
      <formula>Q7&lt;0</formula>
    </cfRule>
  </conditionalFormatting>
  <conditionalFormatting sqref="Q8">
    <cfRule type="expression" dxfId="1960" priority="21">
      <formula>Q8&gt;0</formula>
    </cfRule>
    <cfRule type="expression" dxfId="1959" priority="22">
      <formula>Q8&lt;0</formula>
    </cfRule>
  </conditionalFormatting>
  <conditionalFormatting sqref="F25:F30 F34:F46">
    <cfRule type="expression" dxfId="1958" priority="19">
      <formula>F25&gt;0</formula>
    </cfRule>
    <cfRule type="expression" dxfId="1957" priority="20">
      <formula>F25&lt;0</formula>
    </cfRule>
  </conditionalFormatting>
  <conditionalFormatting sqref="H25:H30 H34:H46">
    <cfRule type="expression" dxfId="1956" priority="17">
      <formula>H25&gt;0</formula>
    </cfRule>
    <cfRule type="expression" dxfId="1955" priority="18">
      <formula>H25&lt;0</formula>
    </cfRule>
  </conditionalFormatting>
  <conditionalFormatting sqref="F89:F110">
    <cfRule type="expression" dxfId="1954" priority="15">
      <formula>F89&gt;0</formula>
    </cfRule>
    <cfRule type="expression" dxfId="1953" priority="16">
      <formula>F89&lt;0</formula>
    </cfRule>
  </conditionalFormatting>
  <conditionalFormatting sqref="H89:H110">
    <cfRule type="expression" dxfId="1952" priority="13">
      <formula>H89&gt;0</formula>
    </cfRule>
    <cfRule type="expression" dxfId="1951" priority="14">
      <formula>H89&lt;0</formula>
    </cfRule>
  </conditionalFormatting>
  <conditionalFormatting sqref="Q10">
    <cfRule type="expression" dxfId="1950" priority="11">
      <formula>Q10&gt;0</formula>
    </cfRule>
    <cfRule type="expression" dxfId="1949" priority="12">
      <formula>Q10&lt;0</formula>
    </cfRule>
  </conditionalFormatting>
  <conditionalFormatting sqref="J25:J38">
    <cfRule type="expression" dxfId="1948" priority="9">
      <formula>J25&gt;0</formula>
    </cfRule>
    <cfRule type="expression" dxfId="1947" priority="10">
      <formula>J25&lt;0</formula>
    </cfRule>
  </conditionalFormatting>
  <conditionalFormatting sqref="K25:K38">
    <cfRule type="expression" dxfId="1946" priority="7">
      <formula>K25&gt;0</formula>
    </cfRule>
    <cfRule type="expression" dxfId="1945" priority="8">
      <formula>K25&lt;0</formula>
    </cfRule>
  </conditionalFormatting>
  <conditionalFormatting sqref="L25:L38">
    <cfRule type="expression" dxfId="1944" priority="5">
      <formula>L25&gt;0</formula>
    </cfRule>
    <cfRule type="expression" dxfId="194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42" priority="3">
      <formula>F31&gt;0</formula>
    </cfRule>
    <cfRule type="expression" dxfId="1941" priority="4">
      <formula>F31&lt;0</formula>
    </cfRule>
  </conditionalFormatting>
  <conditionalFormatting sqref="H31:H33">
    <cfRule type="expression" dxfId="1940" priority="1">
      <formula>H31&gt;0</formula>
    </cfRule>
    <cfRule type="expression" dxfId="193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44.279899999999998</v>
      </c>
      <c r="R4" s="495">
        <v>-1.03E-2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8855.98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-1023.2700000000004</v>
      </c>
      <c r="R7">
        <v>200</v>
      </c>
      <c r="U7" t="s">
        <v>1072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-1023.2700000000004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-0.10357770073639197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17.030730769230768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48.707889999999999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48.265090999999998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47.822291999999997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47.379493000000004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46.936694000000003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46.493895000000002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46.051096000000001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4" si="14">C30*(E30-D30)</f>
        <v>-347.24999999999966</v>
      </c>
      <c r="G30" s="39">
        <f t="shared" ref="G30:G34" si="15">D30*C30</f>
        <v>5271.25</v>
      </c>
      <c r="H30" s="222">
        <f t="shared" ref="H30:H34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45.608297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45.165497999999999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44.722698999999999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44.279899999999998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4"/>
        <v>-965.25999999999931</v>
      </c>
      <c r="G34" s="39">
        <f t="shared" si="15"/>
        <v>9879.2599999999984</v>
      </c>
      <c r="H34" s="222">
        <f t="shared" si="16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43.837100999999997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43.394301999999996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42.951502999999995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42.508703999999994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42.065904999999994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41.623105999999993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41.180306999999999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40.737507999999998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40.294708999999997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39.851909999999997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8" priority="31">
      <formula>F47&gt;0</formula>
    </cfRule>
    <cfRule type="expression" dxfId="1937" priority="32">
      <formula>F47&lt;0</formula>
    </cfRule>
  </conditionalFormatting>
  <conditionalFormatting sqref="Q7">
    <cfRule type="expression" dxfId="1936" priority="29">
      <formula>Q7&gt;0</formula>
    </cfRule>
    <cfRule type="expression" dxfId="1935" priority="30">
      <formula>Q7&lt;0</formula>
    </cfRule>
  </conditionalFormatting>
  <conditionalFormatting sqref="Q8">
    <cfRule type="expression" dxfId="1934" priority="27">
      <formula>Q8&gt;0</formula>
    </cfRule>
    <cfRule type="expression" dxfId="1933" priority="28">
      <formula>Q8&lt;0</formula>
    </cfRule>
  </conditionalFormatting>
  <conditionalFormatting sqref="F31:F46">
    <cfRule type="expression" dxfId="1932" priority="25">
      <formula>F31&gt;0</formula>
    </cfRule>
    <cfRule type="expression" dxfId="1931" priority="26">
      <formula>F31&lt;0</formula>
    </cfRule>
  </conditionalFormatting>
  <conditionalFormatting sqref="H31:H46">
    <cfRule type="expression" dxfId="1930" priority="23">
      <formula>H31&gt;0</formula>
    </cfRule>
    <cfRule type="expression" dxfId="1929" priority="24">
      <formula>H31&lt;0</formula>
    </cfRule>
  </conditionalFormatting>
  <conditionalFormatting sqref="Q10">
    <cfRule type="expression" dxfId="1928" priority="21">
      <formula>Q10&gt;0</formula>
    </cfRule>
    <cfRule type="expression" dxfId="1927" priority="22">
      <formula>Q10&lt;0</formula>
    </cfRule>
  </conditionalFormatting>
  <conditionalFormatting sqref="J25:J38">
    <cfRule type="expression" dxfId="1926" priority="19">
      <formula>J25&gt;0</formula>
    </cfRule>
    <cfRule type="expression" dxfId="1925" priority="20">
      <formula>J25&lt;0</formula>
    </cfRule>
  </conditionalFormatting>
  <conditionalFormatting sqref="K35:K38">
    <cfRule type="expression" dxfId="1924" priority="17">
      <formula>K35&gt;0</formula>
    </cfRule>
    <cfRule type="expression" dxfId="1923" priority="18">
      <formula>K35&lt;0</formula>
    </cfRule>
  </conditionalFormatting>
  <conditionalFormatting sqref="L25:L38">
    <cfRule type="expression" dxfId="1922" priority="15">
      <formula>L25&gt;0</formula>
    </cfRule>
    <cfRule type="expression" dxfId="1921" priority="16">
      <formula>L25&lt;0</formula>
    </cfRule>
  </conditionalFormatting>
  <conditionalFormatting sqref="F89:F110">
    <cfRule type="expression" dxfId="1920" priority="13">
      <formula>F89&gt;0</formula>
    </cfRule>
    <cfRule type="expression" dxfId="1919" priority="14">
      <formula>F89&lt;0</formula>
    </cfRule>
  </conditionalFormatting>
  <conditionalFormatting sqref="H89:H110">
    <cfRule type="expression" dxfId="1918" priority="11">
      <formula>H89&gt;0</formula>
    </cfRule>
    <cfRule type="expression" dxfId="1917" priority="12">
      <formula>H89&lt;0</formula>
    </cfRule>
  </conditionalFormatting>
  <conditionalFormatting sqref="J89:J102">
    <cfRule type="expression" dxfId="1916" priority="9">
      <formula>J89&gt;0</formula>
    </cfRule>
    <cfRule type="expression" dxfId="1915" priority="10">
      <formula>J89&lt;0</formula>
    </cfRule>
  </conditionalFormatting>
  <conditionalFormatting sqref="K89:K102">
    <cfRule type="expression" dxfId="1914" priority="7">
      <formula>K89&gt;0</formula>
    </cfRule>
    <cfRule type="expression" dxfId="1913" priority="8">
      <formula>K89&lt;0</formula>
    </cfRule>
  </conditionalFormatting>
  <conditionalFormatting sqref="L89:L102">
    <cfRule type="expression" dxfId="1912" priority="5">
      <formula>L89&gt;0</formula>
    </cfRule>
    <cfRule type="expression" dxfId="1911" priority="6">
      <formula>L89&lt;0</formula>
    </cfRule>
  </conditionalFormatting>
  <conditionalFormatting sqref="F25:F30">
    <cfRule type="expression" dxfId="1910" priority="3">
      <formula>F25&gt;0</formula>
    </cfRule>
    <cfRule type="expression" dxfId="1909" priority="4">
      <formula>F25&lt;0</formula>
    </cfRule>
  </conditionalFormatting>
  <conditionalFormatting sqref="H25:H30">
    <cfRule type="expression" dxfId="1908" priority="1">
      <formula>H25&gt;0</formula>
    </cfRule>
    <cfRule type="expression" dxfId="190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48.044899999999998</v>
      </c>
      <c r="T3" s="1"/>
      <c r="U3" s="22" t="s">
        <v>1081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51.67</v>
      </c>
      <c r="R4" s="495">
        <v>-4.1999999999999997E-3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5167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4804.49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362.51000000000022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362.51000000000022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7.5452337292824051E-2</v>
      </c>
      <c r="T9" s="156"/>
      <c r="U9" t="s">
        <v>1080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2.9030385136442811E-2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21" ht="15.75" thickTop="1" x14ac:dyDescent="0.25">
      <c r="O17" s="81">
        <v>1.1000000000000001</v>
      </c>
      <c r="P17" s="81">
        <f>O17*$Q$4</f>
        <v>56.837000000000003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39.380000000000003</v>
      </c>
      <c r="O18" s="81">
        <v>1.0900000000000001</v>
      </c>
      <c r="P18" s="81">
        <f t="shared" ref="P18:P37" si="2">O18*$Q$4</f>
        <v>56.320300000000003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39</v>
      </c>
      <c r="O19" s="81">
        <v>1.08</v>
      </c>
      <c r="P19" s="81">
        <f t="shared" si="2"/>
        <v>55.803600000000003</v>
      </c>
    </row>
    <row r="20" spans="1:21" x14ac:dyDescent="0.25">
      <c r="O20" s="81">
        <v>1.07</v>
      </c>
      <c r="P20" s="81">
        <f t="shared" si="2"/>
        <v>55.286900000000003</v>
      </c>
    </row>
    <row r="21" spans="1:21" x14ac:dyDescent="0.25">
      <c r="O21" s="81">
        <v>1.06</v>
      </c>
      <c r="P21" s="81">
        <f t="shared" si="2"/>
        <v>54.770200000000003</v>
      </c>
    </row>
    <row r="22" spans="1:21" x14ac:dyDescent="0.25">
      <c r="O22" s="81">
        <v>1.05</v>
      </c>
      <c r="P22" s="81">
        <f t="shared" si="2"/>
        <v>54.253500000000003</v>
      </c>
    </row>
    <row r="23" spans="1:21" x14ac:dyDescent="0.25">
      <c r="O23" s="81">
        <v>1.04</v>
      </c>
      <c r="P23" s="81">
        <f t="shared" si="2"/>
        <v>53.736800000000002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53.220100000000002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52.703400000000002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52.186700000000002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 t="shared" ref="G27" si="6">D27*C27</f>
        <v>4804.49</v>
      </c>
      <c r="H27" s="222">
        <f t="shared" ref="H27" si="7">(E27-D27)/D27</f>
        <v>6.3796573621758002E-2</v>
      </c>
      <c r="I27" s="39"/>
      <c r="J27" s="39"/>
      <c r="K27" s="39"/>
      <c r="L27" s="39"/>
      <c r="O27" s="81">
        <v>1</v>
      </c>
      <c r="P27" s="81">
        <f t="shared" si="2"/>
        <v>51.67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51.153300000000002</v>
      </c>
      <c r="U28" t="s">
        <v>1079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50.636600000000001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50.119900000000001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49.603200000000001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49.086500000000001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48.569800000000001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48.053100000000001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47.5364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47.0197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46.503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06" priority="35">
      <formula>F47&gt;0</formula>
    </cfRule>
    <cfRule type="expression" dxfId="1905" priority="36">
      <formula>F47&lt;0</formula>
    </cfRule>
  </conditionalFormatting>
  <conditionalFormatting sqref="Q7">
    <cfRule type="expression" dxfId="1904" priority="33">
      <formula>Q7&gt;0</formula>
    </cfRule>
    <cfRule type="expression" dxfId="1903" priority="34">
      <formula>Q7&lt;0</formula>
    </cfRule>
  </conditionalFormatting>
  <conditionalFormatting sqref="Q8">
    <cfRule type="expression" dxfId="1902" priority="31">
      <formula>Q8&gt;0</formula>
    </cfRule>
    <cfRule type="expression" dxfId="1901" priority="32">
      <formula>Q8&lt;0</formula>
    </cfRule>
  </conditionalFormatting>
  <conditionalFormatting sqref="F30:F46">
    <cfRule type="expression" dxfId="1900" priority="29">
      <formula>F30&gt;0</formula>
    </cfRule>
    <cfRule type="expression" dxfId="1899" priority="30">
      <formula>F30&lt;0</formula>
    </cfRule>
  </conditionalFormatting>
  <conditionalFormatting sqref="H30:H46">
    <cfRule type="expression" dxfId="1898" priority="27">
      <formula>H30&gt;0</formula>
    </cfRule>
    <cfRule type="expression" dxfId="1897" priority="28">
      <formula>H30&lt;0</formula>
    </cfRule>
  </conditionalFormatting>
  <conditionalFormatting sqref="Q10">
    <cfRule type="expression" dxfId="1896" priority="25">
      <formula>Q10&gt;0</formula>
    </cfRule>
    <cfRule type="expression" dxfId="1895" priority="26">
      <formula>Q10&lt;0</formula>
    </cfRule>
  </conditionalFormatting>
  <conditionalFormatting sqref="J25:J38">
    <cfRule type="expression" dxfId="1894" priority="23">
      <formula>J25&gt;0</formula>
    </cfRule>
    <cfRule type="expression" dxfId="1893" priority="24">
      <formula>J25&lt;0</formula>
    </cfRule>
  </conditionalFormatting>
  <conditionalFormatting sqref="K25:K38">
    <cfRule type="expression" dxfId="1892" priority="21">
      <formula>K25&gt;0</formula>
    </cfRule>
    <cfRule type="expression" dxfId="1891" priority="22">
      <formula>K25&lt;0</formula>
    </cfRule>
  </conditionalFormatting>
  <conditionalFormatting sqref="L25 L38">
    <cfRule type="expression" dxfId="1890" priority="19">
      <formula>L25&gt;0</formula>
    </cfRule>
    <cfRule type="expression" dxfId="1889" priority="20">
      <formula>L25&lt;0</formula>
    </cfRule>
  </conditionalFormatting>
  <conditionalFormatting sqref="F89:F110">
    <cfRule type="expression" dxfId="1888" priority="17">
      <formula>F89&gt;0</formula>
    </cfRule>
    <cfRule type="expression" dxfId="1887" priority="18">
      <formula>F89&lt;0</formula>
    </cfRule>
  </conditionalFormatting>
  <conditionalFormatting sqref="H89:H110">
    <cfRule type="expression" dxfId="1886" priority="15">
      <formula>H89&gt;0</formula>
    </cfRule>
    <cfRule type="expression" dxfId="1885" priority="16">
      <formula>H89&lt;0</formula>
    </cfRule>
  </conditionalFormatting>
  <conditionalFormatting sqref="J89:J102">
    <cfRule type="expression" dxfId="1884" priority="13">
      <formula>J89&gt;0</formula>
    </cfRule>
    <cfRule type="expression" dxfId="1883" priority="14">
      <formula>J89&lt;0</formula>
    </cfRule>
  </conditionalFormatting>
  <conditionalFormatting sqref="K89:K102">
    <cfRule type="expression" dxfId="1882" priority="11">
      <formula>K89&gt;0</formula>
    </cfRule>
    <cfRule type="expression" dxfId="1881" priority="12">
      <formula>K89&lt;0</formula>
    </cfRule>
  </conditionalFormatting>
  <conditionalFormatting sqref="L89:L102">
    <cfRule type="expression" dxfId="1880" priority="9">
      <formula>L89&gt;0</formula>
    </cfRule>
    <cfRule type="expression" dxfId="1879" priority="10">
      <formula>L89&lt;0</formula>
    </cfRule>
  </conditionalFormatting>
  <conditionalFormatting sqref="F25 F29">
    <cfRule type="expression" dxfId="1878" priority="7">
      <formula>F25&gt;0</formula>
    </cfRule>
    <cfRule type="expression" dxfId="1877" priority="8">
      <formula>F25&lt;0</formula>
    </cfRule>
  </conditionalFormatting>
  <conditionalFormatting sqref="H29 H25:H27">
    <cfRule type="expression" dxfId="1876" priority="5">
      <formula>H25&gt;0</formula>
    </cfRule>
    <cfRule type="expression" dxfId="1875" priority="6">
      <formula>H25&lt;0</formula>
    </cfRule>
  </conditionalFormatting>
  <conditionalFormatting sqref="F26:F28">
    <cfRule type="expression" dxfId="1874" priority="3">
      <formula>F26&gt;0</formula>
    </cfRule>
    <cfRule type="expression" dxfId="1873" priority="4">
      <formula>F26&lt;0</formula>
    </cfRule>
  </conditionalFormatting>
  <conditionalFormatting sqref="H28">
    <cfRule type="expression" dxfId="1872" priority="1">
      <formula>H28&gt;0</formula>
    </cfRule>
    <cfRule type="expression" dxfId="187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6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7" t="s">
        <v>348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4" t="s">
        <v>460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</v>
      </c>
      <c r="R4" s="222">
        <v>-1.1299999999999999E-2</v>
      </c>
      <c r="T4" s="34" t="s">
        <v>672</v>
      </c>
      <c r="U4" s="22" t="s">
        <v>671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43500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4" t="s">
        <v>1016</v>
      </c>
      <c r="U6" t="s">
        <v>1018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3674.2199999999648</v>
      </c>
      <c r="R7" s="29">
        <v>43297</v>
      </c>
      <c r="T7" s="814" t="s">
        <v>1152</v>
      </c>
      <c r="U7" t="s">
        <v>1153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1926.2499999999709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4.633332331098277E-2</v>
      </c>
      <c r="T9" s="814" t="s">
        <v>517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1.7241379310344827E-2</v>
      </c>
      <c r="R11">
        <f>0.125</f>
        <v>0.125</v>
      </c>
      <c r="T11" s="814">
        <v>43095</v>
      </c>
      <c r="U11" t="s">
        <v>785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/>
      <c r="U12" t="s">
        <v>791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14.146341463414636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4">
        <v>43102</v>
      </c>
      <c r="U14" t="s">
        <v>848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4">
        <v>43104</v>
      </c>
      <c r="U17" t="s">
        <v>846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4">
        <v>43105</v>
      </c>
      <c r="U19" t="s">
        <v>852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4">
        <v>43112</v>
      </c>
      <c r="U21" t="s">
        <v>860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9" t="s">
        <v>78</v>
      </c>
      <c r="P22" s="849"/>
      <c r="U22" t="s">
        <v>861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31.900000000000002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31.610000000000003</v>
      </c>
      <c r="Q24" s="2"/>
      <c r="T24" s="814">
        <v>43126</v>
      </c>
      <c r="U24" t="s">
        <v>912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31.32</v>
      </c>
      <c r="Q25" s="2"/>
      <c r="U25" t="s">
        <v>913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31.03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30.740000000000002</v>
      </c>
      <c r="Q27" s="2"/>
      <c r="T27" s="815">
        <v>43153</v>
      </c>
      <c r="U27" t="s">
        <v>952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30.450000000000003</v>
      </c>
      <c r="Q28" s="2"/>
      <c r="T28" s="815"/>
      <c r="W28" s="134"/>
      <c r="AA28" s="2"/>
      <c r="AD28" s="2"/>
      <c r="AG28" s="2"/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30.16</v>
      </c>
      <c r="Q29" s="2"/>
      <c r="T29" s="815">
        <v>43161</v>
      </c>
      <c r="U29" t="s">
        <v>951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29.87</v>
      </c>
      <c r="Q30" s="2"/>
      <c r="T30" s="815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29.580000000000002</v>
      </c>
      <c r="Q31" s="2"/>
      <c r="T31" s="815">
        <v>43167</v>
      </c>
      <c r="U31" t="s">
        <v>978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29.29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</v>
      </c>
      <c r="Q33" s="2"/>
      <c r="T33" s="814">
        <v>43196</v>
      </c>
      <c r="U33" t="s">
        <v>971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28.71</v>
      </c>
      <c r="Q34" s="2"/>
      <c r="U34" t="s">
        <v>993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28.419999999999998</v>
      </c>
      <c r="Q35" s="2"/>
      <c r="T35" s="814">
        <v>43200</v>
      </c>
      <c r="U35" t="s">
        <v>1008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28.13</v>
      </c>
      <c r="T36" s="814">
        <v>43203</v>
      </c>
      <c r="U36" t="s">
        <v>1007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27.84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" si="3">D38*C38+E38</f>
        <v>1942.4</v>
      </c>
      <c r="G38" s="29"/>
      <c r="O38" s="81">
        <v>0.95</v>
      </c>
      <c r="P38" s="81">
        <f t="shared" si="2"/>
        <v>27.549999999999997</v>
      </c>
      <c r="T38" s="814">
        <v>43210</v>
      </c>
      <c r="U38" t="s">
        <v>1013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ref="F39:F43" si="4">D39*C39+E39</f>
        <v>4856</v>
      </c>
      <c r="G39" s="29"/>
      <c r="O39" s="81">
        <v>0.94</v>
      </c>
      <c r="P39" s="81">
        <f t="shared" si="2"/>
        <v>27.259999999999998</v>
      </c>
      <c r="U39" t="s">
        <v>1014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4"/>
        <v>5080</v>
      </c>
      <c r="G40" s="29"/>
      <c r="O40" s="81">
        <v>0.93</v>
      </c>
      <c r="P40" s="81">
        <f t="shared" si="2"/>
        <v>26.970000000000002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4"/>
        <v>7395</v>
      </c>
      <c r="G41" s="477"/>
      <c r="O41" s="81">
        <v>0.92</v>
      </c>
      <c r="P41" s="81">
        <f t="shared" si="2"/>
        <v>26.68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4"/>
        <v>7581</v>
      </c>
      <c r="G42" s="477"/>
      <c r="O42" s="81">
        <v>0.91</v>
      </c>
      <c r="P42" s="81">
        <f t="shared" si="2"/>
        <v>26.39</v>
      </c>
      <c r="T42" s="814">
        <v>43214</v>
      </c>
      <c r="U42" t="s">
        <v>1019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4"/>
        <v>4914</v>
      </c>
      <c r="G43" s="29"/>
      <c r="O43" s="81">
        <v>0.9</v>
      </c>
      <c r="P43" s="81">
        <f t="shared" si="2"/>
        <v>26.1</v>
      </c>
      <c r="T43" s="814">
        <v>43221</v>
      </c>
      <c r="U43" t="s">
        <v>1060</v>
      </c>
      <c r="W43" s="134"/>
      <c r="AA43" s="2"/>
      <c r="AD43" s="2"/>
      <c r="AG43" s="2"/>
      <c r="AI43" s="2"/>
    </row>
    <row r="44" spans="1:39" x14ac:dyDescent="0.25">
      <c r="A44" t="s">
        <v>1146</v>
      </c>
      <c r="B44" s="476">
        <v>43266</v>
      </c>
      <c r="C44" s="7">
        <v>20</v>
      </c>
      <c r="D44" s="43">
        <v>25.78</v>
      </c>
      <c r="E44" s="43">
        <v>0</v>
      </c>
      <c r="F44" s="43">
        <f>D44*C44+E44</f>
        <v>515.6</v>
      </c>
      <c r="G44" s="29"/>
      <c r="T44" s="815">
        <v>43223</v>
      </c>
      <c r="U44" t="s">
        <v>1058</v>
      </c>
      <c r="W44" s="134"/>
      <c r="AA44" s="2"/>
      <c r="AD44" s="2"/>
      <c r="AG44" s="2"/>
      <c r="AI44" s="2"/>
    </row>
    <row r="45" spans="1:39" x14ac:dyDescent="0.25">
      <c r="B45" s="735">
        <v>43266</v>
      </c>
      <c r="C45" s="7">
        <v>200</v>
      </c>
      <c r="D45" s="43">
        <v>25.78</v>
      </c>
      <c r="E45" s="43">
        <v>0</v>
      </c>
      <c r="F45" s="43">
        <f>D45*C45+E45</f>
        <v>5156</v>
      </c>
      <c r="G45" s="29"/>
      <c r="W45" s="134"/>
      <c r="AA45" s="2"/>
      <c r="AD45" s="2"/>
      <c r="AG45" s="2"/>
      <c r="AI45" s="2"/>
    </row>
    <row r="46" spans="1:39" x14ac:dyDescent="0.25">
      <c r="B46" s="735">
        <v>43272</v>
      </c>
      <c r="C46" s="7">
        <v>300</v>
      </c>
      <c r="D46" s="43">
        <v>27.98</v>
      </c>
      <c r="E46" s="43">
        <v>0</v>
      </c>
      <c r="F46" s="43">
        <f>D46*C46+E46</f>
        <v>8394</v>
      </c>
      <c r="G46" s="29"/>
      <c r="T46" s="814">
        <v>43224</v>
      </c>
      <c r="U46" s="475" t="s">
        <v>1059</v>
      </c>
      <c r="W46" s="134"/>
      <c r="AA46" s="2"/>
      <c r="AD46" s="2"/>
      <c r="AG46" s="2"/>
      <c r="AI46" s="2"/>
    </row>
    <row r="47" spans="1:39" x14ac:dyDescent="0.25">
      <c r="B47" s="735">
        <v>43273</v>
      </c>
      <c r="C47" s="80">
        <v>1000</v>
      </c>
      <c r="D47" s="43">
        <v>29.06</v>
      </c>
      <c r="E47" s="43">
        <v>0</v>
      </c>
      <c r="F47" s="43">
        <f>D47*C47+E47</f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D48" s="78"/>
      <c r="G48" s="29"/>
      <c r="T48" s="814">
        <v>43236</v>
      </c>
      <c r="U48" t="s">
        <v>1084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5">
        <v>43237</v>
      </c>
      <c r="U49" t="s">
        <v>1015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1086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1088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4">
        <v>43243</v>
      </c>
      <c r="U53" t="s">
        <v>1099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28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1145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253951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4">
        <v>43273</v>
      </c>
      <c r="U59" t="s">
        <v>1147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4">
        <v>43274</v>
      </c>
      <c r="U61" t="s">
        <v>1148</v>
      </c>
      <c r="AA61" s="2"/>
      <c r="AD61" s="2"/>
      <c r="AG61" s="2"/>
      <c r="AI61" s="2"/>
    </row>
    <row r="62" spans="1:39" x14ac:dyDescent="0.25">
      <c r="U62" t="s">
        <v>1149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5">C64*(E64-D64)</f>
        <v>-57.00000000000216</v>
      </c>
      <c r="G64" s="39">
        <f t="shared" ref="G64:G70" si="6">D64*C64</f>
        <v>13761.000000000002</v>
      </c>
      <c r="H64" s="222">
        <f t="shared" ref="H64:H70" si="7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5"/>
        <v>-373.00000000000182</v>
      </c>
      <c r="G65" s="39">
        <f t="shared" si="6"/>
        <v>13761.000000000002</v>
      </c>
      <c r="H65" s="222">
        <f t="shared" si="7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5"/>
        <v>-391.00000000000182</v>
      </c>
      <c r="G66" s="39">
        <f t="shared" si="6"/>
        <v>17071</v>
      </c>
      <c r="H66" s="222">
        <f t="shared" si="7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5"/>
        <v>-60.999999999999943</v>
      </c>
      <c r="G67" s="39">
        <f t="shared" si="6"/>
        <v>17071</v>
      </c>
      <c r="H67" s="222">
        <f t="shared" si="7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5"/>
        <v>-531.00000000000307</v>
      </c>
      <c r="G68" s="39">
        <f t="shared" si="6"/>
        <v>20379.000000000004</v>
      </c>
      <c r="H68" s="222">
        <f t="shared" si="7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5"/>
        <v>-291.00000000000392</v>
      </c>
      <c r="G69" s="39">
        <f t="shared" si="6"/>
        <v>20379.000000000004</v>
      </c>
      <c r="H69" s="222">
        <f t="shared" si="7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5"/>
        <v>36.839999999997985</v>
      </c>
      <c r="G70" s="39">
        <f t="shared" si="6"/>
        <v>13539.160000000002</v>
      </c>
      <c r="H70" s="222">
        <f t="shared" si="7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8">C71*(E71-D71)</f>
        <v>-217.15200000000294</v>
      </c>
      <c r="G71" s="39">
        <f t="shared" ref="G71" si="9">D71*C71</f>
        <v>20155.152000000002</v>
      </c>
      <c r="H71" s="222">
        <f t="shared" ref="H71" si="10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1">C72*(E72-D72)</f>
        <v>-815.12000000000171</v>
      </c>
      <c r="G72" s="39">
        <f t="shared" ref="G72" si="12">D72*C72</f>
        <v>26591.120000000003</v>
      </c>
      <c r="H72" s="222">
        <f t="shared" ref="H72" si="13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4">C73*(E73-D73)</f>
        <v>-1989.12</v>
      </c>
      <c r="G73" s="39">
        <f t="shared" ref="G73" si="15">D73*C73</f>
        <v>44927.12</v>
      </c>
      <c r="H73" s="222">
        <f t="shared" ref="H73" si="16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17">C74*(E74-D74)</f>
        <v>-3487.4999999999991</v>
      </c>
      <c r="G74" s="39">
        <f t="shared" ref="G74" si="18">D74*C74</f>
        <v>47932.5</v>
      </c>
      <c r="H74" s="222">
        <f t="shared" ref="H74" si="19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0">C75*(E75-D75)</f>
        <v>-4805.9000000000033</v>
      </c>
      <c r="G75" s="39">
        <f t="shared" ref="G75" si="21">D75*C75</f>
        <v>53595.9</v>
      </c>
      <c r="H75" s="222">
        <f t="shared" ref="H75" si="22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3">C76*(E76-D76)</f>
        <v>-4532.9999999999973</v>
      </c>
      <c r="G76" s="39">
        <f t="shared" ref="G76" si="24">D76*C76</f>
        <v>47793</v>
      </c>
      <c r="H76" s="222">
        <f t="shared" ref="H76" si="25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26">C77*(E77-D77)</f>
        <v>-4142.9999999999955</v>
      </c>
      <c r="G77" s="39">
        <f t="shared" ref="G77" si="27">D77*C77</f>
        <v>47793</v>
      </c>
      <c r="H77" s="222">
        <f t="shared" ref="H77" si="28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29">C78*(E78-D78)</f>
        <v>-3764.9999999999968</v>
      </c>
      <c r="G78" s="39">
        <f t="shared" ref="G78" si="30">D78*C78</f>
        <v>47790</v>
      </c>
      <c r="H78" s="222">
        <f t="shared" ref="H78" si="31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32">C79*(E79-D79)</f>
        <v>-3944.9999999999986</v>
      </c>
      <c r="G79" s="39">
        <f t="shared" ref="G79:G80" si="33">D79*C79</f>
        <v>47790</v>
      </c>
      <c r="H79" s="222">
        <f t="shared" ref="H79:H80" si="34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32"/>
        <v>-11658.96</v>
      </c>
      <c r="G80" s="39">
        <f t="shared" si="33"/>
        <v>55182.96</v>
      </c>
      <c r="H80" s="222">
        <f t="shared" si="34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5">C81*(E81-D81)</f>
        <v>-14922.88</v>
      </c>
      <c r="G81" s="39">
        <f t="shared" ref="G81" si="36">D81*C81</f>
        <v>59502.879999999997</v>
      </c>
      <c r="H81" s="222">
        <f t="shared" ref="H81" si="37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8">C82*(E82-D82)</f>
        <v>-12982.879999999994</v>
      </c>
      <c r="G82" s="39">
        <f t="shared" ref="G82" si="39">D82*C82</f>
        <v>59502.879999999997</v>
      </c>
      <c r="H82" s="222">
        <f t="shared" ref="H82" si="40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1">C83*(E83-D83)</f>
        <v>-10943.942999999997</v>
      </c>
      <c r="G83" s="39">
        <f t="shared" ref="G83" si="42">D83*C83</f>
        <v>57075.942999999999</v>
      </c>
      <c r="H83" s="222">
        <f t="shared" ref="H83" si="43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44">C84*(E84-D84)</f>
        <v>-8839.9999999999964</v>
      </c>
      <c r="G84" s="39">
        <f t="shared" ref="G84" si="45">D84*C84</f>
        <v>59400</v>
      </c>
      <c r="H84" s="222">
        <f t="shared" ref="H84" si="46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7">C85*(E85-D85)</f>
        <v>-14325.999999999993</v>
      </c>
      <c r="G85" s="39">
        <f t="shared" ref="G85" si="48">D85*C85</f>
        <v>59166</v>
      </c>
      <c r="H85" s="222">
        <f t="shared" ref="H85" si="49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0">C86*(E86-D86)</f>
        <v>-16722.480000000003</v>
      </c>
      <c r="G86" s="39">
        <f t="shared" ref="G86" si="51">D86*C86</f>
        <v>67314.48</v>
      </c>
      <c r="H86" s="222">
        <f t="shared" ref="H86" si="52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3">C87*(E87-D87)</f>
        <v>-16623.999999999996</v>
      </c>
      <c r="G87" s="39">
        <f t="shared" ref="G87" si="54">D87*C87</f>
        <v>58894</v>
      </c>
      <c r="H87" s="222">
        <f t="shared" ref="H87" si="55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6">C88*(E88-D88)</f>
        <v>-16013.999999999996</v>
      </c>
      <c r="G88" s="39">
        <f t="shared" ref="G88" si="57">D88*C88</f>
        <v>58894</v>
      </c>
      <c r="H88" s="222">
        <f t="shared" ref="H88" si="58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59">C89*(E89-D89)</f>
        <v>-18460.640000000003</v>
      </c>
      <c r="G89" s="39">
        <f t="shared" ref="G89:G90" si="60">D89*C89</f>
        <v>62944.639999999999</v>
      </c>
      <c r="H89" s="222">
        <f t="shared" ref="H89:H90" si="61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59"/>
        <v>-17704</v>
      </c>
      <c r="G90" s="39">
        <f t="shared" si="60"/>
        <v>58824</v>
      </c>
      <c r="H90" s="222">
        <f t="shared" si="61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62">C91*(E91-D91)</f>
        <v>-16223.999999999996</v>
      </c>
      <c r="G91" s="39">
        <f t="shared" ref="G91" si="63">D91*C91</f>
        <v>58824</v>
      </c>
      <c r="H91" s="222">
        <f t="shared" ref="H91" si="64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5">C92*(E92-D92)</f>
        <v>-16123.999999999995</v>
      </c>
      <c r="G92" s="39">
        <f t="shared" ref="G92" si="66">D92*C92</f>
        <v>58824</v>
      </c>
      <c r="H92" s="222">
        <f t="shared" ref="H92" si="67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8">C93*(E93-D93)</f>
        <v>-14664.000000000002</v>
      </c>
      <c r="G93" s="39">
        <f t="shared" ref="G93" si="69">D93*C93</f>
        <v>58824</v>
      </c>
      <c r="H93" s="222">
        <f t="shared" ref="H93" si="70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1">C94*(E94-D94)</f>
        <v>-12171.6</v>
      </c>
      <c r="G94" s="39">
        <f t="shared" ref="G94" si="72">D94*C94</f>
        <v>54309.599999999999</v>
      </c>
      <c r="H94" s="222">
        <f t="shared" ref="H94" si="73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4">C95*(E95-D95)</f>
        <v>-6716.6999999999953</v>
      </c>
      <c r="G95" s="39">
        <f t="shared" ref="G95" si="75">D95*C95</f>
        <v>51664.7</v>
      </c>
      <c r="H95" s="222">
        <f t="shared" ref="H95" si="76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7">C96*(E96-D96)</f>
        <v>-5628.8000000000011</v>
      </c>
      <c r="G96" s="39">
        <f t="shared" ref="G96" si="78">D96*C96</f>
        <v>48956.799999999996</v>
      </c>
      <c r="H96" s="222">
        <f t="shared" ref="H96" si="79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0">C97*(E97-D97)</f>
        <v>-7635.0399999999981</v>
      </c>
      <c r="G97" s="39">
        <f t="shared" ref="G97" si="81">D97*C97</f>
        <v>48707.040000000001</v>
      </c>
      <c r="H97" s="222">
        <f t="shared" ref="H97" si="82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83">C98*(E98-D98)</f>
        <v>-6019.0400000000009</v>
      </c>
      <c r="G98" s="39">
        <f t="shared" ref="G98" si="84">D98*C98</f>
        <v>48707.040000000001</v>
      </c>
      <c r="H98" s="222">
        <f t="shared" ref="H98" si="85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6">C99*(E99-D99)</f>
        <v>-5426.9999999999982</v>
      </c>
      <c r="G99" s="39">
        <f t="shared" ref="G99" si="87">D99*C99</f>
        <v>46002</v>
      </c>
      <c r="H99" s="222">
        <f t="shared" ref="H99" si="88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89">C100*(E100-D100)</f>
        <v>-5021.7999999999993</v>
      </c>
      <c r="G100" s="39">
        <f t="shared" ref="G100" si="90">D100*C100</f>
        <v>43269.8</v>
      </c>
      <c r="H100" s="222">
        <f t="shared" ref="H100" si="91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2">C101*(E101-D101)</f>
        <v>-3724.4999999999982</v>
      </c>
      <c r="G101" s="39">
        <f t="shared" ref="G101" si="93">D101*C101</f>
        <v>40449.5</v>
      </c>
      <c r="H101" s="222">
        <f t="shared" ref="H101" si="94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5">C102*(E102-D102)</f>
        <v>-4290.9999999999964</v>
      </c>
      <c r="G102" s="39">
        <f t="shared" ref="G102" si="96">D102*C102</f>
        <v>43211</v>
      </c>
      <c r="H102" s="222">
        <f t="shared" ref="H102" si="97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8">C103*(E103-D103)</f>
        <v>-3612.7</v>
      </c>
      <c r="G103" s="39">
        <f t="shared" ref="G103" si="99">D103*C103</f>
        <v>40402.700000000004</v>
      </c>
      <c r="H103" s="222">
        <f t="shared" ref="H103" si="100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1">C104*(E104-D104)</f>
        <v>-4197.6999999999989</v>
      </c>
      <c r="G104" s="39">
        <f t="shared" ref="G104" si="102">D104*C104</f>
        <v>40402.700000000004</v>
      </c>
      <c r="H104" s="222">
        <f t="shared" ref="H104" si="103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04">C105*(E105-D105)</f>
        <v>-5158.5</v>
      </c>
      <c r="G105" s="39">
        <f t="shared" ref="G105" si="105">D105*C105</f>
        <v>45823.5</v>
      </c>
      <c r="H105" s="222">
        <f t="shared" ref="H105" si="106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07">C106*(E106-D106)</f>
        <v>-5729.0000000000018</v>
      </c>
      <c r="G106" s="39">
        <f t="shared" ref="G106" si="108">D106*C106</f>
        <v>51170</v>
      </c>
      <c r="H106" s="222">
        <f t="shared" ref="H106" si="109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0">C107*(E107-D107)</f>
        <v>-4686.5000000000009</v>
      </c>
      <c r="G107" s="39">
        <f t="shared" ref="G107" si="111">D107*C107</f>
        <v>40202.5</v>
      </c>
      <c r="H107" s="222">
        <f t="shared" ref="H107" si="112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3">C108*(E108-D108)</f>
        <v>-3841.5000000000023</v>
      </c>
      <c r="G108" s="39">
        <f t="shared" ref="G108" si="114">D108*C108</f>
        <v>40202.5</v>
      </c>
      <c r="H108" s="222">
        <f t="shared" ref="H108" si="115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6">C109*(E109-D109)</f>
        <v>-3578.9</v>
      </c>
      <c r="G109" s="39">
        <f t="shared" ref="G109" si="117">D109*C109</f>
        <v>40160.9</v>
      </c>
      <c r="H109" s="222">
        <f t="shared" ref="H109" si="118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9">C110*(E110-D110)</f>
        <v>-2889.8999999999987</v>
      </c>
      <c r="G110" s="39">
        <f t="shared" ref="G110" si="120">D110*C110</f>
        <v>40160.9</v>
      </c>
      <c r="H110" s="222">
        <f t="shared" ref="H110" si="121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22">C111*(E111-D111)</f>
        <v>-1500</v>
      </c>
      <c r="G111" s="39">
        <f t="shared" ref="G111" si="123">D111*C111</f>
        <v>31220</v>
      </c>
      <c r="H111" s="222">
        <f t="shared" ref="H111" si="124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25">C112*(E112-D112)</f>
        <v>-1485.6400000000015</v>
      </c>
      <c r="G112" s="39">
        <f t="shared" ref="G112" si="126">D112*C112</f>
        <v>40004.639999999999</v>
      </c>
      <c r="H112" s="222">
        <f t="shared" ref="H112" si="127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8">C113*(E113-D113)</f>
        <v>-1901.6400000000019</v>
      </c>
      <c r="G113" s="39">
        <f t="shared" ref="G113:G114" si="129">D113*C113</f>
        <v>40004.639999999999</v>
      </c>
      <c r="H113" s="222">
        <f t="shared" ref="H113:H114" si="130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8"/>
        <v>-594.99999999999886</v>
      </c>
      <c r="G114" s="39">
        <f t="shared" si="129"/>
        <v>30855</v>
      </c>
      <c r="H114" s="222">
        <f t="shared" si="130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1">C115*(E115-D115)</f>
        <v>9.055999999998221</v>
      </c>
      <c r="G115" s="39">
        <f t="shared" ref="G115" si="132">D115*C115</f>
        <v>24694.944</v>
      </c>
      <c r="H115" s="222">
        <f t="shared" ref="H115" si="133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34">C116*(E116-D116)</f>
        <v>-350.99999999999943</v>
      </c>
      <c r="G116" s="39">
        <f t="shared" ref="G116" si="135">D116*C116</f>
        <v>39819</v>
      </c>
      <c r="H116" s="222">
        <f t="shared" ref="H116" si="136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37">C117*(E117-D117)</f>
        <v>-1669.4999999999993</v>
      </c>
      <c r="G117" s="39">
        <f t="shared" ref="G117" si="138">D117*C117</f>
        <v>45679.5</v>
      </c>
      <c r="H117" s="222">
        <f t="shared" ref="H117" si="139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0">C118*(E118-D118)</f>
        <v>-1602.0000000000009</v>
      </c>
      <c r="G118" s="39">
        <f t="shared" ref="G118" si="141">D118*C118</f>
        <v>53928</v>
      </c>
      <c r="H118" s="222">
        <f t="shared" ref="H118" si="142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43">C119*(E119-D119)</f>
        <v>-4302.0000000000009</v>
      </c>
      <c r="G119" s="39">
        <f t="shared" ref="G119" si="144">D119*C119</f>
        <v>53928</v>
      </c>
      <c r="H119" s="222">
        <f t="shared" ref="H119" si="145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46">C120*(E120-D120)</f>
        <v>-2106.0000000000032</v>
      </c>
      <c r="G120" s="39">
        <f t="shared" ref="G120" si="147">D120*C120</f>
        <v>53928</v>
      </c>
      <c r="H120" s="222">
        <f t="shared" ref="H120" si="148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49">C121*(E121-D121)</f>
        <v>-4446.0000000000045</v>
      </c>
      <c r="G121" s="39">
        <f t="shared" ref="G121" si="150">D121*C121</f>
        <v>53928</v>
      </c>
      <c r="H121" s="222">
        <f t="shared" ref="H121" si="151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2">C122*(E122-D122)</f>
        <v>-3286.7999999999947</v>
      </c>
      <c r="G122" s="39">
        <f t="shared" ref="G122" si="153">D122*C122</f>
        <v>53704.799999999996</v>
      </c>
      <c r="H122" s="222">
        <f t="shared" ref="H122" si="154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55">C123*(E123-D123)</f>
        <v>-5780.0000000000009</v>
      </c>
      <c r="G123" s="39">
        <f t="shared" ref="G123" si="156">D123*C123</f>
        <v>58960</v>
      </c>
      <c r="H123" s="222">
        <f t="shared" ref="H123" si="157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58">C124*(E124-D124)</f>
        <v>-13344.599999999999</v>
      </c>
      <c r="G124" s="39">
        <f t="shared" ref="G124" si="159">D124*C124</f>
        <v>66198.600000000006</v>
      </c>
      <c r="H124" s="222">
        <f t="shared" ref="H124" si="160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1">C125*(E125-D125)</f>
        <v>-13365</v>
      </c>
      <c r="G125" s="39">
        <f t="shared" ref="G125" si="162">D125*C125</f>
        <v>70815</v>
      </c>
      <c r="H125" s="222">
        <f t="shared" ref="H125" si="163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64">C126*(E126-D126)</f>
        <v>-13349.999999999998</v>
      </c>
      <c r="G126" s="39">
        <f t="shared" ref="G126" si="165">D126*C126</f>
        <v>82290</v>
      </c>
      <c r="H126" s="222">
        <f t="shared" ref="H126" si="166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67">C127*(E127-D127)</f>
        <v>-10050.000000000004</v>
      </c>
      <c r="G127" s="39">
        <f t="shared" ref="G127" si="168">D127*C127</f>
        <v>82290</v>
      </c>
      <c r="H127" s="222">
        <f t="shared" ref="H127" si="169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0">C128*(E128-D128)</f>
        <v>-11618.999999999993</v>
      </c>
      <c r="G128" s="39">
        <f t="shared" ref="G128" si="171">D128*C128</f>
        <v>81459</v>
      </c>
      <c r="H128" s="222">
        <f t="shared" ref="H128" si="172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3">C129*(E129-D129)</f>
        <v>-9646</v>
      </c>
      <c r="G129" s="39">
        <f t="shared" ref="G129" si="174">D129*C129</f>
        <v>76678</v>
      </c>
      <c r="H129" s="222">
        <f t="shared" ref="H129" si="175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76">C130*(E130-D130)</f>
        <v>-9250.0000000000073</v>
      </c>
      <c r="G130" s="39">
        <f t="shared" ref="G130" si="177">D130*C130</f>
        <v>69450</v>
      </c>
      <c r="H130" s="222">
        <f t="shared" ref="H130" si="178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79">C131*(E131-D131)</f>
        <v>-10025.000000000004</v>
      </c>
      <c r="G131" s="39">
        <f t="shared" ref="G131" si="180">D131*C131</f>
        <v>69450</v>
      </c>
      <c r="H131" s="222">
        <f t="shared" ref="H131" si="181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2">C132*(E132-D132)</f>
        <v>-7954.0000000000009</v>
      </c>
      <c r="G132" s="39">
        <f t="shared" ref="G132" si="183">D132*C132</f>
        <v>57114</v>
      </c>
      <c r="H132" s="222">
        <f t="shared" ref="H132" si="184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5">C133*(E133-D133)</f>
        <v>-8754.9999999999964</v>
      </c>
      <c r="G133" s="39">
        <f t="shared" ref="G133" si="186">D133*C133</f>
        <v>69205</v>
      </c>
      <c r="H133" s="222">
        <f t="shared" ref="H133" si="187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88">C134*(E134-D134)</f>
        <v>-7005.2000000000025</v>
      </c>
      <c r="G134" s="39">
        <f t="shared" ref="G134" si="189">D134*C134</f>
        <v>56765.2</v>
      </c>
      <c r="H134" s="222">
        <f t="shared" ref="H134" si="190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1">C135*(E135-D135)</f>
        <v>-8205</v>
      </c>
      <c r="G135" s="39">
        <f t="shared" ref="G135" si="192">D135*C135</f>
        <v>68905</v>
      </c>
      <c r="H135" s="222">
        <f t="shared" ref="H135" si="193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194">C136*(E136-D136)</f>
        <v>-6930.0000000000045</v>
      </c>
      <c r="G136" s="39">
        <f t="shared" ref="G136" si="195">D136*C136</f>
        <v>61468</v>
      </c>
      <c r="H136" s="222">
        <f t="shared" ref="H136" si="196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197">C137*(E137-D137)</f>
        <v>-5678</v>
      </c>
      <c r="G137" s="39">
        <f t="shared" ref="G137" si="198">D137*C137</f>
        <v>48824</v>
      </c>
      <c r="H137" s="222">
        <f t="shared" ref="H137" si="199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0">C138*(E138-D138)</f>
        <v>-5867.9999999999982</v>
      </c>
      <c r="G138" s="39">
        <f t="shared" ref="G138" si="201">D138*C138</f>
        <v>43653</v>
      </c>
      <c r="H138" s="222">
        <f t="shared" ref="H138" si="202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03">C139*(E139-D139)</f>
        <v>-5909.1999999999989</v>
      </c>
      <c r="G139" s="39">
        <f t="shared" ref="G139" si="204">D139*C139</f>
        <v>48732.2</v>
      </c>
      <c r="H139" s="222">
        <f t="shared" ref="H139" si="205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06">C140*(E140-D140)</f>
        <v>-6607.9999999999973</v>
      </c>
      <c r="G140" s="39">
        <f t="shared" ref="G140" si="207">D140*C140</f>
        <v>56128</v>
      </c>
      <c r="H140" s="222">
        <f t="shared" ref="H140" si="208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09">C141*(E141-D141)</f>
        <v>-7839.9999999999964</v>
      </c>
      <c r="G141" s="39">
        <f t="shared" ref="G141" si="210">D141*C141</f>
        <v>56120</v>
      </c>
      <c r="H141" s="222">
        <f t="shared" ref="H141" si="211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12">C142*(E142-D142)</f>
        <v>-6979.9999999999973</v>
      </c>
      <c r="G142" s="39">
        <f t="shared" ref="G142:G143" si="213">D142*C142</f>
        <v>56120</v>
      </c>
      <c r="H142" s="222">
        <f t="shared" ref="H142:H143" si="214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12"/>
        <v>-5384</v>
      </c>
      <c r="G143" s="39">
        <f t="shared" si="213"/>
        <v>55984</v>
      </c>
      <c r="H143" s="222">
        <f t="shared" si="214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15">C144*(E144-D144)</f>
        <v>-6204.0000000000009</v>
      </c>
      <c r="G144" s="39">
        <f t="shared" ref="G144" si="216">D144*C144</f>
        <v>55984</v>
      </c>
      <c r="H144" s="222">
        <f t="shared" ref="H144" si="217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18">C145*(E145-D145)</f>
        <v>-6444.0000000000027</v>
      </c>
      <c r="G145" s="39">
        <f t="shared" ref="G145:G146" si="219">D145*C145</f>
        <v>55984</v>
      </c>
      <c r="H145" s="222">
        <f t="shared" ref="H145:H146" si="220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18"/>
        <v>-6841.9999999999991</v>
      </c>
      <c r="G146" s="39">
        <f t="shared" si="219"/>
        <v>60896</v>
      </c>
      <c r="H146" s="222">
        <f t="shared" si="220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50" si="221">C147*(E147-D147)</f>
        <v>-6923.3999999999969</v>
      </c>
      <c r="G147" s="39">
        <f t="shared" ref="G147:G150" si="222">D147*C147</f>
        <v>60647.4</v>
      </c>
      <c r="H147" s="222">
        <f t="shared" ref="H147:H150" si="223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1"/>
        <v>-4856.0000000000018</v>
      </c>
      <c r="G148" s="39">
        <f t="shared" si="222"/>
        <v>55576</v>
      </c>
      <c r="H148" s="222">
        <f t="shared" si="223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21"/>
        <v>-3471</v>
      </c>
      <c r="G149" s="39">
        <f t="shared" si="222"/>
        <v>42486</v>
      </c>
      <c r="H149" s="222">
        <f t="shared" si="223"/>
        <v>-8.1697500353057478E-2</v>
      </c>
      <c r="I149" s="842" t="s">
        <v>1134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221"/>
        <v>-3644.1640000000007</v>
      </c>
      <c r="G150" s="39">
        <f t="shared" si="222"/>
        <v>48157.763999999996</v>
      </c>
      <c r="H150" s="222">
        <f t="shared" si="223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ref="F151" si="224">C151*(E151-D151)</f>
        <v>-3383.4000000000019</v>
      </c>
      <c r="G151" s="39">
        <f t="shared" ref="G151" si="225">D151*C151</f>
        <v>42398.25</v>
      </c>
      <c r="H151" s="222">
        <f t="shared" ref="H151" si="226">(E151-D151)/D151</f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ref="F152:F153" si="227">C152*(E152-D152)</f>
        <v>1001.100000000001</v>
      </c>
      <c r="G152" s="39">
        <f t="shared" ref="G152:G153" si="228">D152*C152</f>
        <v>42093.9</v>
      </c>
      <c r="H152" s="222">
        <f t="shared" ref="H152:H153" si="229">(E152-D152)/D152</f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227"/>
        <v>2961.2550000000015</v>
      </c>
      <c r="G153" s="39">
        <f t="shared" si="228"/>
        <v>41573.745000000003</v>
      </c>
      <c r="H153" s="222">
        <f t="shared" si="229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B154" s="10"/>
      <c r="C154" s="10"/>
      <c r="D154" s="39"/>
      <c r="E154" s="39"/>
      <c r="F154" s="39"/>
      <c r="G154" s="39"/>
      <c r="H154" s="222"/>
      <c r="I154" s="39"/>
      <c r="J154" s="39"/>
      <c r="K154" s="39"/>
      <c r="L154" s="39"/>
    </row>
    <row r="155" spans="1:12" x14ac:dyDescent="0.25">
      <c r="B155" s="10"/>
      <c r="C155" s="10"/>
      <c r="D155" s="39"/>
      <c r="E155" s="39"/>
      <c r="F155" s="39"/>
      <c r="G155" s="39"/>
      <c r="H155" s="222"/>
      <c r="I155" s="39"/>
      <c r="J155" s="39"/>
      <c r="K155" s="39"/>
      <c r="L155" s="39"/>
    </row>
    <row r="156" spans="1:12" x14ac:dyDescent="0.25">
      <c r="B156" s="10"/>
      <c r="C156" s="10"/>
      <c r="D156" s="39"/>
      <c r="E156" s="39"/>
      <c r="F156" s="39"/>
      <c r="G156" s="39"/>
      <c r="H156" s="222"/>
      <c r="I156" s="39"/>
      <c r="J156" s="39"/>
      <c r="K156" s="39"/>
      <c r="L156" s="39"/>
    </row>
    <row r="157" spans="1:12" x14ac:dyDescent="0.25">
      <c r="B157" s="10"/>
      <c r="C157" s="10"/>
      <c r="D157" s="39"/>
      <c r="E157" s="39"/>
      <c r="F157" s="39"/>
      <c r="G157" s="39"/>
      <c r="H157" s="222"/>
      <c r="I157" s="39"/>
      <c r="J157" s="39"/>
      <c r="K157" s="39"/>
      <c r="L157" s="39"/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30">C169*(E169-D169)</f>
        <v>-33.800000000000097</v>
      </c>
      <c r="G169" s="363">
        <f t="shared" ref="G169:G182" si="231">D169*C169</f>
        <v>3591.7999999999997</v>
      </c>
      <c r="H169" s="364">
        <f t="shared" ref="H169:H182" si="232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30"/>
        <v>85.200000000000387</v>
      </c>
      <c r="G170" s="363">
        <f t="shared" si="231"/>
        <v>3591.7999999999997</v>
      </c>
      <c r="H170" s="364">
        <f t="shared" si="232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30"/>
        <v>-136.80000000000021</v>
      </c>
      <c r="G171" s="363">
        <f t="shared" si="231"/>
        <v>3591.7999999999997</v>
      </c>
      <c r="H171" s="364">
        <f t="shared" si="232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30"/>
        <v>-147.56000000000029</v>
      </c>
      <c r="G172" s="363">
        <f t="shared" si="231"/>
        <v>4959.3599999999997</v>
      </c>
      <c r="H172" s="364">
        <f t="shared" si="232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30"/>
        <v>-49.199999999999591</v>
      </c>
      <c r="G173" s="363">
        <f t="shared" si="231"/>
        <v>8408.4</v>
      </c>
      <c r="H173" s="364">
        <f t="shared" si="232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30"/>
        <v>109.60000000000036</v>
      </c>
      <c r="G174" s="363">
        <f t="shared" si="231"/>
        <v>6994.4000000000005</v>
      </c>
      <c r="H174" s="364">
        <f t="shared" si="232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30"/>
        <v>-6.4000000000007162</v>
      </c>
      <c r="G175" s="363">
        <f t="shared" si="231"/>
        <v>6994.4000000000005</v>
      </c>
      <c r="H175" s="364">
        <f t="shared" si="232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30"/>
        <v>166.71999999999912</v>
      </c>
      <c r="G176" s="363">
        <f t="shared" si="231"/>
        <v>5554.880000000001</v>
      </c>
      <c r="H176" s="364">
        <f t="shared" si="232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30"/>
        <v>218.88000000000034</v>
      </c>
      <c r="G177" s="363">
        <f t="shared" si="231"/>
        <v>5544.32</v>
      </c>
      <c r="H177" s="364">
        <f t="shared" si="232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30"/>
        <v>298.88000000000034</v>
      </c>
      <c r="G178" s="363">
        <f t="shared" si="231"/>
        <v>5544.32</v>
      </c>
      <c r="H178" s="364">
        <f t="shared" si="232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30"/>
        <v>363.18000000000006</v>
      </c>
      <c r="G179" s="363">
        <f t="shared" si="231"/>
        <v>1845.42</v>
      </c>
      <c r="H179" s="364">
        <f t="shared" si="232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30"/>
        <v>329.12000000000035</v>
      </c>
      <c r="G180" s="363">
        <f t="shared" si="231"/>
        <v>5384.48</v>
      </c>
      <c r="H180" s="364">
        <f t="shared" si="232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30"/>
        <v>169.60000000000036</v>
      </c>
      <c r="G181" s="363">
        <f t="shared" si="231"/>
        <v>5384</v>
      </c>
      <c r="H181" s="364">
        <f t="shared" si="232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30"/>
        <v>474.7199999999998</v>
      </c>
      <c r="G182" s="363">
        <f t="shared" si="231"/>
        <v>5384.48</v>
      </c>
      <c r="H182" s="364">
        <f t="shared" si="232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33">C183*(E183-D183)</f>
        <v>588.31999999999994</v>
      </c>
      <c r="G183" s="363">
        <f t="shared" ref="G183:G196" si="234">D183*C183</f>
        <v>5384.48</v>
      </c>
      <c r="H183" s="364">
        <f t="shared" ref="H183:H225" si="235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33"/>
        <v>673.12000000000012</v>
      </c>
      <c r="G184" s="363">
        <f t="shared" si="234"/>
        <v>5384.48</v>
      </c>
      <c r="H184" s="364">
        <f t="shared" si="235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33"/>
        <v>597.9200000000003</v>
      </c>
      <c r="G185" s="363">
        <f t="shared" si="234"/>
        <v>5384.48</v>
      </c>
      <c r="H185" s="364">
        <f t="shared" si="235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33"/>
        <v>489.12000000000035</v>
      </c>
      <c r="G186" s="363">
        <f t="shared" si="234"/>
        <v>5384.48</v>
      </c>
      <c r="H186" s="364">
        <f t="shared" si="235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33"/>
        <v>409.12000000000035</v>
      </c>
      <c r="G187" s="363">
        <f t="shared" si="234"/>
        <v>5384.48</v>
      </c>
      <c r="H187" s="364">
        <f t="shared" si="235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33"/>
        <v>439.52</v>
      </c>
      <c r="G188" s="363">
        <f t="shared" si="234"/>
        <v>5384.48</v>
      </c>
      <c r="H188" s="364">
        <f t="shared" si="235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33"/>
        <v>369.12000000000035</v>
      </c>
      <c r="G189" s="363">
        <f t="shared" si="234"/>
        <v>5384.48</v>
      </c>
      <c r="H189" s="364">
        <f t="shared" si="235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33"/>
        <v>341.92000000000007</v>
      </c>
      <c r="G190" s="363">
        <f t="shared" si="234"/>
        <v>5384.48</v>
      </c>
      <c r="H190" s="364">
        <f t="shared" si="235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33"/>
        <v>442.72000000000048</v>
      </c>
      <c r="G191" s="363">
        <f t="shared" si="234"/>
        <v>5384.48</v>
      </c>
      <c r="H191" s="364">
        <f t="shared" si="235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33"/>
        <v>90.619999999999621</v>
      </c>
      <c r="G192" s="363">
        <f t="shared" si="234"/>
        <v>7821.38</v>
      </c>
      <c r="H192" s="364">
        <f t="shared" si="235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33"/>
        <v>51.480000000000103</v>
      </c>
      <c r="G193" s="363">
        <f t="shared" si="234"/>
        <v>8837.92</v>
      </c>
      <c r="H193" s="364">
        <f t="shared" si="235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33"/>
        <v>-376.80000000000007</v>
      </c>
      <c r="G194" s="363">
        <f t="shared" si="234"/>
        <v>10159.799999999999</v>
      </c>
      <c r="H194" s="364">
        <f t="shared" si="235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33"/>
        <v>-388.00000000000239</v>
      </c>
      <c r="G195" s="363">
        <f t="shared" si="234"/>
        <v>13408.000000000002</v>
      </c>
      <c r="H195" s="364">
        <f t="shared" si="235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33"/>
        <v>-262.9400000000004</v>
      </c>
      <c r="G196" s="363">
        <f t="shared" si="234"/>
        <v>13354.939999999999</v>
      </c>
      <c r="H196" s="364">
        <f t="shared" si="235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33"/>
        <v>-514.93999999999858</v>
      </c>
      <c r="G197" s="363">
        <f t="shared" ref="G197:G202" si="236">D197*C197</f>
        <v>13354.939999999999</v>
      </c>
      <c r="H197" s="364">
        <f t="shared" si="235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33"/>
        <v>-582.93999999999892</v>
      </c>
      <c r="G198" s="363">
        <f t="shared" si="236"/>
        <v>16522.939999999999</v>
      </c>
      <c r="H198" s="364">
        <f t="shared" si="235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33"/>
        <v>-292.93999999999801</v>
      </c>
      <c r="G199" s="363">
        <f t="shared" si="236"/>
        <v>16522.939999999999</v>
      </c>
      <c r="H199" s="364">
        <f t="shared" si="235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33"/>
        <v>-217.93999999999869</v>
      </c>
      <c r="G200" s="363">
        <f t="shared" si="236"/>
        <v>16522.939999999999</v>
      </c>
      <c r="H200" s="364">
        <f t="shared" si="235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33"/>
        <v>-92.93999999999869</v>
      </c>
      <c r="G201" s="363">
        <f t="shared" si="236"/>
        <v>16522.939999999999</v>
      </c>
      <c r="H201" s="364">
        <f t="shared" si="235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33"/>
        <v>-397.93999999999841</v>
      </c>
      <c r="G202" s="363">
        <f t="shared" si="236"/>
        <v>16522.939999999999</v>
      </c>
      <c r="H202" s="364">
        <f t="shared" si="235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33"/>
        <v>-27.939999999997411</v>
      </c>
      <c r="G203" s="363">
        <f t="shared" ref="G203:G225" si="237">D203*C203</f>
        <v>16522.939999999999</v>
      </c>
      <c r="H203" s="364">
        <f t="shared" si="235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33"/>
        <v>-142.9399999999994</v>
      </c>
      <c r="G204" s="363">
        <f t="shared" si="237"/>
        <v>16522.939999999999</v>
      </c>
      <c r="H204" s="364">
        <f t="shared" si="235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33"/>
        <v>-357.93999999999926</v>
      </c>
      <c r="G205" s="363">
        <f t="shared" si="237"/>
        <v>16522.939999999999</v>
      </c>
      <c r="H205" s="364">
        <f t="shared" si="235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33"/>
        <v>-442.94000000000011</v>
      </c>
      <c r="G206" s="363">
        <f t="shared" si="237"/>
        <v>16522.939999999999</v>
      </c>
      <c r="H206" s="364">
        <f t="shared" si="235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33"/>
        <v>-542.93999999999801</v>
      </c>
      <c r="G207" s="363">
        <f t="shared" si="237"/>
        <v>16522.939999999999</v>
      </c>
      <c r="H207" s="364">
        <f t="shared" si="235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33"/>
        <v>-224.94000000000014</v>
      </c>
      <c r="G208" s="363">
        <f t="shared" si="237"/>
        <v>16474.939999999999</v>
      </c>
      <c r="H208" s="364">
        <f t="shared" si="235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33"/>
        <v>-139.93999999999929</v>
      </c>
      <c r="G209" s="363">
        <f t="shared" si="237"/>
        <v>16474.939999999999</v>
      </c>
      <c r="H209" s="364">
        <f t="shared" si="235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33"/>
        <v>-847.93799999999919</v>
      </c>
      <c r="G210" s="363">
        <f t="shared" si="237"/>
        <v>19639.937999999998</v>
      </c>
      <c r="H210" s="364">
        <f t="shared" si="235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33"/>
        <v>-833.93799999999771</v>
      </c>
      <c r="G211" s="363">
        <f t="shared" si="237"/>
        <v>22757.937999999998</v>
      </c>
      <c r="H211" s="364">
        <f t="shared" si="235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33"/>
        <v>-840.93799999999885</v>
      </c>
      <c r="G212" s="363">
        <f t="shared" si="237"/>
        <v>22757.937999999998</v>
      </c>
      <c r="H212" s="364">
        <f t="shared" si="235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33"/>
        <v>-700.9379999999968</v>
      </c>
      <c r="G213" s="363">
        <f t="shared" si="237"/>
        <v>22757.937999999998</v>
      </c>
      <c r="H213" s="364">
        <f t="shared" si="235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33"/>
        <v>-1125.9439999999984</v>
      </c>
      <c r="G214" s="363">
        <f t="shared" si="237"/>
        <v>25837.944</v>
      </c>
      <c r="H214" s="364">
        <f t="shared" si="235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33"/>
        <v>-1205.9439999999995</v>
      </c>
      <c r="G215" s="363">
        <f t="shared" si="237"/>
        <v>25837.944</v>
      </c>
      <c r="H215" s="364">
        <f t="shared" si="235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33"/>
        <v>-965.94399999999894</v>
      </c>
      <c r="G216" s="363">
        <f t="shared" si="237"/>
        <v>25837.944</v>
      </c>
      <c r="H216" s="364">
        <f t="shared" si="235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33"/>
        <v>-1477.9439999999995</v>
      </c>
      <c r="G217" s="363">
        <f t="shared" si="237"/>
        <v>25837.944</v>
      </c>
      <c r="H217" s="364">
        <f t="shared" si="235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33"/>
        <v>-1773.936000000002</v>
      </c>
      <c r="G218" s="363">
        <f t="shared" si="237"/>
        <v>28845.936000000002</v>
      </c>
      <c r="H218" s="364">
        <f t="shared" si="235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33"/>
        <v>-1935.9360000000017</v>
      </c>
      <c r="G219" s="363">
        <f t="shared" si="237"/>
        <v>28845.936000000002</v>
      </c>
      <c r="H219" s="364">
        <f t="shared" si="235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33"/>
        <v>-1989.9360000000006</v>
      </c>
      <c r="G220" s="363">
        <f t="shared" si="237"/>
        <v>28845.936000000002</v>
      </c>
      <c r="H220" s="364">
        <f t="shared" si="235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33"/>
        <v>-2133.9360000000006</v>
      </c>
      <c r="G221" s="363">
        <f t="shared" si="237"/>
        <v>28845.936000000002</v>
      </c>
      <c r="H221" s="364">
        <f t="shared" si="235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33"/>
        <v>-2505.9399999999991</v>
      </c>
      <c r="G222" s="363">
        <f t="shared" si="237"/>
        <v>31785.94</v>
      </c>
      <c r="H222" s="364">
        <f t="shared" si="235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33"/>
        <v>-2945.94</v>
      </c>
      <c r="G223" s="363">
        <f t="shared" si="237"/>
        <v>31785.94</v>
      </c>
      <c r="H223" s="364">
        <f t="shared" si="235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33"/>
        <v>-2415.9399999999991</v>
      </c>
      <c r="G224" s="363">
        <f t="shared" si="237"/>
        <v>31785.94</v>
      </c>
      <c r="H224" s="364">
        <f t="shared" si="235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33"/>
        <v>-2785.94</v>
      </c>
      <c r="G225" s="363">
        <f t="shared" si="237"/>
        <v>31785.94</v>
      </c>
      <c r="H225" s="364">
        <f t="shared" si="235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38">C226*(E226-D226)</f>
        <v>-1145.9399999999996</v>
      </c>
      <c r="G226" s="363">
        <f t="shared" ref="G226:G231" si="239">D226*C226</f>
        <v>31785.94</v>
      </c>
      <c r="H226" s="364">
        <f t="shared" ref="H226:H231" si="240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38"/>
        <v>-520.01099999999701</v>
      </c>
      <c r="G227" s="363">
        <f t="shared" si="239"/>
        <v>28654.010999999999</v>
      </c>
      <c r="H227" s="364">
        <f t="shared" si="240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38"/>
        <v>-783.99999999999886</v>
      </c>
      <c r="G228" s="363">
        <f t="shared" si="239"/>
        <v>31764</v>
      </c>
      <c r="H228" s="364">
        <f t="shared" si="240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38"/>
        <v>350.64000000000027</v>
      </c>
      <c r="G229" s="363">
        <f t="shared" si="239"/>
        <v>15759.359999999999</v>
      </c>
      <c r="H229" s="364">
        <f t="shared" si="240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38"/>
        <v>-398.86400000000037</v>
      </c>
      <c r="G230" s="363">
        <f t="shared" si="239"/>
        <v>25214.864000000001</v>
      </c>
      <c r="H230" s="364">
        <f t="shared" si="240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38"/>
        <v>1280.8600000000013</v>
      </c>
      <c r="G231" s="363">
        <f t="shared" si="239"/>
        <v>12271.14</v>
      </c>
      <c r="H231" s="364">
        <f t="shared" si="240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41">C232*(E232-D232)</f>
        <v>648.8599999999991</v>
      </c>
      <c r="G232" s="363">
        <f t="shared" ref="G232:G238" si="242">D232*C232</f>
        <v>12271.14</v>
      </c>
      <c r="H232" s="364">
        <f t="shared" ref="H232:H238" si="243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41"/>
        <v>1108.8599999999985</v>
      </c>
      <c r="G233" s="363">
        <f t="shared" si="242"/>
        <v>12211.14</v>
      </c>
      <c r="H233" s="364">
        <f t="shared" si="243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41"/>
        <v>1467.7889999999991</v>
      </c>
      <c r="G234" s="363">
        <f t="shared" si="242"/>
        <v>8789.2109999999993</v>
      </c>
      <c r="H234" s="364">
        <f t="shared" si="243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41"/>
        <v>1645.7100000000005</v>
      </c>
      <c r="G235" s="363">
        <f t="shared" si="242"/>
        <v>5310.29</v>
      </c>
      <c r="H235" s="364">
        <f t="shared" si="243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41"/>
        <v>1537.7099999999996</v>
      </c>
      <c r="G236" s="363">
        <f t="shared" si="242"/>
        <v>8728.2900000000009</v>
      </c>
      <c r="H236" s="364">
        <f t="shared" si="243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41"/>
        <v>1754.0499999999997</v>
      </c>
      <c r="G237" s="363">
        <f t="shared" si="242"/>
        <v>1717.95</v>
      </c>
      <c r="H237" s="364">
        <f t="shared" si="243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41"/>
        <v>1742.0399999999997</v>
      </c>
      <c r="G238" s="363">
        <f t="shared" si="242"/>
        <v>8673.9599999999991</v>
      </c>
      <c r="H238" s="364">
        <f t="shared" si="243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244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244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244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245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244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245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244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245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244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245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244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245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244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245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244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245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244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245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244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245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244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245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244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245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244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245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244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245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244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245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244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245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244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245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244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244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244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870" priority="107">
      <formula>F94&gt;0</formula>
    </cfRule>
    <cfRule type="expression" dxfId="1869" priority="108">
      <formula>F94&lt;0</formula>
    </cfRule>
  </conditionalFormatting>
  <conditionalFormatting sqref="F178:F191 F194:F238 F241:F242">
    <cfRule type="expression" dxfId="1868" priority="103">
      <formula>F178&gt;0</formula>
    </cfRule>
    <cfRule type="expression" dxfId="1867" priority="104">
      <formula>F178&lt;0</formula>
    </cfRule>
  </conditionalFormatting>
  <conditionalFormatting sqref="F178:F191 F194:F238 F241:F242">
    <cfRule type="expression" dxfId="1866" priority="105">
      <formula>F178&gt;0</formula>
    </cfRule>
    <cfRule type="expression" dxfId="1865" priority="106">
      <formula>F178&lt;0</formula>
    </cfRule>
  </conditionalFormatting>
  <conditionalFormatting sqref="H173:H191 H194:H238 H241:H242">
    <cfRule type="expression" dxfId="1864" priority="101">
      <formula>H173&gt;0</formula>
    </cfRule>
    <cfRule type="expression" dxfId="1863" priority="102">
      <formula>H173&lt;0</formula>
    </cfRule>
  </conditionalFormatting>
  <conditionalFormatting sqref="F169:F172">
    <cfRule type="expression" dxfId="1862" priority="95">
      <formula>F169&gt;0</formula>
    </cfRule>
    <cfRule type="expression" dxfId="1861" priority="96">
      <formula>F169&lt;0</formula>
    </cfRule>
  </conditionalFormatting>
  <conditionalFormatting sqref="H169:H172">
    <cfRule type="expression" dxfId="1860" priority="93">
      <formula>H169&gt;0</formula>
    </cfRule>
    <cfRule type="expression" dxfId="1859" priority="94">
      <formula>H169&lt;0</formula>
    </cfRule>
  </conditionalFormatting>
  <conditionalFormatting sqref="Q8">
    <cfRule type="expression" dxfId="1858" priority="89">
      <formula>Q8&gt;0</formula>
    </cfRule>
    <cfRule type="expression" dxfId="1857" priority="90">
      <formula>Q8&lt;0</formula>
    </cfRule>
  </conditionalFormatting>
  <conditionalFormatting sqref="Q7">
    <cfRule type="expression" dxfId="1856" priority="91">
      <formula>Q7&gt;0</formula>
    </cfRule>
    <cfRule type="expression" dxfId="1855" priority="92">
      <formula>Q7&lt;0</formula>
    </cfRule>
  </conditionalFormatting>
  <conditionalFormatting sqref="F192">
    <cfRule type="expression" dxfId="1854" priority="85">
      <formula>F192&gt;0</formula>
    </cfRule>
    <cfRule type="expression" dxfId="1853" priority="86">
      <formula>F192&lt;0</formula>
    </cfRule>
  </conditionalFormatting>
  <conditionalFormatting sqref="F192">
    <cfRule type="expression" dxfId="1852" priority="87">
      <formula>F192&gt;0</formula>
    </cfRule>
    <cfRule type="expression" dxfId="1851" priority="88">
      <formula>F192&lt;0</formula>
    </cfRule>
  </conditionalFormatting>
  <conditionalFormatting sqref="H192">
    <cfRule type="expression" dxfId="1850" priority="83">
      <formula>H192&gt;0</formula>
    </cfRule>
    <cfRule type="expression" dxfId="1849" priority="84">
      <formula>H192&lt;0</formula>
    </cfRule>
  </conditionalFormatting>
  <conditionalFormatting sqref="F193">
    <cfRule type="expression" dxfId="1848" priority="79">
      <formula>F193&gt;0</formula>
    </cfRule>
    <cfRule type="expression" dxfId="1847" priority="80">
      <formula>F193&lt;0</formula>
    </cfRule>
  </conditionalFormatting>
  <conditionalFormatting sqref="F193">
    <cfRule type="expression" dxfId="1846" priority="81">
      <formula>F193&gt;0</formula>
    </cfRule>
    <cfRule type="expression" dxfId="1845" priority="82">
      <formula>F193&lt;0</formula>
    </cfRule>
  </conditionalFormatting>
  <conditionalFormatting sqref="H193">
    <cfRule type="expression" dxfId="1844" priority="77">
      <formula>H193&gt;0</formula>
    </cfRule>
    <cfRule type="expression" dxfId="1843" priority="78">
      <formula>H193&lt;0</formula>
    </cfRule>
  </conditionalFormatting>
  <conditionalFormatting sqref="F239:F240">
    <cfRule type="expression" dxfId="1842" priority="73">
      <formula>F239&gt;0</formula>
    </cfRule>
    <cfRule type="expression" dxfId="1841" priority="74">
      <formula>F239&lt;0</formula>
    </cfRule>
  </conditionalFormatting>
  <conditionalFormatting sqref="F239:F240">
    <cfRule type="expression" dxfId="1840" priority="75">
      <formula>F239&gt;0</formula>
    </cfRule>
    <cfRule type="expression" dxfId="1839" priority="76">
      <formula>F239&lt;0</formula>
    </cfRule>
  </conditionalFormatting>
  <conditionalFormatting sqref="H239:H240">
    <cfRule type="expression" dxfId="1838" priority="71">
      <formula>H239&gt;0</formula>
    </cfRule>
    <cfRule type="expression" dxfId="1837" priority="72">
      <formula>H239&lt;0</formula>
    </cfRule>
  </conditionalFormatting>
  <conditionalFormatting sqref="F64:F79">
    <cfRule type="expression" dxfId="1836" priority="69">
      <formula>F64&gt;0</formula>
    </cfRule>
    <cfRule type="expression" dxfId="1835" priority="70">
      <formula>F64&lt;0</formula>
    </cfRule>
  </conditionalFormatting>
  <conditionalFormatting sqref="H64:H79">
    <cfRule type="expression" dxfId="1834" priority="67">
      <formula>H64&gt;0</formula>
    </cfRule>
    <cfRule type="expression" dxfId="1833" priority="68">
      <formula>H64&lt;0</formula>
    </cfRule>
  </conditionalFormatting>
  <conditionalFormatting sqref="Q10">
    <cfRule type="expression" dxfId="1832" priority="65">
      <formula>Q10&gt;0</formula>
    </cfRule>
    <cfRule type="expression" dxfId="1831" priority="66">
      <formula>Q10&lt;0</formula>
    </cfRule>
  </conditionalFormatting>
  <conditionalFormatting sqref="J74:K74">
    <cfRule type="expression" dxfId="1830" priority="63">
      <formula>J74&gt;0</formula>
    </cfRule>
    <cfRule type="expression" dxfId="1829" priority="64">
      <formula>J74&lt;0</formula>
    </cfRule>
  </conditionalFormatting>
  <conditionalFormatting sqref="K75">
    <cfRule type="expression" dxfId="1828" priority="61">
      <formula>K75&gt;0</formula>
    </cfRule>
    <cfRule type="expression" dxfId="1827" priority="62">
      <formula>K75&lt;0</formula>
    </cfRule>
  </conditionalFormatting>
  <conditionalFormatting sqref="K76:K89">
    <cfRule type="expression" dxfId="1826" priority="59">
      <formula>K76&gt;0</formula>
    </cfRule>
    <cfRule type="expression" dxfId="1825" priority="60">
      <formula>K76&lt;0</formula>
    </cfRule>
  </conditionalFormatting>
  <conditionalFormatting sqref="F81:F89">
    <cfRule type="expression" dxfId="1824" priority="57">
      <formula>F81&gt;0</formula>
    </cfRule>
    <cfRule type="expression" dxfId="1823" priority="58">
      <formula>F81&lt;0</formula>
    </cfRule>
  </conditionalFormatting>
  <conditionalFormatting sqref="H81:H89">
    <cfRule type="expression" dxfId="1822" priority="55">
      <formula>H81&gt;0</formula>
    </cfRule>
    <cfRule type="expression" dxfId="1821" priority="56">
      <formula>H81&lt;0</formula>
    </cfRule>
  </conditionalFormatting>
  <conditionalFormatting sqref="R4">
    <cfRule type="expression" dxfId="1820" priority="53">
      <formula>R4&gt;0</formula>
    </cfRule>
    <cfRule type="expression" dxfId="1819" priority="54">
      <formula>R4&lt;0</formula>
    </cfRule>
  </conditionalFormatting>
  <conditionalFormatting sqref="Q9">
    <cfRule type="expression" dxfId="1818" priority="51">
      <formula>Q9&gt;0</formula>
    </cfRule>
    <cfRule type="expression" dxfId="1817" priority="52">
      <formula>Q9&lt;0</formula>
    </cfRule>
  </conditionalFormatting>
  <conditionalFormatting sqref="K90:K93">
    <cfRule type="expression" dxfId="1816" priority="49">
      <formula>K90&gt;0</formula>
    </cfRule>
    <cfRule type="expression" dxfId="1815" priority="50">
      <formula>K90&lt;0</formula>
    </cfRule>
  </conditionalFormatting>
  <conditionalFormatting sqref="F90:F113">
    <cfRule type="expression" dxfId="1814" priority="47">
      <formula>F90&gt;0</formula>
    </cfRule>
    <cfRule type="expression" dxfId="1813" priority="48">
      <formula>F90&lt;0</formula>
    </cfRule>
  </conditionalFormatting>
  <conditionalFormatting sqref="H90:H113">
    <cfRule type="expression" dxfId="1812" priority="45">
      <formula>H90&gt;0</formula>
    </cfRule>
    <cfRule type="expression" dxfId="1811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10" priority="41">
      <formula>F114&gt;0</formula>
    </cfRule>
    <cfRule type="expression" dxfId="1809" priority="42">
      <formula>F114&lt;0</formula>
    </cfRule>
  </conditionalFormatting>
  <conditionalFormatting sqref="H114:H138">
    <cfRule type="expression" dxfId="1808" priority="39">
      <formula>H114&gt;0</formula>
    </cfRule>
    <cfRule type="expression" dxfId="1807" priority="40">
      <formula>H114&lt;0</formula>
    </cfRule>
  </conditionalFormatting>
  <conditionalFormatting sqref="K129:K131">
    <cfRule type="expression" dxfId="1806" priority="37">
      <formula>K129&gt;0</formula>
    </cfRule>
    <cfRule type="expression" dxfId="1805" priority="38">
      <formula>K129&lt;0</formula>
    </cfRule>
  </conditionalFormatting>
  <conditionalFormatting sqref="K133:K135">
    <cfRule type="expression" dxfId="1804" priority="35">
      <formula>K133&gt;0</formula>
    </cfRule>
    <cfRule type="expression" dxfId="1803" priority="36">
      <formula>K133&lt;0</formula>
    </cfRule>
  </conditionalFormatting>
  <conditionalFormatting sqref="K140">
    <cfRule type="expression" dxfId="1802" priority="31">
      <formula>K140&gt;0</formula>
    </cfRule>
    <cfRule type="expression" dxfId="1801" priority="32">
      <formula>K140&lt;0</formula>
    </cfRule>
  </conditionalFormatting>
  <conditionalFormatting sqref="K136:K138">
    <cfRule type="expression" dxfId="1800" priority="29">
      <formula>K136&gt;0</formula>
    </cfRule>
    <cfRule type="expression" dxfId="1799" priority="30">
      <formula>K136&lt;0</formula>
    </cfRule>
  </conditionalFormatting>
  <conditionalFormatting sqref="K139">
    <cfRule type="expression" dxfId="1798" priority="23">
      <formula>K139&gt;0</formula>
    </cfRule>
    <cfRule type="expression" dxfId="1797" priority="24">
      <formula>K139&lt;0</formula>
    </cfRule>
  </conditionalFormatting>
  <conditionalFormatting sqref="H148:H149 F148:F149 K148:K149">
    <cfRule type="expression" dxfId="1796" priority="21">
      <formula>F148&gt;0</formula>
    </cfRule>
    <cfRule type="expression" dxfId="1795" priority="22">
      <formula>F148&lt;0</formula>
    </cfRule>
  </conditionalFormatting>
  <conditionalFormatting sqref="H143:H147 F143:F147 K143:K147">
    <cfRule type="expression" dxfId="1794" priority="19">
      <formula>F143&gt;0</formula>
    </cfRule>
    <cfRule type="expression" dxfId="1793" priority="20">
      <formula>F143&lt;0</formula>
    </cfRule>
  </conditionalFormatting>
  <conditionalFormatting sqref="F80">
    <cfRule type="expression" dxfId="1792" priority="17">
      <formula>F80&gt;0</formula>
    </cfRule>
    <cfRule type="expression" dxfId="1791" priority="18">
      <formula>F80&lt;0</formula>
    </cfRule>
  </conditionalFormatting>
  <conditionalFormatting sqref="H80">
    <cfRule type="expression" dxfId="1790" priority="15">
      <formula>H80&gt;0</formula>
    </cfRule>
    <cfRule type="expression" dxfId="1789" priority="16">
      <formula>H80&lt;0</formula>
    </cfRule>
  </conditionalFormatting>
  <conditionalFormatting sqref="F164:F165 H164:H165 K164:K165">
    <cfRule type="expression" dxfId="1788" priority="13">
      <formula>F164&gt;0</formula>
    </cfRule>
    <cfRule type="expression" dxfId="1787" priority="14">
      <formula>F164&lt;0</formula>
    </cfRule>
  </conditionalFormatting>
  <conditionalFormatting sqref="F162:F163 H162:H163 K162:K163">
    <cfRule type="expression" dxfId="1786" priority="11">
      <formula>F162&gt;0</formula>
    </cfRule>
    <cfRule type="expression" dxfId="1785" priority="12">
      <formula>F162&lt;0</formula>
    </cfRule>
  </conditionalFormatting>
  <conditionalFormatting sqref="F160:F161 H160:H161 K160:K161">
    <cfRule type="expression" dxfId="1784" priority="9">
      <formula>F160&gt;0</formula>
    </cfRule>
    <cfRule type="expression" dxfId="1783" priority="10">
      <formula>F160&lt;0</formula>
    </cfRule>
  </conditionalFormatting>
  <conditionalFormatting sqref="F158:F159 H158:H159 K158:K159">
    <cfRule type="expression" dxfId="1782" priority="7">
      <formula>F158&gt;0</formula>
    </cfRule>
    <cfRule type="expression" dxfId="1781" priority="8">
      <formula>F158&lt;0</formula>
    </cfRule>
  </conditionalFormatting>
  <conditionalFormatting sqref="F156:F157 H156:H157 K156:K157">
    <cfRule type="expression" dxfId="1780" priority="5">
      <formula>F156&gt;0</formula>
    </cfRule>
    <cfRule type="expression" dxfId="1779" priority="6">
      <formula>F156&lt;0</formula>
    </cfRule>
  </conditionalFormatting>
  <conditionalFormatting sqref="F154:F155 H154:H155 K154:K155">
    <cfRule type="expression" dxfId="1778" priority="3">
      <formula>F154&gt;0</formula>
    </cfRule>
    <cfRule type="expression" dxfId="1777" priority="4">
      <formula>F154&lt;0</formula>
    </cfRule>
  </conditionalFormatting>
  <conditionalFormatting sqref="F153 H153 K152:K153">
    <cfRule type="expression" dxfId="1776" priority="1">
      <formula>F152&gt;0</formula>
    </cfRule>
    <cfRule type="expression" dxfId="1775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11.65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11.65</v>
      </c>
      <c r="R4" s="475">
        <v>-4.7000000000000002E-3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12.815000000000001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12.698500000000001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12.582000000000001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12.4655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12.349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12.232500000000002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12.116000000000001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11.999500000000001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11.883000000000001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11.766500000000001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11.65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11.5335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11.417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11.3005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11.183999999999999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11.067499999999999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10.951000000000001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10.8345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10.718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10.601500000000001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10.485000000000001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4" priority="31">
      <formula>Q7&gt;0</formula>
    </cfRule>
    <cfRule type="expression" dxfId="1773" priority="32">
      <formula>Q7&lt;0</formula>
    </cfRule>
  </conditionalFormatting>
  <conditionalFormatting sqref="Q8">
    <cfRule type="expression" dxfId="1772" priority="29">
      <formula>Q8&gt;0</formula>
    </cfRule>
    <cfRule type="expression" dxfId="1771" priority="30">
      <formula>Q8&lt;0</formula>
    </cfRule>
  </conditionalFormatting>
  <conditionalFormatting sqref="F62:F65">
    <cfRule type="expression" dxfId="1770" priority="21">
      <formula>F62&gt;0</formula>
    </cfRule>
    <cfRule type="expression" dxfId="1769" priority="22">
      <formula>F62&lt;0</formula>
    </cfRule>
  </conditionalFormatting>
  <conditionalFormatting sqref="F66:F74 F78:F98 F102:F106">
    <cfRule type="expression" dxfId="1768" priority="17">
      <formula>F66&gt;0</formula>
    </cfRule>
    <cfRule type="expression" dxfId="1767" priority="18">
      <formula>F66&lt;0</formula>
    </cfRule>
  </conditionalFormatting>
  <conditionalFormatting sqref="F66:F74 F78:F98 F102:F106">
    <cfRule type="expression" dxfId="1766" priority="19">
      <formula>F66&gt;0</formula>
    </cfRule>
    <cfRule type="expression" dxfId="1765" priority="20">
      <formula>F66&lt;0</formula>
    </cfRule>
  </conditionalFormatting>
  <conditionalFormatting sqref="H62:H74 H78:H98 H102:H106">
    <cfRule type="expression" dxfId="1764" priority="15">
      <formula>H62&gt;0</formula>
    </cfRule>
    <cfRule type="expression" dxfId="1763" priority="16">
      <formula>H62&lt;0</formula>
    </cfRule>
  </conditionalFormatting>
  <conditionalFormatting sqref="F57:F61">
    <cfRule type="expression" dxfId="1762" priority="13">
      <formula>F57&gt;0</formula>
    </cfRule>
    <cfRule type="expression" dxfId="1761" priority="14">
      <formula>F57&lt;0</formula>
    </cfRule>
  </conditionalFormatting>
  <conditionalFormatting sqref="H57:H61">
    <cfRule type="expression" dxfId="1760" priority="11">
      <formula>H57&gt;0</formula>
    </cfRule>
    <cfRule type="expression" dxfId="1759" priority="12">
      <formula>H57&lt;0</formula>
    </cfRule>
  </conditionalFormatting>
  <conditionalFormatting sqref="F75:F77">
    <cfRule type="expression" dxfId="1758" priority="7">
      <formula>F75&gt;0</formula>
    </cfRule>
    <cfRule type="expression" dxfId="1757" priority="8">
      <formula>F75&lt;0</formula>
    </cfRule>
  </conditionalFormatting>
  <conditionalFormatting sqref="F75:F77">
    <cfRule type="expression" dxfId="1756" priority="9">
      <formula>F75&gt;0</formula>
    </cfRule>
    <cfRule type="expression" dxfId="1755" priority="10">
      <formula>F75&lt;0</formula>
    </cfRule>
  </conditionalFormatting>
  <conditionalFormatting sqref="H75:H77">
    <cfRule type="expression" dxfId="1754" priority="5">
      <formula>H75&gt;0</formula>
    </cfRule>
    <cfRule type="expression" dxfId="1753" priority="6">
      <formula>H75&lt;0</formula>
    </cfRule>
  </conditionalFormatting>
  <conditionalFormatting sqref="F22:F30">
    <cfRule type="expression" dxfId="1752" priority="3">
      <formula>F22&gt;0</formula>
    </cfRule>
    <cfRule type="expression" dxfId="1751" priority="4">
      <formula>F22&lt;0</formula>
    </cfRule>
  </conditionalFormatting>
  <conditionalFormatting sqref="F99:F101">
    <cfRule type="expression" dxfId="1750" priority="1">
      <formula>F99&gt;0</formula>
    </cfRule>
    <cfRule type="expression" dxfId="174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122.34990000000001</v>
      </c>
      <c r="R4" s="475">
        <v>-2E-3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6117.4949999999999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278.27499999999964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123.49499999999989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2.0603103103103086E-2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134.58489000000003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133.36139100000003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132.13789200000002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130.91439300000002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129.69089400000001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128.46739500000001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127.24389600000001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126.020397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124.79689800000001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123.57339900000001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122.34990000000001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121.126401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119.902902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118.67940300000001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117.455904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116.232405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115.008906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113.78540700000001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112.56190800000002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111.33840900000001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110.11491000000001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8" priority="19">
      <formula>F25&gt;0</formula>
    </cfRule>
    <cfRule type="expression" dxfId="1747" priority="20">
      <formula>F25&lt;0</formula>
    </cfRule>
  </conditionalFormatting>
  <conditionalFormatting sqref="Q7">
    <cfRule type="expression" dxfId="1746" priority="17">
      <formula>Q7&gt;0</formula>
    </cfRule>
    <cfRule type="expression" dxfId="1745" priority="18">
      <formula>Q7&lt;0</formula>
    </cfRule>
  </conditionalFormatting>
  <conditionalFormatting sqref="Q8">
    <cfRule type="expression" dxfId="1744" priority="15">
      <formula>Q8&gt;0</formula>
    </cfRule>
    <cfRule type="expression" dxfId="1743" priority="16">
      <formula>Q8&lt;0</formula>
    </cfRule>
  </conditionalFormatting>
  <conditionalFormatting sqref="M74">
    <cfRule type="expression" dxfId="1742" priority="9">
      <formula>M74&gt;0</formula>
    </cfRule>
    <cfRule type="expression" dxfId="1741" priority="10">
      <formula>M74&lt;0</formula>
    </cfRule>
  </conditionalFormatting>
  <conditionalFormatting sqref="F113:F149 H113:H149">
    <cfRule type="expression" dxfId="1740" priority="7">
      <formula>F113&gt;0</formula>
    </cfRule>
    <cfRule type="expression" dxfId="1739" priority="8">
      <formula>F113&lt;0</formula>
    </cfRule>
  </conditionalFormatting>
  <conditionalFormatting sqref="F105:F112">
    <cfRule type="expression" dxfId="1738" priority="5">
      <formula>F105&gt;0</formula>
    </cfRule>
    <cfRule type="expression" dxfId="1737" priority="6">
      <formula>F105&lt;0</formula>
    </cfRule>
  </conditionalFormatting>
  <conditionalFormatting sqref="H105:H112">
    <cfRule type="expression" dxfId="1736" priority="3">
      <formula>H105&gt;0</formula>
    </cfRule>
    <cfRule type="expression" dxfId="1735" priority="4">
      <formula>H105&lt;0</formula>
    </cfRule>
  </conditionalFormatting>
  <conditionalFormatting sqref="Q10">
    <cfRule type="expression" dxfId="1734" priority="1">
      <formula>Q10&gt;0</formula>
    </cfRule>
    <cfRule type="expression" dxfId="1733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3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156.16555555555581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238.75</v>
      </c>
      <c r="R4" s="495">
        <v>-1.18E-2</v>
      </c>
      <c r="T4" s="770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10743.75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7027.4500000000116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3941.0699999999888</v>
      </c>
      <c r="R7">
        <v>30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3716.2999999999884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0.52882624565098035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M80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975</v>
      </c>
      <c r="Q13" s="2">
        <f>Q4/(8.16*1.2)</f>
        <v>24.382148692810457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9" t="s">
        <v>78</v>
      </c>
      <c r="P16" s="849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262.625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260.23750000000001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>C19*D19+E19</f>
        <v>3496.2000000000003</v>
      </c>
      <c r="O19" s="81">
        <v>1.08</v>
      </c>
      <c r="P19" s="81">
        <f t="shared" si="4"/>
        <v>257.85000000000002</v>
      </c>
    </row>
    <row r="20" spans="1:21" x14ac:dyDescent="0.25">
      <c r="B20" s="474">
        <v>43276</v>
      </c>
      <c r="C20" s="4">
        <v>15</v>
      </c>
      <c r="D20" s="3">
        <v>242</v>
      </c>
      <c r="E20" s="3">
        <v>0</v>
      </c>
      <c r="F20" s="3">
        <f>C20*D20+E20</f>
        <v>3630</v>
      </c>
      <c r="O20" s="81">
        <v>1.07</v>
      </c>
      <c r="P20" s="81">
        <f t="shared" si="4"/>
        <v>255.46250000000001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253.07500000000002</v>
      </c>
    </row>
    <row r="22" spans="1:21" x14ac:dyDescent="0.25">
      <c r="O22" s="81">
        <v>1.05</v>
      </c>
      <c r="P22" s="81">
        <f t="shared" si="4"/>
        <v>250.6875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4"/>
        <v>248.3</v>
      </c>
    </row>
    <row r="24" spans="1:21" x14ac:dyDescent="0.25">
      <c r="O24" s="81">
        <v>1.03</v>
      </c>
      <c r="P24" s="81">
        <f t="shared" si="4"/>
        <v>245.91249999999999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243.52500000000001</v>
      </c>
    </row>
    <row r="26" spans="1:21" x14ac:dyDescent="0.25">
      <c r="O26" s="81">
        <v>1.01</v>
      </c>
      <c r="P26" s="81">
        <f t="shared" si="4"/>
        <v>241.13749999999999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238.75</v>
      </c>
    </row>
    <row r="28" spans="1:21" x14ac:dyDescent="0.25">
      <c r="O28" s="81">
        <v>0.99</v>
      </c>
      <c r="P28" s="81">
        <f t="shared" si="4"/>
        <v>236.36250000000001</v>
      </c>
    </row>
    <row r="29" spans="1:21" x14ac:dyDescent="0.25">
      <c r="A29" s="31" t="s">
        <v>81</v>
      </c>
      <c r="B29" s="14"/>
      <c r="C29" s="14">
        <f>SUM(C2:C27)</f>
        <v>340</v>
      </c>
      <c r="D29" s="18"/>
      <c r="E29" s="18"/>
      <c r="F29" s="18">
        <f>SUM(F2:F27)</f>
        <v>72143.600000000006</v>
      </c>
      <c r="G29" s="14"/>
      <c r="H29" s="71">
        <f>SUM(H2:H28)</f>
        <v>295</v>
      </c>
      <c r="I29" s="18"/>
      <c r="J29" s="18"/>
      <c r="K29" s="18">
        <f>SUM(K2:K28)</f>
        <v>65116.149999999994</v>
      </c>
      <c r="L29" s="14"/>
      <c r="M29" s="18">
        <f>SUM(M2:M10)</f>
        <v>0</v>
      </c>
      <c r="O29" s="81">
        <v>0.98</v>
      </c>
      <c r="P29" s="81">
        <f t="shared" si="4"/>
        <v>233.97499999999999</v>
      </c>
    </row>
    <row r="30" spans="1:21" ht="15.75" thickBot="1" x14ac:dyDescent="0.3">
      <c r="A30" s="341" t="s">
        <v>193</v>
      </c>
      <c r="B30" s="342"/>
      <c r="C30" s="343">
        <f>SumByColor($A$30,C2:C28)</f>
        <v>295</v>
      </c>
      <c r="D30" s="343"/>
      <c r="E30" s="343"/>
      <c r="F30" s="344">
        <f>SumByColor($A$30,F2:F28)</f>
        <v>62283</v>
      </c>
      <c r="G30" s="343"/>
      <c r="H30" s="343">
        <f>SumByColor($A$30,H2:H28)</f>
        <v>295</v>
      </c>
      <c r="I30" s="343"/>
      <c r="J30" s="343"/>
      <c r="K30" s="344">
        <f>SumByColor($A$30,K2:K28)</f>
        <v>65116</v>
      </c>
      <c r="L30" s="343"/>
      <c r="M30" s="344">
        <f>SumByColor($A$30,M2:M28)</f>
        <v>0</v>
      </c>
      <c r="O30" s="81">
        <v>0.97</v>
      </c>
      <c r="P30" s="81">
        <f t="shared" si="4"/>
        <v>231.58750000000001</v>
      </c>
    </row>
    <row r="31" spans="1:21" x14ac:dyDescent="0.25">
      <c r="O31" s="81">
        <v>0.96</v>
      </c>
      <c r="P31" s="81">
        <f t="shared" si="4"/>
        <v>229.2</v>
      </c>
    </row>
    <row r="32" spans="1:21" x14ac:dyDescent="0.25">
      <c r="O32" s="81">
        <v>0.95</v>
      </c>
      <c r="P32" s="81">
        <f t="shared" si="4"/>
        <v>226.8125</v>
      </c>
    </row>
    <row r="33" spans="1:17" x14ac:dyDescent="0.25">
      <c r="O33" s="81">
        <v>0.94</v>
      </c>
      <c r="P33" s="81">
        <f t="shared" si="4"/>
        <v>224.42499999999998</v>
      </c>
    </row>
    <row r="34" spans="1:17" x14ac:dyDescent="0.25">
      <c r="O34" s="81">
        <v>0.93</v>
      </c>
      <c r="P34" s="81">
        <f t="shared" si="4"/>
        <v>222.03750000000002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498</v>
      </c>
      <c r="L35" s="220" t="s">
        <v>975</v>
      </c>
      <c r="O35" s="81">
        <v>0.92</v>
      </c>
      <c r="P35" s="81">
        <f t="shared" si="4"/>
        <v>219.65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" si="5">C36*(E36-D36)</f>
        <v>277.80000000000058</v>
      </c>
      <c r="G36" s="39">
        <f t="shared" ref="G36" si="6">D36*C36</f>
        <v>5679.5999999999995</v>
      </c>
      <c r="H36" s="222">
        <f t="shared" ref="H36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217.26250000000002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ref="F37" si="8">C37*(E37-D37)</f>
        <v>391.20000000000061</v>
      </c>
      <c r="G37" s="39">
        <f t="shared" ref="G37" si="9">D37*C37</f>
        <v>5679.5999999999995</v>
      </c>
      <c r="H37" s="222">
        <f t="shared" ref="H37" si="10">(E37-D37)/D37</f>
        <v>6.8878090006338585E-2</v>
      </c>
      <c r="I37" s="39"/>
      <c r="J37" s="39"/>
      <c r="K37" s="39"/>
      <c r="L37" s="39"/>
      <c r="O37" s="81">
        <v>0.9</v>
      </c>
      <c r="P37" s="81">
        <f t="shared" si="4"/>
        <v>214.875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ref="F38" si="11">C38*(E38-D38)</f>
        <v>1209.3000000000002</v>
      </c>
      <c r="G38" s="39">
        <f t="shared" ref="G38" si="12">D38*C38</f>
        <v>5679.5999999999995</v>
      </c>
      <c r="H38" s="222">
        <f t="shared" ref="H38" si="13">(E38-D38)/D38</f>
        <v>0.21291992393830553</v>
      </c>
      <c r="I38" s="39"/>
      <c r="J38" s="39">
        <f>F38+$M$80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ref="F39" si="14">C39*(E39-D39)</f>
        <v>1602.7500000000005</v>
      </c>
      <c r="G39" s="39">
        <f t="shared" ref="G39" si="15">D39*C39</f>
        <v>3299.6499999999996</v>
      </c>
      <c r="H39" s="222">
        <f t="shared" ref="H39" si="16">(E39-D39)/D39</f>
        <v>0.4857333353537498</v>
      </c>
      <c r="I39" s="39"/>
      <c r="J39" s="39">
        <f>F39+$M$80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ref="F40:F44" si="17">C40*(E40-D40)</f>
        <v>1459.5500000000004</v>
      </c>
      <c r="G40" s="39">
        <f t="shared" ref="G40:G44" si="18">D40*C40</f>
        <v>3299.6499999999996</v>
      </c>
      <c r="H40" s="222">
        <f t="shared" ref="H40:H44" si="19">(E40-D40)/D40</f>
        <v>0.44233479308411516</v>
      </c>
      <c r="I40" s="39"/>
      <c r="J40" s="39">
        <f>F40+$M$80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17"/>
        <v>1307.5509999999999</v>
      </c>
      <c r="G41" s="39">
        <f t="shared" si="18"/>
        <v>6782.3489999999993</v>
      </c>
      <c r="H41" s="222">
        <f t="shared" si="19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17"/>
        <v>1487.77</v>
      </c>
      <c r="G42" s="39">
        <f t="shared" si="18"/>
        <v>3259.23</v>
      </c>
      <c r="H42" s="222">
        <f t="shared" si="19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17"/>
        <v>1457.9214999999999</v>
      </c>
      <c r="G43" s="39">
        <f t="shared" si="18"/>
        <v>6767.4285</v>
      </c>
      <c r="H43" s="222">
        <f t="shared" si="19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17"/>
        <v>1239.3180000000002</v>
      </c>
      <c r="G44" s="39">
        <f t="shared" si="18"/>
        <v>9056.232</v>
      </c>
      <c r="H44" s="222">
        <f t="shared" si="19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20">C45*(E45-D45)</f>
        <v>1037.7180000000008</v>
      </c>
      <c r="G45" s="39">
        <f t="shared" ref="G45:G50" si="21">D45*C45</f>
        <v>9056.232</v>
      </c>
      <c r="H45" s="222">
        <f t="shared" ref="H45:H50" si="22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20"/>
        <v>810.7000000000005</v>
      </c>
      <c r="G46" s="39">
        <f t="shared" si="21"/>
        <v>11256.3</v>
      </c>
      <c r="H46" s="222">
        <f t="shared" si="22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20"/>
        <v>1249.0000000000009</v>
      </c>
      <c r="G47" s="39">
        <f t="shared" si="21"/>
        <v>20610</v>
      </c>
      <c r="H47" s="222">
        <f t="shared" si="22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20"/>
        <v>1371.6999999999998</v>
      </c>
      <c r="G48" s="39">
        <f t="shared" si="21"/>
        <v>22668.800000000003</v>
      </c>
      <c r="H48" s="222">
        <f t="shared" si="22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20"/>
        <v>1246.3000000000013</v>
      </c>
      <c r="G49" s="39">
        <f t="shared" si="21"/>
        <v>10773.949999999999</v>
      </c>
      <c r="H49" s="222">
        <f t="shared" si="22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20"/>
        <v>869.19999999999789</v>
      </c>
      <c r="G50" s="39">
        <f t="shared" si="21"/>
        <v>20078.800000000003</v>
      </c>
      <c r="H50" s="222">
        <f t="shared" si="22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 t="shared" ref="F51" si="23">C51*(E51-D51)</f>
        <v>236.19999999999948</v>
      </c>
      <c r="G51" s="39">
        <f t="shared" ref="G51" si="24">D51*C51</f>
        <v>20078.800000000003</v>
      </c>
      <c r="H51" s="222">
        <f t="shared" ref="H51" si="25"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 t="shared" ref="F52:F54" si="26">C52*(E52-D52)</f>
        <v>632.20000000000027</v>
      </c>
      <c r="G52" s="39">
        <f t="shared" ref="G52:G54" si="27">D52*C52</f>
        <v>20078.800000000003</v>
      </c>
      <c r="H52" s="222">
        <f t="shared" ref="H52:H54" si="28"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 t="shared" si="26"/>
        <v>-195.54600000000022</v>
      </c>
      <c r="G53" s="39">
        <f t="shared" si="27"/>
        <v>23072.495999999999</v>
      </c>
      <c r="H53" s="222">
        <f t="shared" si="28"/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 t="shared" si="26"/>
        <v>-650</v>
      </c>
      <c r="G54" s="39">
        <f t="shared" si="27"/>
        <v>25997.399999999998</v>
      </c>
      <c r="H54" s="222">
        <f t="shared" si="28"/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29">C55*(E55-D55)</f>
        <v>31.200000000001182</v>
      </c>
      <c r="G55" s="39">
        <f t="shared" ref="G55:G60" si="30">D55*C55</f>
        <v>25997.399999999998</v>
      </c>
      <c r="H55" s="222">
        <f t="shared" ref="H55:H60" si="31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29"/>
        <v>718.00000000000068</v>
      </c>
      <c r="G56" s="39">
        <f t="shared" si="30"/>
        <v>19832</v>
      </c>
      <c r="H56" s="222">
        <f t="shared" si="31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29"/>
        <v>1485.7500000000002</v>
      </c>
      <c r="G57" s="39">
        <f t="shared" si="30"/>
        <v>14502.75</v>
      </c>
      <c r="H57" s="222">
        <f t="shared" si="31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29"/>
        <v>1105.0000000000011</v>
      </c>
      <c r="G58" s="39">
        <f t="shared" si="30"/>
        <v>19735</v>
      </c>
      <c r="H58" s="222">
        <f t="shared" si="31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29"/>
        <v>2413.3999999999996</v>
      </c>
      <c r="G59" s="39">
        <f t="shared" si="30"/>
        <v>9790</v>
      </c>
      <c r="H59" s="222">
        <f t="shared" si="31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29"/>
        <v>2137.9999999999995</v>
      </c>
      <c r="G60" s="39">
        <f t="shared" si="30"/>
        <v>19550</v>
      </c>
      <c r="H60" s="222">
        <f t="shared" si="31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 t="shared" ref="F61" si="32">C61*(E61-D61)</f>
        <v>1240.0000000000005</v>
      </c>
      <c r="G61" s="39">
        <f t="shared" ref="G61" si="33">D61*C61</f>
        <v>19550</v>
      </c>
      <c r="H61" s="222">
        <f t="shared" ref="H61" si="34"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35">C62*(E62-D62)</f>
        <v>941.99999999999875</v>
      </c>
      <c r="G62" s="39">
        <f t="shared" ref="G62:G68" si="36">D62*C62</f>
        <v>19550</v>
      </c>
      <c r="H62" s="222">
        <f t="shared" ref="H62:H68" si="37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35"/>
        <v>1630.3000000000015</v>
      </c>
      <c r="G63" s="39">
        <f t="shared" si="36"/>
        <v>13195.699999999999</v>
      </c>
      <c r="H63" s="222">
        <f t="shared" si="37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35"/>
        <v>1342.0000000000016</v>
      </c>
      <c r="G64" s="39">
        <f t="shared" si="36"/>
        <v>19426</v>
      </c>
      <c r="H64" s="222">
        <f t="shared" si="37"/>
        <v>6.908267270668185E-2</v>
      </c>
      <c r="I64" s="39"/>
      <c r="J64" s="39">
        <v>1566</v>
      </c>
      <c r="K64" s="39"/>
      <c r="L64" s="39"/>
    </row>
    <row r="65" spans="1:13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35"/>
        <v>1421.7000000000003</v>
      </c>
      <c r="G65" s="39">
        <f t="shared" si="36"/>
        <v>13156.5</v>
      </c>
      <c r="H65" s="222">
        <f t="shared" si="37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3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35"/>
        <v>3321.4500000000007</v>
      </c>
      <c r="G66" s="39">
        <f t="shared" si="36"/>
        <v>9625.5499999999993</v>
      </c>
      <c r="H66" s="222">
        <f t="shared" si="37"/>
        <v>0.34506599622878703</v>
      </c>
      <c r="I66" s="39"/>
      <c r="J66" s="39">
        <v>3478</v>
      </c>
      <c r="K66" s="39"/>
      <c r="L66" s="39"/>
    </row>
    <row r="67" spans="1:13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35"/>
        <v>3194.1000000000017</v>
      </c>
      <c r="G67" s="39">
        <f t="shared" si="36"/>
        <v>13121.5</v>
      </c>
      <c r="H67" s="222">
        <f t="shared" si="37"/>
        <v>0.24342491331021621</v>
      </c>
      <c r="I67" s="39"/>
      <c r="J67" s="39">
        <v>3419</v>
      </c>
      <c r="K67" s="39"/>
      <c r="L67" s="39"/>
    </row>
    <row r="68" spans="1:13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35"/>
        <v>3265.8999999999996</v>
      </c>
      <c r="G68" s="39">
        <f t="shared" si="36"/>
        <v>9586.5</v>
      </c>
      <c r="H68" s="222">
        <f t="shared" si="37"/>
        <v>0.34067699368904181</v>
      </c>
      <c r="I68" s="39">
        <v>170</v>
      </c>
      <c r="J68" s="39">
        <v>3491</v>
      </c>
      <c r="K68" s="39"/>
      <c r="L68" s="39"/>
    </row>
    <row r="69" spans="1:13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35"/>
        <v>3801.5505000000003</v>
      </c>
      <c r="G69" s="39">
        <f t="shared" ref="G69:G72" si="38">D69*C69</f>
        <v>7160.8995000000004</v>
      </c>
      <c r="H69" s="222">
        <f>(E69-D69)/D69</f>
        <v>0.53087611409711877</v>
      </c>
      <c r="I69" s="39"/>
      <c r="J69" s="39">
        <v>3491</v>
      </c>
      <c r="K69" s="39"/>
      <c r="L69" s="39"/>
    </row>
    <row r="70" spans="1:13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35"/>
        <v>4035.6000000000004</v>
      </c>
      <c r="G70" s="39">
        <f t="shared" si="38"/>
        <v>7160.8499999999995</v>
      </c>
      <c r="H70" s="222">
        <f>(E70-D70)/D70</f>
        <v>0.56356438132344633</v>
      </c>
      <c r="I70" s="39"/>
      <c r="J70" s="39">
        <v>4260</v>
      </c>
      <c r="K70" s="39"/>
      <c r="L70" s="39"/>
    </row>
    <row r="71" spans="1:13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35"/>
        <v>4140.951</v>
      </c>
      <c r="G71" s="39">
        <f t="shared" si="38"/>
        <v>3397.4490000000001</v>
      </c>
      <c r="H71" s="222">
        <f>(E71-D71)/D71</f>
        <v>1.2188412541292011</v>
      </c>
      <c r="I71" s="39"/>
      <c r="J71" s="39">
        <v>4366</v>
      </c>
      <c r="K71" s="39"/>
      <c r="L71" s="39"/>
    </row>
    <row r="72" spans="1:13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35"/>
        <v>3844.8000000000011</v>
      </c>
      <c r="G72" s="39">
        <f t="shared" si="38"/>
        <v>7027.65</v>
      </c>
      <c r="H72" s="222">
        <f>(E72-D72)/D72</f>
        <v>0.54709611320996376</v>
      </c>
      <c r="I72" s="39"/>
      <c r="J72" s="39">
        <v>4070</v>
      </c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3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</row>
    <row r="80" spans="1:13" x14ac:dyDescent="0.25">
      <c r="A80" s="563"/>
      <c r="B80" s="563"/>
      <c r="C80" s="563"/>
      <c r="D80" s="564"/>
      <c r="E80" s="564"/>
      <c r="F80" s="564"/>
      <c r="G80" s="563"/>
      <c r="H80" s="563"/>
      <c r="I80" s="564"/>
      <c r="J80" s="564"/>
      <c r="K80" s="564"/>
      <c r="L80" s="563" t="s">
        <v>65</v>
      </c>
      <c r="M80" s="564">
        <f>M98+K98-F98</f>
        <v>224.77000000000044</v>
      </c>
    </row>
    <row r="81" spans="1:13" x14ac:dyDescent="0.25">
      <c r="A81" s="685" t="s">
        <v>1</v>
      </c>
      <c r="B81" s="685" t="s">
        <v>2</v>
      </c>
      <c r="C81" s="685" t="s">
        <v>4</v>
      </c>
      <c r="D81" s="686" t="s">
        <v>5</v>
      </c>
      <c r="E81" s="686" t="s">
        <v>94</v>
      </c>
      <c r="F81" s="686" t="s">
        <v>60</v>
      </c>
      <c r="G81" s="685" t="s">
        <v>3</v>
      </c>
      <c r="H81" s="685" t="s">
        <v>6</v>
      </c>
      <c r="I81" s="686" t="s">
        <v>7</v>
      </c>
      <c r="J81" s="686" t="s">
        <v>95</v>
      </c>
      <c r="K81" s="686" t="s">
        <v>61</v>
      </c>
      <c r="L81" s="685" t="s">
        <v>37</v>
      </c>
      <c r="M81" s="685" t="s">
        <v>38</v>
      </c>
    </row>
    <row r="82" spans="1:13" x14ac:dyDescent="0.25">
      <c r="A82" s="687" t="s">
        <v>695</v>
      </c>
      <c r="B82" s="566">
        <v>42972</v>
      </c>
      <c r="C82" s="563">
        <v>15</v>
      </c>
      <c r="D82" s="564">
        <v>210.01</v>
      </c>
      <c r="E82" s="564">
        <v>0</v>
      </c>
      <c r="F82" s="564">
        <f>C82*D82+E82</f>
        <v>3150.1499999999996</v>
      </c>
      <c r="G82" s="566">
        <v>43005</v>
      </c>
      <c r="H82" s="563">
        <v>15</v>
      </c>
      <c r="I82" s="564">
        <v>225</v>
      </c>
      <c r="J82" s="564">
        <v>0.08</v>
      </c>
      <c r="K82" s="564">
        <f>H82*I82-J82</f>
        <v>3374.92</v>
      </c>
      <c r="L82" s="566"/>
      <c r="M82" s="564"/>
    </row>
    <row r="83" spans="1:13" x14ac:dyDescent="0.25">
      <c r="A83" s="688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6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6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3"/>
      <c r="I97" s="564"/>
      <c r="J97" s="564"/>
      <c r="K97" s="564"/>
      <c r="L97" s="563"/>
      <c r="M97" s="563"/>
    </row>
    <row r="98" spans="1:13" x14ac:dyDescent="0.25">
      <c r="A98" s="689" t="s">
        <v>81</v>
      </c>
      <c r="B98" s="690"/>
      <c r="C98" s="690">
        <f>SUM(C82:C86)</f>
        <v>15</v>
      </c>
      <c r="D98" s="691"/>
      <c r="E98" s="691"/>
      <c r="F98" s="691">
        <f>SUM(F82:F86)</f>
        <v>3150.1499999999996</v>
      </c>
      <c r="G98" s="690"/>
      <c r="H98" s="692">
        <f>SUM(H82:H85)</f>
        <v>15</v>
      </c>
      <c r="I98" s="691"/>
      <c r="J98" s="691"/>
      <c r="K98" s="691">
        <f>SUM(K82:K85)</f>
        <v>3374.92</v>
      </c>
      <c r="L98" s="690"/>
      <c r="M98" s="691">
        <f>SUM(M82:M90)</f>
        <v>0</v>
      </c>
    </row>
    <row r="99" spans="1:13" ht="15.75" thickBot="1" x14ac:dyDescent="0.3">
      <c r="A99" s="693" t="s">
        <v>193</v>
      </c>
      <c r="B99" s="725"/>
      <c r="C99" s="694">
        <f>SumByColor($A$30,C82:C97)</f>
        <v>0</v>
      </c>
      <c r="D99" s="694"/>
      <c r="E99" s="694"/>
      <c r="F99" s="695">
        <f>SumByColor($A$30,F82:F97)</f>
        <v>0</v>
      </c>
      <c r="G99" s="694"/>
      <c r="H99" s="694">
        <f>SumByColor($A$30,H82:H97)</f>
        <v>0</v>
      </c>
      <c r="I99" s="694"/>
      <c r="J99" s="694"/>
      <c r="K99" s="695">
        <f>SumByColor($A$30,K83:K97)</f>
        <v>0</v>
      </c>
      <c r="L99" s="694"/>
      <c r="M99" s="695">
        <f>SumByColor($A$30,M82:M97)</f>
        <v>0</v>
      </c>
    </row>
    <row r="102" spans="1:13" x14ac:dyDescent="0.25">
      <c r="B102" s="182" t="s">
        <v>113</v>
      </c>
      <c r="C102" s="182" t="s">
        <v>146</v>
      </c>
      <c r="D102" s="183" t="s">
        <v>145</v>
      </c>
      <c r="E102" s="185" t="s">
        <v>147</v>
      </c>
      <c r="F102" s="185" t="s">
        <v>65</v>
      </c>
      <c r="G102" s="220" t="s">
        <v>151</v>
      </c>
      <c r="H102" s="220" t="s">
        <v>88</v>
      </c>
      <c r="I102" s="220" t="s">
        <v>154</v>
      </c>
      <c r="J102" s="220" t="s">
        <v>150</v>
      </c>
      <c r="K102" s="220" t="s">
        <v>670</v>
      </c>
      <c r="L102" s="220" t="s">
        <v>676</v>
      </c>
    </row>
    <row r="103" spans="1:13" x14ac:dyDescent="0.25">
      <c r="B103" s="184">
        <v>42972</v>
      </c>
      <c r="C103" s="10">
        <v>15</v>
      </c>
      <c r="D103" s="39">
        <v>210.01</v>
      </c>
      <c r="E103" s="39">
        <v>212.36</v>
      </c>
      <c r="F103" s="39">
        <f t="shared" ref="F103:F104" si="39">C103*(E103-D103)</f>
        <v>35.250000000000341</v>
      </c>
      <c r="G103" s="39">
        <f t="shared" ref="G103:G104" si="40">D103*C103</f>
        <v>3150.1499999999996</v>
      </c>
      <c r="H103" s="222">
        <f t="shared" ref="H103:H104" si="41">(E103-D103)/D103</f>
        <v>1.1189943336031726E-2</v>
      </c>
      <c r="I103" s="39"/>
      <c r="J103" s="39"/>
      <c r="K103" s="39"/>
      <c r="L103" s="39"/>
    </row>
    <row r="104" spans="1:13" x14ac:dyDescent="0.25">
      <c r="B104" s="184">
        <v>42983</v>
      </c>
      <c r="C104" s="10">
        <v>15</v>
      </c>
      <c r="D104" s="39">
        <v>210.01</v>
      </c>
      <c r="E104" s="39">
        <v>223.9</v>
      </c>
      <c r="F104" s="39">
        <f t="shared" si="39"/>
        <v>208.35000000000022</v>
      </c>
      <c r="G104" s="39">
        <f t="shared" si="40"/>
        <v>3150.1499999999996</v>
      </c>
      <c r="H104" s="222">
        <f t="shared" si="41"/>
        <v>6.6139707632969932E-2</v>
      </c>
      <c r="I104" s="39"/>
      <c r="J104" s="39"/>
      <c r="K104" s="39"/>
      <c r="L104" s="39"/>
    </row>
    <row r="105" spans="1:13" x14ac:dyDescent="0.25">
      <c r="B105" s="184">
        <v>43005</v>
      </c>
      <c r="C105" s="10">
        <v>0</v>
      </c>
      <c r="D105" s="39"/>
      <c r="E105" s="39"/>
      <c r="F105" s="39">
        <v>224.77</v>
      </c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2 H63:H72 J63:J72 J76:J78 H76:H78 F76:F78">
    <cfRule type="expression" dxfId="1732" priority="41">
      <formula>F7&gt;0</formula>
    </cfRule>
    <cfRule type="expression" dxfId="1731" priority="42">
      <formula>F7&lt;0</formula>
    </cfRule>
  </conditionalFormatting>
  <conditionalFormatting sqref="Q8">
    <cfRule type="expression" dxfId="1730" priority="39">
      <formula>Q8&gt;0</formula>
    </cfRule>
    <cfRule type="expression" dxfId="1729" priority="40">
      <formula>Q8&lt;0</formula>
    </cfRule>
  </conditionalFormatting>
  <conditionalFormatting sqref="F41:F60">
    <cfRule type="expression" dxfId="1728" priority="37">
      <formula>F41&gt;0</formula>
    </cfRule>
    <cfRule type="expression" dxfId="1727" priority="38">
      <formula>F41&lt;0</formula>
    </cfRule>
  </conditionalFormatting>
  <conditionalFormatting sqref="H41:H60">
    <cfRule type="expression" dxfId="1726" priority="35">
      <formula>H41&gt;0</formula>
    </cfRule>
    <cfRule type="expression" dxfId="1725" priority="36">
      <formula>H41&lt;0</formula>
    </cfRule>
  </conditionalFormatting>
  <conditionalFormatting sqref="Q10">
    <cfRule type="expression" dxfId="1724" priority="29">
      <formula>Q10&gt;0</formula>
    </cfRule>
    <cfRule type="expression" dxfId="1723" priority="30">
      <formula>Q10&lt;0</formula>
    </cfRule>
  </conditionalFormatting>
  <conditionalFormatting sqref="J36:J60">
    <cfRule type="expression" dxfId="1722" priority="27">
      <formula>J36&gt;0</formula>
    </cfRule>
    <cfRule type="expression" dxfId="1721" priority="28">
      <formula>J36&lt;0</formula>
    </cfRule>
  </conditionalFormatting>
  <conditionalFormatting sqref="K36:K49">
    <cfRule type="expression" dxfId="1720" priority="25">
      <formula>K36&gt;0</formula>
    </cfRule>
    <cfRule type="expression" dxfId="1719" priority="26">
      <formula>K36&lt;0</formula>
    </cfRule>
  </conditionalFormatting>
  <conditionalFormatting sqref="L36:L49">
    <cfRule type="expression" dxfId="1718" priority="23">
      <formula>L36&gt;0</formula>
    </cfRule>
    <cfRule type="expression" dxfId="1717" priority="24">
      <formula>L36&lt;0</formula>
    </cfRule>
  </conditionalFormatting>
  <conditionalFormatting sqref="F103:F124">
    <cfRule type="expression" dxfId="1716" priority="21">
      <formula>F103&gt;0</formula>
    </cfRule>
    <cfRule type="expression" dxfId="1715" priority="22">
      <formula>F103&lt;0</formula>
    </cfRule>
  </conditionalFormatting>
  <conditionalFormatting sqref="H103:H124">
    <cfRule type="expression" dxfId="1714" priority="19">
      <formula>H103&gt;0</formula>
    </cfRule>
    <cfRule type="expression" dxfId="1713" priority="20">
      <formula>H103&lt;0</formula>
    </cfRule>
  </conditionalFormatting>
  <conditionalFormatting sqref="J103:J116">
    <cfRule type="expression" dxfId="1712" priority="17">
      <formula>J103&gt;0</formula>
    </cfRule>
    <cfRule type="expression" dxfId="1711" priority="18">
      <formula>J103&lt;0</formula>
    </cfRule>
  </conditionalFormatting>
  <conditionalFormatting sqref="K103:K116">
    <cfRule type="expression" dxfId="1710" priority="15">
      <formula>K103&gt;0</formula>
    </cfRule>
    <cfRule type="expression" dxfId="1709" priority="16">
      <formula>K103&lt;0</formula>
    </cfRule>
  </conditionalFormatting>
  <conditionalFormatting sqref="L103:L116">
    <cfRule type="expression" dxfId="1708" priority="13">
      <formula>L103&gt;0</formula>
    </cfRule>
    <cfRule type="expression" dxfId="1707" priority="14">
      <formula>L103&lt;0</formula>
    </cfRule>
  </conditionalFormatting>
  <conditionalFormatting sqref="F36:F40">
    <cfRule type="expression" dxfId="1706" priority="11">
      <formula>F36&gt;0</formula>
    </cfRule>
    <cfRule type="expression" dxfId="1705" priority="12">
      <formula>F36&lt;0</formula>
    </cfRule>
  </conditionalFormatting>
  <conditionalFormatting sqref="H36:H40">
    <cfRule type="expression" dxfId="1704" priority="9">
      <formula>H36&gt;0</formula>
    </cfRule>
    <cfRule type="expression" dxfId="1703" priority="10">
      <formula>H36&lt;0</formula>
    </cfRule>
  </conditionalFormatting>
  <conditionalFormatting sqref="F61:F62">
    <cfRule type="expression" dxfId="1702" priority="7">
      <formula>F61&gt;0</formula>
    </cfRule>
    <cfRule type="expression" dxfId="1701" priority="8">
      <formula>F61&lt;0</formula>
    </cfRule>
  </conditionalFormatting>
  <conditionalFormatting sqref="H61:H62">
    <cfRule type="expression" dxfId="1700" priority="5">
      <formula>H61&gt;0</formula>
    </cfRule>
    <cfRule type="expression" dxfId="1699" priority="6">
      <formula>H61&lt;0</formula>
    </cfRule>
  </conditionalFormatting>
  <conditionalFormatting sqref="J61:J62">
    <cfRule type="expression" dxfId="1698" priority="3">
      <formula>J61&gt;0</formula>
    </cfRule>
    <cfRule type="expression" dxfId="1697" priority="4">
      <formula>J61&lt;0</formula>
    </cfRule>
  </conditionalFormatting>
  <conditionalFormatting sqref="J73:J75 H73:H75 F73:F75">
    <cfRule type="expression" dxfId="1696" priority="1">
      <formula>F73&gt;0</formula>
    </cfRule>
    <cfRule type="expression" dxfId="1695" priority="2">
      <formula>F73&lt;0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100.28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100.28</v>
      </c>
      <c r="R4" s="495">
        <v>-6.7999999999999996E-3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6.7810131631431993E-3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21.111578947368422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9" t="s">
        <v>78</v>
      </c>
      <c r="P15" s="849"/>
      <c r="W15" s="134"/>
    </row>
    <row r="16" spans="1:23" ht="15.75" thickTop="1" x14ac:dyDescent="0.25">
      <c r="H16" s="70"/>
      <c r="O16" s="81">
        <v>1.1000000000000001</v>
      </c>
      <c r="P16" s="81">
        <f>O16*$Q$4</f>
        <v>110.30800000000001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109.30520000000001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108.30240000000001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107.29960000000001</v>
      </c>
      <c r="W19" s="134"/>
    </row>
    <row r="20" spans="1:23" x14ac:dyDescent="0.25">
      <c r="O20" s="81">
        <v>1.06</v>
      </c>
      <c r="P20" s="81">
        <f t="shared" si="0"/>
        <v>106.2968</v>
      </c>
      <c r="W20" s="134"/>
    </row>
    <row r="21" spans="1:23" x14ac:dyDescent="0.25">
      <c r="O21" s="81">
        <v>1.05</v>
      </c>
      <c r="P21" s="81">
        <f t="shared" si="0"/>
        <v>105.29400000000001</v>
      </c>
      <c r="W21" s="134"/>
    </row>
    <row r="22" spans="1:23" x14ac:dyDescent="0.25">
      <c r="O22" s="81">
        <v>1.04</v>
      </c>
      <c r="P22" s="81">
        <f t="shared" si="0"/>
        <v>104.2912</v>
      </c>
      <c r="W22" s="134"/>
    </row>
    <row r="23" spans="1:23" x14ac:dyDescent="0.25">
      <c r="O23" s="81">
        <v>1.03</v>
      </c>
      <c r="P23" s="81">
        <f t="shared" si="0"/>
        <v>103.28840000000001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102.2856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101.28280000000001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100.28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99.277199999999993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98.2744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97.271599999999992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96.268799999999999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95.265999999999991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94.263199999999998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93.260400000000004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92.257600000000011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91.254800000000003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90.25200000000001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4" priority="21">
      <formula>F47&gt;0</formula>
    </cfRule>
    <cfRule type="expression" dxfId="1693" priority="22">
      <formula>F47&lt;0</formula>
    </cfRule>
  </conditionalFormatting>
  <conditionalFormatting sqref="Q7">
    <cfRule type="expression" dxfId="1692" priority="19">
      <formula>Q7&gt;0</formula>
    </cfRule>
    <cfRule type="expression" dxfId="1691" priority="20">
      <formula>Q7&lt;0</formula>
    </cfRule>
  </conditionalFormatting>
  <conditionalFormatting sqref="Q8">
    <cfRule type="expression" dxfId="1690" priority="17">
      <formula>Q8&gt;0</formula>
    </cfRule>
    <cfRule type="expression" dxfId="1689" priority="18">
      <formula>Q8&lt;0</formula>
    </cfRule>
  </conditionalFormatting>
  <conditionalFormatting sqref="F25:F46">
    <cfRule type="expression" dxfId="1688" priority="15">
      <formula>F25&gt;0</formula>
    </cfRule>
    <cfRule type="expression" dxfId="1687" priority="16">
      <formula>F25&lt;0</formula>
    </cfRule>
  </conditionalFormatting>
  <conditionalFormatting sqref="H25:H46">
    <cfRule type="expression" dxfId="1686" priority="13">
      <formula>H25&gt;0</formula>
    </cfRule>
    <cfRule type="expression" dxfId="1685" priority="14">
      <formula>H25&lt;0</formula>
    </cfRule>
  </conditionalFormatting>
  <conditionalFormatting sqref="F89:F110">
    <cfRule type="expression" dxfId="1684" priority="11">
      <formula>F89&gt;0</formula>
    </cfRule>
    <cfRule type="expression" dxfId="1683" priority="12">
      <formula>F89&lt;0</formula>
    </cfRule>
  </conditionalFormatting>
  <conditionalFormatting sqref="H89:H110">
    <cfRule type="expression" dxfId="1682" priority="9">
      <formula>H89&gt;0</formula>
    </cfRule>
    <cfRule type="expression" dxfId="1681" priority="10">
      <formula>H89&lt;0</formula>
    </cfRule>
  </conditionalFormatting>
  <conditionalFormatting sqref="Q10">
    <cfRule type="expression" dxfId="1680" priority="7">
      <formula>Q10&gt;0</formula>
    </cfRule>
    <cfRule type="expression" dxfId="1679" priority="8">
      <formula>Q10&lt;0</formula>
    </cfRule>
  </conditionalFormatting>
  <conditionalFormatting sqref="J25:J38">
    <cfRule type="expression" dxfId="1678" priority="5">
      <formula>J25&gt;0</formula>
    </cfRule>
    <cfRule type="expression" dxfId="1677" priority="6">
      <formula>J25&lt;0</formula>
    </cfRule>
  </conditionalFormatting>
  <conditionalFormatting sqref="K25:K38">
    <cfRule type="expression" dxfId="1676" priority="3">
      <formula>K25&gt;0</formula>
    </cfRule>
    <cfRule type="expression" dxfId="1675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138.85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138.85</v>
      </c>
      <c r="R4" s="495">
        <v>-4.7000000000000002E-3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20.754857997010461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9" t="s">
        <v>78</v>
      </c>
      <c r="P17" s="84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152.73500000000001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151.34649999999999</v>
      </c>
      <c r="Q19" s="2"/>
    </row>
    <row r="20" spans="1:17" x14ac:dyDescent="0.25">
      <c r="O20" s="81">
        <v>1.08</v>
      </c>
      <c r="P20" s="81">
        <f t="shared" si="3"/>
        <v>149.958</v>
      </c>
      <c r="Q20" s="2"/>
    </row>
    <row r="21" spans="1:17" x14ac:dyDescent="0.25">
      <c r="O21" s="81">
        <v>1.07</v>
      </c>
      <c r="P21" s="81">
        <f t="shared" si="3"/>
        <v>148.56950000000001</v>
      </c>
      <c r="Q21" s="2"/>
    </row>
    <row r="22" spans="1:17" x14ac:dyDescent="0.25">
      <c r="O22" s="81">
        <v>1.06</v>
      </c>
      <c r="P22" s="81">
        <f t="shared" si="3"/>
        <v>147.18100000000001</v>
      </c>
      <c r="Q22" s="2"/>
    </row>
    <row r="23" spans="1:17" x14ac:dyDescent="0.25">
      <c r="O23" s="81">
        <v>1.05</v>
      </c>
      <c r="P23" s="81">
        <f t="shared" si="3"/>
        <v>145.79249999999999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144.404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143.0155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141.62700000000001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140.23849999999999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138.85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137.4615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136.07299999999998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134.68449999999999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133.29599999999999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131.9075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130.51899999999998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129.13050000000001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127.742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126.3535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124.965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4" priority="25">
      <formula>F7&gt;0</formula>
    </cfRule>
    <cfRule type="expression" dxfId="1673" priority="26">
      <formula>F7&lt;0</formula>
    </cfRule>
  </conditionalFormatting>
  <conditionalFormatting sqref="Q8">
    <cfRule type="expression" dxfId="1672" priority="23">
      <formula>Q8&gt;0</formula>
    </cfRule>
    <cfRule type="expression" dxfId="1671" priority="24">
      <formula>Q8&lt;0</formula>
    </cfRule>
  </conditionalFormatting>
  <conditionalFormatting sqref="F93:F114">
    <cfRule type="expression" dxfId="1670" priority="17">
      <formula>F93&gt;0</formula>
    </cfRule>
    <cfRule type="expression" dxfId="1669" priority="18">
      <formula>F93&lt;0</formula>
    </cfRule>
  </conditionalFormatting>
  <conditionalFormatting sqref="H93:H114">
    <cfRule type="expression" dxfId="1668" priority="15">
      <formula>H93&gt;0</formula>
    </cfRule>
    <cfRule type="expression" dxfId="1667" priority="16">
      <formula>H93&lt;0</formula>
    </cfRule>
  </conditionalFormatting>
  <conditionalFormatting sqref="Q10">
    <cfRule type="expression" dxfId="1666" priority="13">
      <formula>Q10&gt;0</formula>
    </cfRule>
    <cfRule type="expression" dxfId="1665" priority="14">
      <formula>Q10&lt;0</formula>
    </cfRule>
  </conditionalFormatting>
  <conditionalFormatting sqref="J25:J38">
    <cfRule type="expression" dxfId="1664" priority="11">
      <formula>J25&gt;0</formula>
    </cfRule>
    <cfRule type="expression" dxfId="1663" priority="12">
      <formula>J25&lt;0</formula>
    </cfRule>
  </conditionalFormatting>
  <conditionalFormatting sqref="K25:K38">
    <cfRule type="expression" dxfId="1662" priority="9">
      <formula>K25&gt;0</formula>
    </cfRule>
    <cfRule type="expression" dxfId="1661" priority="10">
      <formula>K25&lt;0</formula>
    </cfRule>
  </conditionalFormatting>
  <conditionalFormatting sqref="L25:L34">
    <cfRule type="expression" dxfId="1660" priority="7">
      <formula>L25&gt;0</formula>
    </cfRule>
    <cfRule type="expression" dxfId="1659" priority="8">
      <formula>L25&lt;0</formula>
    </cfRule>
  </conditionalFormatting>
  <conditionalFormatting sqref="J43">
    <cfRule type="expression" dxfId="1658" priority="5">
      <formula>J43&gt;0</formula>
    </cfRule>
    <cfRule type="expression" dxfId="1657" priority="6">
      <formula>J43&lt;0</formula>
    </cfRule>
  </conditionalFormatting>
  <conditionalFormatting sqref="M25:M34">
    <cfRule type="expression" dxfId="1656" priority="3">
      <formula>M25&gt;0</formula>
    </cfRule>
    <cfRule type="expression" dxfId="1655" priority="4">
      <formula>M25&lt;0</formula>
    </cfRule>
  </conditionalFormatting>
  <conditionalFormatting sqref="H61:H64 F61:F64">
    <cfRule type="expression" dxfId="1654" priority="1">
      <formula>F61&gt;0</formula>
    </cfRule>
    <cfRule type="expression" dxfId="165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32.480520000000006</v>
      </c>
      <c r="T3" s="1">
        <v>43215</v>
      </c>
      <c r="U3" t="s">
        <v>1029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32.779899999999998</v>
      </c>
      <c r="R4" s="495">
        <v>-1.03E-2</v>
      </c>
      <c r="T4" s="770"/>
      <c r="U4" s="30" t="s">
        <v>1030</v>
      </c>
    </row>
    <row r="5" spans="1:21" x14ac:dyDescent="0.25">
      <c r="B5" s="72">
        <v>43228</v>
      </c>
      <c r="C5" s="4">
        <v>100</v>
      </c>
      <c r="D5" s="3">
        <v>30.6</v>
      </c>
      <c r="E5" s="3">
        <v>0</v>
      </c>
      <c r="F5" s="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8194.9749999999985</v>
      </c>
    </row>
    <row r="6" spans="1:21" x14ac:dyDescent="0.25">
      <c r="B6" s="474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8120.130000000001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74.844999999997526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74.844999999997526</v>
      </c>
      <c r="T8" s="1">
        <v>43228</v>
      </c>
      <c r="U8" t="s">
        <v>1073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9.2172169657379274E-3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13.11196</v>
      </c>
      <c r="T13" s="156">
        <v>43263</v>
      </c>
      <c r="U13" t="s">
        <v>1118</v>
      </c>
    </row>
    <row r="14" spans="1:21" x14ac:dyDescent="0.25">
      <c r="H14" s="70"/>
      <c r="O14" s="11" t="s">
        <v>1113</v>
      </c>
    </row>
    <row r="15" spans="1:21" x14ac:dyDescent="0.25">
      <c r="H15" s="70"/>
      <c r="O15" s="11" t="s">
        <v>1042</v>
      </c>
      <c r="Q15" s="1">
        <v>43218</v>
      </c>
      <c r="T15" s="1">
        <v>43271</v>
      </c>
      <c r="U15" t="s">
        <v>1143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300</v>
      </c>
      <c r="I18" s="18"/>
      <c r="J18" s="18"/>
      <c r="K18" s="18">
        <f>SUM(K2:K5)</f>
        <v>9900.869999999999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9682</v>
      </c>
      <c r="G19" s="343"/>
      <c r="H19" s="343">
        <f>SumByColor($A$19,H2:H17)</f>
        <v>300</v>
      </c>
      <c r="I19" s="343"/>
      <c r="J19" s="343"/>
      <c r="K19" s="344">
        <f>SumByColor($A$19,K2:K17)</f>
        <v>9901</v>
      </c>
      <c r="L19" s="343"/>
      <c r="M19" s="344">
        <f>SumByColor($A$19,M2:M17)</f>
        <v>28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36.05789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35.730091000000002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35.402292000000003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35.074492999999997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34.746693999999998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34.418894999999999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34.091096</v>
      </c>
      <c r="Q29" s="2"/>
    </row>
    <row r="30" spans="1:17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33.763297000000001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33.435497999999995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33.107698999999997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32.779899999999998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37" si="15">C34*(E34-D34)</f>
        <v>-315.00000000000125</v>
      </c>
      <c r="G34" s="39">
        <f t="shared" ref="G34:G37" si="16">D34*C34</f>
        <v>9939</v>
      </c>
      <c r="H34" s="222">
        <f t="shared" ref="H34:H37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32.452100999999999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15"/>
        <v>170.89499999999981</v>
      </c>
      <c r="G35" s="39">
        <f t="shared" si="16"/>
        <v>4902.1050000000005</v>
      </c>
      <c r="H35" s="222">
        <f t="shared" si="17"/>
        <v>3.48615543730703E-2</v>
      </c>
      <c r="I35" s="39" t="s">
        <v>1138</v>
      </c>
      <c r="J35" s="39"/>
      <c r="K35" s="39">
        <v>13.53</v>
      </c>
      <c r="L35" s="155"/>
      <c r="O35" s="81">
        <v>0.98</v>
      </c>
      <c r="P35" s="81">
        <f t="shared" si="2"/>
        <v>32.124302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15"/>
        <v>-30.120000000000147</v>
      </c>
      <c r="G36" s="39">
        <f t="shared" si="16"/>
        <v>9804.119999999999</v>
      </c>
      <c r="H36" s="222">
        <f t="shared" si="17"/>
        <v>-3.0721778191209561E-3</v>
      </c>
      <c r="I36" s="39" t="s">
        <v>1138</v>
      </c>
      <c r="J36" s="39"/>
      <c r="K36" s="39">
        <v>13.03</v>
      </c>
      <c r="L36" s="39"/>
      <c r="O36" s="81">
        <v>0.97</v>
      </c>
      <c r="P36" s="81">
        <f t="shared" si="2"/>
        <v>31.796502999999998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15"/>
        <v>227.37500000000034</v>
      </c>
      <c r="G37" s="39">
        <f t="shared" si="16"/>
        <v>8120.125</v>
      </c>
      <c r="H37" s="222">
        <f t="shared" si="1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31.468703999999995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31.140904999999997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30.813105999999998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30.485306999999999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30.157508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29.829708999999998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29.501909999999999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2" priority="33">
      <formula>F47&gt;0</formula>
    </cfRule>
    <cfRule type="expression" dxfId="1651" priority="34">
      <formula>F47&lt;0</formula>
    </cfRule>
  </conditionalFormatting>
  <conditionalFormatting sqref="Q7">
    <cfRule type="expression" dxfId="1650" priority="31">
      <formula>Q7&gt;0</formula>
    </cfRule>
    <cfRule type="expression" dxfId="1649" priority="32">
      <formula>Q7&lt;0</formula>
    </cfRule>
  </conditionalFormatting>
  <conditionalFormatting sqref="Q8">
    <cfRule type="expression" dxfId="1648" priority="29">
      <formula>Q8&gt;0</formula>
    </cfRule>
    <cfRule type="expression" dxfId="1647" priority="30">
      <formula>Q8&lt;0</formula>
    </cfRule>
  </conditionalFormatting>
  <conditionalFormatting sqref="F30:F46">
    <cfRule type="expression" dxfId="1646" priority="27">
      <formula>F30&gt;0</formula>
    </cfRule>
    <cfRule type="expression" dxfId="1645" priority="28">
      <formula>F30&lt;0</formula>
    </cfRule>
  </conditionalFormatting>
  <conditionalFormatting sqref="H30:H46">
    <cfRule type="expression" dxfId="1644" priority="25">
      <formula>H30&gt;0</formula>
    </cfRule>
    <cfRule type="expression" dxfId="1643" priority="26">
      <formula>H30&lt;0</formula>
    </cfRule>
  </conditionalFormatting>
  <conditionalFormatting sqref="Q10">
    <cfRule type="expression" dxfId="1642" priority="23">
      <formula>Q10&gt;0</formula>
    </cfRule>
    <cfRule type="expression" dxfId="1641" priority="24">
      <formula>Q10&lt;0</formula>
    </cfRule>
  </conditionalFormatting>
  <conditionalFormatting sqref="J25:J38">
    <cfRule type="expression" dxfId="1640" priority="21">
      <formula>J25&gt;0</formula>
    </cfRule>
    <cfRule type="expression" dxfId="1639" priority="22">
      <formula>J25&lt;0</formula>
    </cfRule>
  </conditionalFormatting>
  <conditionalFormatting sqref="K25:K33 K38">
    <cfRule type="expression" dxfId="1638" priority="19">
      <formula>K25&gt;0</formula>
    </cfRule>
    <cfRule type="expression" dxfId="1637" priority="20">
      <formula>K25&lt;0</formula>
    </cfRule>
  </conditionalFormatting>
  <conditionalFormatting sqref="L25:L38">
    <cfRule type="expression" dxfId="1636" priority="17">
      <formula>L25&gt;0</formula>
    </cfRule>
    <cfRule type="expression" dxfId="1635" priority="18">
      <formula>L25&lt;0</formula>
    </cfRule>
  </conditionalFormatting>
  <conditionalFormatting sqref="F89:F110">
    <cfRule type="expression" dxfId="1634" priority="15">
      <formula>F89&gt;0</formula>
    </cfRule>
    <cfRule type="expression" dxfId="1633" priority="16">
      <formula>F89&lt;0</formula>
    </cfRule>
  </conditionalFormatting>
  <conditionalFormatting sqref="H89:H110">
    <cfRule type="expression" dxfId="1632" priority="13">
      <formula>H89&gt;0</formula>
    </cfRule>
    <cfRule type="expression" dxfId="1631" priority="14">
      <formula>H89&lt;0</formula>
    </cfRule>
  </conditionalFormatting>
  <conditionalFormatting sqref="J89:J102">
    <cfRule type="expression" dxfId="1630" priority="11">
      <formula>J89&gt;0</formula>
    </cfRule>
    <cfRule type="expression" dxfId="1629" priority="12">
      <formula>J89&lt;0</formula>
    </cfRule>
  </conditionalFormatting>
  <conditionalFormatting sqref="K89:K102">
    <cfRule type="expression" dxfId="1628" priority="9">
      <formula>K89&gt;0</formula>
    </cfRule>
    <cfRule type="expression" dxfId="1627" priority="10">
      <formula>K89&lt;0</formula>
    </cfRule>
  </conditionalFormatting>
  <conditionalFormatting sqref="L89:L102">
    <cfRule type="expression" dxfId="1626" priority="7">
      <formula>L89&gt;0</formula>
    </cfRule>
    <cfRule type="expression" dxfId="1625" priority="8">
      <formula>L89&lt;0</formula>
    </cfRule>
  </conditionalFormatting>
  <conditionalFormatting sqref="F25:F29">
    <cfRule type="expression" dxfId="1624" priority="5">
      <formula>F25&gt;0</formula>
    </cfRule>
    <cfRule type="expression" dxfId="1623" priority="6">
      <formula>F25&lt;0</formula>
    </cfRule>
  </conditionalFormatting>
  <conditionalFormatting sqref="H25:H29">
    <cfRule type="expression" dxfId="1622" priority="3">
      <formula>H25&gt;0</formula>
    </cfRule>
    <cfRule type="expression" dxfId="1621" priority="4">
      <formula>H25&lt;0</formula>
    </cfRule>
  </conditionalFormatting>
  <conditionalFormatting sqref="F29">
    <cfRule type="expression" dxfId="1620" priority="1">
      <formula>F29&gt;0</formula>
    </cfRule>
    <cfRule type="expression" dxfId="161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97.69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97.69</v>
      </c>
      <c r="R4" s="495">
        <v>4.1799999999999997E-2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6.5513358583273625E-3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13.237127371273713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107.459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106.4821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105.5052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104.5283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103.5514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102.5745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101.5976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100.6207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99.643799999999999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98.666899999999998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97.69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96.713099999999997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95.736199999999997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94.759299999999996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93.782399999999996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92.805499999999995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91.828599999999994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90.851700000000008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89.874800000000008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88.897900000000007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87.921000000000006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8" priority="31">
      <formula>F47&gt;0</formula>
    </cfRule>
    <cfRule type="expression" dxfId="1617" priority="32">
      <formula>F47&lt;0</formula>
    </cfRule>
  </conditionalFormatting>
  <conditionalFormatting sqref="Q7">
    <cfRule type="expression" dxfId="1616" priority="29">
      <formula>Q7&gt;0</formula>
    </cfRule>
    <cfRule type="expression" dxfId="1615" priority="30">
      <formula>Q7&lt;0</formula>
    </cfRule>
  </conditionalFormatting>
  <conditionalFormatting sqref="Q8">
    <cfRule type="expression" dxfId="1614" priority="27">
      <formula>Q8&gt;0</formula>
    </cfRule>
    <cfRule type="expression" dxfId="1613" priority="28">
      <formula>Q8&lt;0</formula>
    </cfRule>
  </conditionalFormatting>
  <conditionalFormatting sqref="F30:F46">
    <cfRule type="expression" dxfId="1612" priority="25">
      <formula>F30&gt;0</formula>
    </cfRule>
    <cfRule type="expression" dxfId="1611" priority="26">
      <formula>F30&lt;0</formula>
    </cfRule>
  </conditionalFormatting>
  <conditionalFormatting sqref="H30:H46">
    <cfRule type="expression" dxfId="1610" priority="23">
      <formula>H30&gt;0</formula>
    </cfRule>
    <cfRule type="expression" dxfId="1609" priority="24">
      <formula>H30&lt;0</formula>
    </cfRule>
  </conditionalFormatting>
  <conditionalFormatting sqref="Q10">
    <cfRule type="expression" dxfId="1608" priority="21">
      <formula>Q10&gt;0</formula>
    </cfRule>
    <cfRule type="expression" dxfId="1607" priority="22">
      <formula>Q10&lt;0</formula>
    </cfRule>
  </conditionalFormatting>
  <conditionalFormatting sqref="J25:J38">
    <cfRule type="expression" dxfId="1606" priority="19">
      <formula>J25&gt;0</formula>
    </cfRule>
    <cfRule type="expression" dxfId="1605" priority="20">
      <formula>J25&lt;0</formula>
    </cfRule>
  </conditionalFormatting>
  <conditionalFormatting sqref="K25:K38">
    <cfRule type="expression" dxfId="1604" priority="17">
      <formula>K25&gt;0</formula>
    </cfRule>
    <cfRule type="expression" dxfId="1603" priority="18">
      <formula>K25&lt;0</formula>
    </cfRule>
  </conditionalFormatting>
  <conditionalFormatting sqref="L25:L38">
    <cfRule type="expression" dxfId="1602" priority="15">
      <formula>L25&gt;0</formula>
    </cfRule>
    <cfRule type="expression" dxfId="1601" priority="16">
      <formula>L25&lt;0</formula>
    </cfRule>
  </conditionalFormatting>
  <conditionalFormatting sqref="F89:F110">
    <cfRule type="expression" dxfId="1600" priority="13">
      <formula>F89&gt;0</formula>
    </cfRule>
    <cfRule type="expression" dxfId="1599" priority="14">
      <formula>F89&lt;0</formula>
    </cfRule>
  </conditionalFormatting>
  <conditionalFormatting sqref="H89:H110">
    <cfRule type="expression" dxfId="1598" priority="11">
      <formula>H89&gt;0</formula>
    </cfRule>
    <cfRule type="expression" dxfId="1597" priority="12">
      <formula>H89&lt;0</formula>
    </cfRule>
  </conditionalFormatting>
  <conditionalFormatting sqref="J89:J102">
    <cfRule type="expression" dxfId="1596" priority="9">
      <formula>J89&gt;0</formula>
    </cfRule>
    <cfRule type="expression" dxfId="1595" priority="10">
      <formula>J89&lt;0</formula>
    </cfRule>
  </conditionalFormatting>
  <conditionalFormatting sqref="K89:K102">
    <cfRule type="expression" dxfId="1594" priority="7">
      <formula>K89&gt;0</formula>
    </cfRule>
    <cfRule type="expression" dxfId="1593" priority="8">
      <formula>K89&lt;0</formula>
    </cfRule>
  </conditionalFormatting>
  <conditionalFormatting sqref="L89:L102">
    <cfRule type="expression" dxfId="1592" priority="5">
      <formula>L89&gt;0</formula>
    </cfRule>
    <cfRule type="expression" dxfId="1591" priority="6">
      <formula>L89&lt;0</formula>
    </cfRule>
  </conditionalFormatting>
  <conditionalFormatting sqref="F25:F29">
    <cfRule type="expression" dxfId="1590" priority="3">
      <formula>F25&gt;0</formula>
    </cfRule>
    <cfRule type="expression" dxfId="1589" priority="4">
      <formula>F25&lt;0</formula>
    </cfRule>
  </conditionalFormatting>
  <conditionalFormatting sqref="H25:H29">
    <cfRule type="expression" dxfId="1588" priority="1">
      <formula>H25&gt;0</formula>
    </cfRule>
    <cfRule type="expression" dxfId="15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56.1</v>
      </c>
      <c r="R4" s="495">
        <v>-1.7000000000000001E-2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8415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-561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-561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-6.25E-2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4.7058823529411764E-2</v>
      </c>
      <c r="R11">
        <f>0.22</f>
        <v>0.22</v>
      </c>
    </row>
    <row r="12" spans="1:21" x14ac:dyDescent="0.25">
      <c r="H12" s="70"/>
      <c r="O12" s="11" t="s">
        <v>948</v>
      </c>
      <c r="Q12" s="1" t="s">
        <v>1142</v>
      </c>
    </row>
    <row r="13" spans="1:21" x14ac:dyDescent="0.25">
      <c r="H13" s="70"/>
      <c r="O13" s="11" t="s">
        <v>975</v>
      </c>
      <c r="Q13">
        <f>Q4/(3.9+4.03)*2</f>
        <v>14.148802017654477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61.710000000000008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61.149000000000008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60.588000000000008</v>
      </c>
    </row>
    <row r="20" spans="1:16" x14ac:dyDescent="0.25">
      <c r="O20" s="81">
        <v>1.07</v>
      </c>
      <c r="P20" s="81">
        <f t="shared" si="1"/>
        <v>60.027000000000008</v>
      </c>
    </row>
    <row r="21" spans="1:16" x14ac:dyDescent="0.25">
      <c r="O21" s="81">
        <v>1.06</v>
      </c>
      <c r="P21" s="81">
        <f t="shared" si="1"/>
        <v>59.466000000000001</v>
      </c>
    </row>
    <row r="22" spans="1:16" x14ac:dyDescent="0.25">
      <c r="O22" s="81">
        <v>1.05</v>
      </c>
      <c r="P22" s="81">
        <f t="shared" si="1"/>
        <v>58.905000000000001</v>
      </c>
    </row>
    <row r="23" spans="1:16" x14ac:dyDescent="0.25">
      <c r="O23" s="81">
        <v>1.04</v>
      </c>
      <c r="P23" s="81">
        <f t="shared" si="1"/>
        <v>58.344000000000001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57.783000000000001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57.222000000000001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56.661000000000001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56.1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55.539000000000001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54.978000000000002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54.417000000000002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53.856000000000002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53.295000000000002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52.734000000000002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52.173000000000002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51.612000000000002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51.051000000000002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50.49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6" priority="35">
      <formula>F47&gt;0</formula>
    </cfRule>
    <cfRule type="expression" dxfId="1585" priority="36">
      <formula>F47&lt;0</formula>
    </cfRule>
  </conditionalFormatting>
  <conditionalFormatting sqref="Q7">
    <cfRule type="expression" dxfId="1584" priority="33">
      <formula>Q7&gt;0</formula>
    </cfRule>
    <cfRule type="expression" dxfId="1583" priority="34">
      <formula>Q7&lt;0</formula>
    </cfRule>
  </conditionalFormatting>
  <conditionalFormatting sqref="Q8">
    <cfRule type="expression" dxfId="1582" priority="31">
      <formula>Q8&gt;0</formula>
    </cfRule>
    <cfRule type="expression" dxfId="1581" priority="32">
      <formula>Q8&lt;0</formula>
    </cfRule>
  </conditionalFormatting>
  <conditionalFormatting sqref="F30:F46">
    <cfRule type="expression" dxfId="1580" priority="29">
      <formula>F30&gt;0</formula>
    </cfRule>
    <cfRule type="expression" dxfId="1579" priority="30">
      <formula>F30&lt;0</formula>
    </cfRule>
  </conditionalFormatting>
  <conditionalFormatting sqref="H30:H46">
    <cfRule type="expression" dxfId="1578" priority="27">
      <formula>H30&gt;0</formula>
    </cfRule>
    <cfRule type="expression" dxfId="1577" priority="28">
      <formula>H30&lt;0</formula>
    </cfRule>
  </conditionalFormatting>
  <conditionalFormatting sqref="Q10">
    <cfRule type="expression" dxfId="1576" priority="25">
      <formula>Q10&gt;0</formula>
    </cfRule>
    <cfRule type="expression" dxfId="1575" priority="26">
      <formula>Q10&lt;0</formula>
    </cfRule>
  </conditionalFormatting>
  <conditionalFormatting sqref="J25:J38">
    <cfRule type="expression" dxfId="1574" priority="23">
      <formula>J25&gt;0</formula>
    </cfRule>
    <cfRule type="expression" dxfId="1573" priority="24">
      <formula>J25&lt;0</formula>
    </cfRule>
  </conditionalFormatting>
  <conditionalFormatting sqref="K25:K38">
    <cfRule type="expression" dxfId="1572" priority="21">
      <formula>K25&gt;0</formula>
    </cfRule>
    <cfRule type="expression" dxfId="1571" priority="22">
      <formula>K25&lt;0</formula>
    </cfRule>
  </conditionalFormatting>
  <conditionalFormatting sqref="L25 L38">
    <cfRule type="expression" dxfId="1570" priority="19">
      <formula>L25&gt;0</formula>
    </cfRule>
    <cfRule type="expression" dxfId="1569" priority="20">
      <formula>L25&lt;0</formula>
    </cfRule>
  </conditionalFormatting>
  <conditionalFormatting sqref="F89:F110">
    <cfRule type="expression" dxfId="1568" priority="17">
      <formula>F89&gt;0</formula>
    </cfRule>
    <cfRule type="expression" dxfId="1567" priority="18">
      <formula>F89&lt;0</formula>
    </cfRule>
  </conditionalFormatting>
  <conditionalFormatting sqref="H89:H110">
    <cfRule type="expression" dxfId="1566" priority="15">
      <formula>H89&gt;0</formula>
    </cfRule>
    <cfRule type="expression" dxfId="1565" priority="16">
      <formula>H89&lt;0</formula>
    </cfRule>
  </conditionalFormatting>
  <conditionalFormatting sqref="J89:J102">
    <cfRule type="expression" dxfId="1564" priority="13">
      <formula>J89&gt;0</formula>
    </cfRule>
    <cfRule type="expression" dxfId="1563" priority="14">
      <formula>J89&lt;0</formula>
    </cfRule>
  </conditionalFormatting>
  <conditionalFormatting sqref="K89:K102">
    <cfRule type="expression" dxfId="1562" priority="11">
      <formula>K89&gt;0</formula>
    </cfRule>
    <cfRule type="expression" dxfId="1561" priority="12">
      <formula>K89&lt;0</formula>
    </cfRule>
  </conditionalFormatting>
  <conditionalFormatting sqref="L89:L102">
    <cfRule type="expression" dxfId="1560" priority="9">
      <formula>L89&gt;0</formula>
    </cfRule>
    <cfRule type="expression" dxfId="1559" priority="10">
      <formula>L89&lt;0</formula>
    </cfRule>
  </conditionalFormatting>
  <conditionalFormatting sqref="F25 F29">
    <cfRule type="expression" dxfId="1558" priority="7">
      <formula>F25&gt;0</formula>
    </cfRule>
    <cfRule type="expression" dxfId="1557" priority="8">
      <formula>F25&lt;0</formula>
    </cfRule>
  </conditionalFormatting>
  <conditionalFormatting sqref="H25 H29">
    <cfRule type="expression" dxfId="1556" priority="5">
      <formula>H25&gt;0</formula>
    </cfRule>
    <cfRule type="expression" dxfId="1555" priority="6">
      <formula>H25&lt;0</formula>
    </cfRule>
  </conditionalFormatting>
  <conditionalFormatting sqref="F26:F28">
    <cfRule type="expression" dxfId="1554" priority="3">
      <formula>F26&gt;0</formula>
    </cfRule>
    <cfRule type="expression" dxfId="1553" priority="4">
      <formula>F26&lt;0</formula>
    </cfRule>
  </conditionalFormatting>
  <conditionalFormatting sqref="H26:H28">
    <cfRule type="expression" dxfId="1552" priority="1">
      <formula>H26&gt;0</formula>
    </cfRule>
    <cfRule type="expression" dxfId="155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1093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32.211599999999997</v>
      </c>
      <c r="T3" s="1">
        <v>43215</v>
      </c>
      <c r="U3" t="s">
        <v>1031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31.619900000000001</v>
      </c>
      <c r="R4" s="495">
        <v>-2.8E-3</v>
      </c>
      <c r="T4" s="770"/>
      <c r="U4" s="30" t="s">
        <v>1032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3161.9900000000002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3221.16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-59.169999999999618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-59.169999999999618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-1.8369158936532064E-2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3.1625653465064719E-2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9.1123631123919306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2" si="9">C28*(E28-D28)</f>
        <v>-321.07999999999993</v>
      </c>
      <c r="G28" s="39">
        <f t="shared" ref="G28:G32" si="10">D28*C28</f>
        <v>3527.08</v>
      </c>
      <c r="H28" s="222">
        <f t="shared" ref="H28:H32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193" t="s">
        <v>1131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193" t="s">
        <v>1133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9"/>
        <v>30.8400000000006</v>
      </c>
      <c r="G32" s="39">
        <f t="shared" si="10"/>
        <v>3221.16</v>
      </c>
      <c r="H32" s="222">
        <f t="shared" si="11"/>
        <v>9.5741906642329479E-3</v>
      </c>
      <c r="I32" s="39">
        <v>32</v>
      </c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34.781890000000004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34.465691000000007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34.149492000000002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33.833293000000005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33.517094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33.200895000000003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32.884696000000005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32.568497000000001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32.252298000000003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31.936099000000002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31.619900000000001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31.303701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30.987501999999999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30.671303000000002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30.355104000000001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30.038905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29.722705999999999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29.406507000000001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29.090308000000004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28.774109000000003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28.457910000000002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0" priority="31">
      <formula>F47&gt;0</formula>
    </cfRule>
    <cfRule type="expression" dxfId="1549" priority="32">
      <formula>F47&lt;0</formula>
    </cfRule>
  </conditionalFormatting>
  <conditionalFormatting sqref="Q7">
    <cfRule type="expression" dxfId="1548" priority="29">
      <formula>Q7&gt;0</formula>
    </cfRule>
    <cfRule type="expression" dxfId="1547" priority="30">
      <formula>Q7&lt;0</formula>
    </cfRule>
  </conditionalFormatting>
  <conditionalFormatting sqref="Q8">
    <cfRule type="expression" dxfId="1546" priority="27">
      <formula>Q8&gt;0</formula>
    </cfRule>
    <cfRule type="expression" dxfId="1545" priority="28">
      <formula>Q8&lt;0</formula>
    </cfRule>
  </conditionalFormatting>
  <conditionalFormatting sqref="F30:F46">
    <cfRule type="expression" dxfId="1544" priority="25">
      <formula>F30&gt;0</formula>
    </cfRule>
    <cfRule type="expression" dxfId="1543" priority="26">
      <formula>F30&lt;0</formula>
    </cfRule>
  </conditionalFormatting>
  <conditionalFormatting sqref="H30:H46">
    <cfRule type="expression" dxfId="1542" priority="23">
      <formula>H30&gt;0</formula>
    </cfRule>
    <cfRule type="expression" dxfId="1541" priority="24">
      <formula>H30&lt;0</formula>
    </cfRule>
  </conditionalFormatting>
  <conditionalFormatting sqref="Q10">
    <cfRule type="expression" dxfId="1540" priority="21">
      <formula>Q10&gt;0</formula>
    </cfRule>
    <cfRule type="expression" dxfId="1539" priority="22">
      <formula>Q10&lt;0</formula>
    </cfRule>
  </conditionalFormatting>
  <conditionalFormatting sqref="J25:J38">
    <cfRule type="expression" dxfId="1538" priority="19">
      <formula>J25&gt;0</formula>
    </cfRule>
    <cfRule type="expression" dxfId="1537" priority="20">
      <formula>J25&lt;0</formula>
    </cfRule>
  </conditionalFormatting>
  <conditionalFormatting sqref="K25:K38">
    <cfRule type="expression" dxfId="1536" priority="17">
      <formula>K25&gt;0</formula>
    </cfRule>
    <cfRule type="expression" dxfId="1535" priority="18">
      <formula>K25&lt;0</formula>
    </cfRule>
  </conditionalFormatting>
  <conditionalFormatting sqref="L25:L38">
    <cfRule type="expression" dxfId="1534" priority="15">
      <formula>L25&gt;0</formula>
    </cfRule>
    <cfRule type="expression" dxfId="1533" priority="16">
      <formula>L25&lt;0</formula>
    </cfRule>
  </conditionalFormatting>
  <conditionalFormatting sqref="F89:F110">
    <cfRule type="expression" dxfId="1532" priority="13">
      <formula>F89&gt;0</formula>
    </cfRule>
    <cfRule type="expression" dxfId="1531" priority="14">
      <formula>F89&lt;0</formula>
    </cfRule>
  </conditionalFormatting>
  <conditionalFormatting sqref="H89:H110">
    <cfRule type="expression" dxfId="1530" priority="11">
      <formula>H89&gt;0</formula>
    </cfRule>
    <cfRule type="expression" dxfId="1529" priority="12">
      <formula>H89&lt;0</formula>
    </cfRule>
  </conditionalFormatting>
  <conditionalFormatting sqref="J89:J102">
    <cfRule type="expression" dxfId="1528" priority="9">
      <formula>J89&gt;0</formula>
    </cfRule>
    <cfRule type="expression" dxfId="1527" priority="10">
      <formula>J89&lt;0</formula>
    </cfRule>
  </conditionalFormatting>
  <conditionalFormatting sqref="K89:K102">
    <cfRule type="expression" dxfId="1526" priority="7">
      <formula>K89&gt;0</formula>
    </cfRule>
    <cfRule type="expression" dxfId="1525" priority="8">
      <formula>K89&lt;0</formula>
    </cfRule>
  </conditionalFormatting>
  <conditionalFormatting sqref="L89:L102">
    <cfRule type="expression" dxfId="1524" priority="5">
      <formula>L89&gt;0</formula>
    </cfRule>
    <cfRule type="expression" dxfId="1523" priority="6">
      <formula>L89&lt;0</formula>
    </cfRule>
  </conditionalFormatting>
  <conditionalFormatting sqref="F25:F29">
    <cfRule type="expression" dxfId="1522" priority="3">
      <formula>F25&gt;0</formula>
    </cfRule>
    <cfRule type="expression" dxfId="1521" priority="4">
      <formula>F25&lt;0</formula>
    </cfRule>
  </conditionalFormatting>
  <conditionalFormatting sqref="H25:H29">
    <cfRule type="expression" dxfId="1520" priority="1">
      <formula>H25&gt;0</formula>
    </cfRule>
    <cfRule type="expression" dxfId="15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210.0899</v>
      </c>
      <c r="R4" s="495">
        <v>-7.7999999999999996E-3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4201.7979999999998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1485.0280000000007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1341.9980000000005</v>
      </c>
      <c r="T8" s="1">
        <v>43237</v>
      </c>
      <c r="U8" t="s">
        <v>1091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0.46926288551647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2.3799335427357525E-3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30.625349854227405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49" t="s">
        <v>78</v>
      </c>
      <c r="P24" s="849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231.09889000000001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228.99799100000001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226.89709200000001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224.79619300000002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222.69529400000002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220.59439500000002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218.49349600000002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216.39259699999999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214.291698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212.190799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210.0899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207.989001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205.888102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203.78720300000001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3" si="22">C39*(E39-D39)</f>
        <v>857.59999999999991</v>
      </c>
      <c r="G39" s="39">
        <f t="shared" ref="G39:G43" si="23">D39*C39</f>
        <v>6631.2</v>
      </c>
      <c r="H39" s="222">
        <f t="shared" ref="H39:H43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201.68630399999998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199.58540499999998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197.48450599999998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195.38360700000001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22"/>
        <v>1375.1999999999998</v>
      </c>
      <c r="G43" s="39">
        <f t="shared" si="23"/>
        <v>2859.8</v>
      </c>
      <c r="H43" s="222">
        <f t="shared" si="24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6"/>
        <v>193.28270800000001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191.18180900000002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189.08091000000002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8" priority="24">
      <formula>F47&gt;0</formula>
    </cfRule>
    <cfRule type="expression" dxfId="1517" priority="25">
      <formula>F47&lt;0</formula>
    </cfRule>
  </conditionalFormatting>
  <conditionalFormatting sqref="Q7">
    <cfRule type="expression" dxfId="1516" priority="22">
      <formula>Q7&gt;0</formula>
    </cfRule>
    <cfRule type="expression" dxfId="1515" priority="23">
      <formula>Q7&lt;0</formula>
    </cfRule>
  </conditionalFormatting>
  <conditionalFormatting sqref="Q8">
    <cfRule type="expression" dxfId="1514" priority="20">
      <formula>Q8&gt;0</formula>
    </cfRule>
    <cfRule type="expression" dxfId="1513" priority="21">
      <formula>Q8&lt;0</formula>
    </cfRule>
  </conditionalFormatting>
  <conditionalFormatting sqref="F25:F46">
    <cfRule type="expression" dxfId="1512" priority="18">
      <formula>F25&gt;0</formula>
    </cfRule>
    <cfRule type="expression" dxfId="1511" priority="19">
      <formula>F25&lt;0</formula>
    </cfRule>
  </conditionalFormatting>
  <conditionalFormatting sqref="H25:H46">
    <cfRule type="expression" dxfId="1510" priority="16">
      <formula>H25&gt;0</formula>
    </cfRule>
    <cfRule type="expression" dxfId="1509" priority="17">
      <formula>H25&lt;0</formula>
    </cfRule>
  </conditionalFormatting>
  <conditionalFormatting sqref="F89:F110">
    <cfRule type="expression" dxfId="1508" priority="14">
      <formula>F89&gt;0</formula>
    </cfRule>
    <cfRule type="expression" dxfId="1507" priority="15">
      <formula>F89&lt;0</formula>
    </cfRule>
  </conditionalFormatting>
  <conditionalFormatting sqref="H89:H110">
    <cfRule type="expression" dxfId="1506" priority="12">
      <formula>H89&gt;0</formula>
    </cfRule>
    <cfRule type="expression" dxfId="1505" priority="13">
      <formula>H89&lt;0</formula>
    </cfRule>
  </conditionalFormatting>
  <conditionalFormatting sqref="Q10">
    <cfRule type="expression" dxfId="1504" priority="10">
      <formula>Q10&gt;0</formula>
    </cfRule>
    <cfRule type="expression" dxfId="1503" priority="11">
      <formula>Q10&lt;0</formula>
    </cfRule>
  </conditionalFormatting>
  <conditionalFormatting sqref="J25:J39">
    <cfRule type="expression" dxfId="1502" priority="8">
      <formula>J25&gt;0</formula>
    </cfRule>
    <cfRule type="expression" dxfId="1501" priority="9">
      <formula>J25&lt;0</formula>
    </cfRule>
  </conditionalFormatting>
  <conditionalFormatting sqref="K25:K38">
    <cfRule type="expression" dxfId="1500" priority="6">
      <formula>K25&gt;0</formula>
    </cfRule>
    <cfRule type="expression" dxfId="1499" priority="7">
      <formula>K25&lt;0</formula>
    </cfRule>
  </conditionalFormatting>
  <conditionalFormatting sqref="L25:L38">
    <cfRule type="expression" dxfId="1498" priority="4">
      <formula>L25&gt;0</formula>
    </cfRule>
    <cfRule type="expression" dxfId="149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6" priority="1">
      <formula>J40&gt;0</formula>
    </cfRule>
    <cfRule type="expression" dxfId="149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4" priority="74">
      <formula>F12&gt;0</formula>
    </cfRule>
    <cfRule type="expression" dxfId="149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92" priority="67">
      <formula>F124&gt;0</formula>
    </cfRule>
    <cfRule type="expression" dxfId="1491" priority="68">
      <formula>F124&lt;0</formula>
    </cfRule>
  </conditionalFormatting>
  <conditionalFormatting sqref="H124:H130">
    <cfRule type="expression" dxfId="1490" priority="55">
      <formula>H124&gt;0</formula>
    </cfRule>
    <cfRule type="expression" dxfId="1489" priority="56">
      <formula>H124&lt;0</formula>
    </cfRule>
  </conditionalFormatting>
  <conditionalFormatting sqref="H131">
    <cfRule type="expression" dxfId="1488" priority="53">
      <formula>H131&gt;0</formula>
    </cfRule>
    <cfRule type="expression" dxfId="1487" priority="54">
      <formula>H131&lt;0</formula>
    </cfRule>
  </conditionalFormatting>
  <conditionalFormatting sqref="H132">
    <cfRule type="expression" dxfId="1486" priority="51">
      <formula>H132&gt;0</formula>
    </cfRule>
    <cfRule type="expression" dxfId="1485" priority="52">
      <formula>H132&lt;0</formula>
    </cfRule>
  </conditionalFormatting>
  <conditionalFormatting sqref="H133:H135">
    <cfRule type="expression" dxfId="1484" priority="49">
      <formula>H133&gt;0</formula>
    </cfRule>
    <cfRule type="expression" dxfId="1483" priority="50">
      <formula>H133&lt;0</formula>
    </cfRule>
  </conditionalFormatting>
  <conditionalFormatting sqref="H136">
    <cfRule type="expression" dxfId="1482" priority="45">
      <formula>H136&gt;0</formula>
    </cfRule>
    <cfRule type="expression" dxfId="1481" priority="46">
      <formula>H136&lt;0</formula>
    </cfRule>
  </conditionalFormatting>
  <conditionalFormatting sqref="Q7">
    <cfRule type="expression" dxfId="1480" priority="39">
      <formula>Q7&gt;0</formula>
    </cfRule>
    <cfRule type="expression" dxfId="1479" priority="40">
      <formula>Q7&lt;0</formula>
    </cfRule>
  </conditionalFormatting>
  <conditionalFormatting sqref="Q8">
    <cfRule type="expression" dxfId="1478" priority="37">
      <formula>Q8&gt;0</formula>
    </cfRule>
    <cfRule type="expression" dxfId="1477" priority="38">
      <formula>Q8&lt;0</formula>
    </cfRule>
  </conditionalFormatting>
  <conditionalFormatting sqref="F167:F178 H167:H178">
    <cfRule type="expression" dxfId="1476" priority="35">
      <formula>F167&gt;0</formula>
    </cfRule>
    <cfRule type="expression" dxfId="1475" priority="36">
      <formula>F167&lt;0</formula>
    </cfRule>
  </conditionalFormatting>
  <conditionalFormatting sqref="F183:F197 H183:H197">
    <cfRule type="expression" dxfId="1474" priority="33">
      <formula>F183&gt;0</formula>
    </cfRule>
    <cfRule type="expression" dxfId="1473" priority="34">
      <formula>F183&lt;0</formula>
    </cfRule>
  </conditionalFormatting>
  <conditionalFormatting sqref="F198:F206 H198:H206">
    <cfRule type="expression" dxfId="1472" priority="31">
      <formula>F198&gt;0</formula>
    </cfRule>
    <cfRule type="expression" dxfId="1471" priority="32">
      <formula>F198&lt;0</formula>
    </cfRule>
  </conditionalFormatting>
  <conditionalFormatting sqref="F141:F147 H141:H147">
    <cfRule type="expression" dxfId="1470" priority="29">
      <formula>F141&gt;0</formula>
    </cfRule>
    <cfRule type="expression" dxfId="1469" priority="30">
      <formula>F141&lt;0</formula>
    </cfRule>
  </conditionalFormatting>
  <conditionalFormatting sqref="H149:H152 F149:F152">
    <cfRule type="expression" dxfId="1468" priority="27">
      <formula>F149&gt;0</formula>
    </cfRule>
    <cfRule type="expression" dxfId="1467" priority="28">
      <formula>F149&lt;0</formula>
    </cfRule>
  </conditionalFormatting>
  <conditionalFormatting sqref="F226 H215:H218 H257:H260 F257:F260 H226 H231:H233 F231:F233 F235:F244 H235:H244">
    <cfRule type="expression" dxfId="1466" priority="25">
      <formula>F215&gt;0</formula>
    </cfRule>
    <cfRule type="expression" dxfId="1465" priority="26">
      <formula>F215&lt;0</formula>
    </cfRule>
  </conditionalFormatting>
  <conditionalFormatting sqref="F207:F218">
    <cfRule type="expression" dxfId="1464" priority="23">
      <formula>F207&gt;0</formula>
    </cfRule>
    <cfRule type="expression" dxfId="1463" priority="24">
      <formula>F207&lt;0</formula>
    </cfRule>
  </conditionalFormatting>
  <conditionalFormatting sqref="H207:H208">
    <cfRule type="expression" dxfId="1462" priority="21">
      <formula>H207&gt;0</formula>
    </cfRule>
    <cfRule type="expression" dxfId="1461" priority="22">
      <formula>H207&lt;0</formula>
    </cfRule>
  </conditionalFormatting>
  <conditionalFormatting sqref="H209">
    <cfRule type="expression" dxfId="1460" priority="19">
      <formula>H209&gt;0</formula>
    </cfRule>
    <cfRule type="expression" dxfId="1459" priority="20">
      <formula>H209&lt;0</formula>
    </cfRule>
  </conditionalFormatting>
  <conditionalFormatting sqref="H210">
    <cfRule type="expression" dxfId="1458" priority="17">
      <formula>H210&gt;0</formula>
    </cfRule>
    <cfRule type="expression" dxfId="1457" priority="18">
      <formula>H210&lt;0</formula>
    </cfRule>
  </conditionalFormatting>
  <conditionalFormatting sqref="H211:H213">
    <cfRule type="expression" dxfId="1456" priority="15">
      <formula>H211&gt;0</formula>
    </cfRule>
    <cfRule type="expression" dxfId="1455" priority="16">
      <formula>H211&lt;0</formula>
    </cfRule>
  </conditionalFormatting>
  <conditionalFormatting sqref="H214">
    <cfRule type="expression" dxfId="1454" priority="13">
      <formula>H214&gt;0</formula>
    </cfRule>
    <cfRule type="expression" dxfId="1453" priority="14">
      <formula>H214&lt;0</formula>
    </cfRule>
  </conditionalFormatting>
  <conditionalFormatting sqref="F245:F256 H245:H256">
    <cfRule type="expression" dxfId="1452" priority="11">
      <formula>F245&gt;0</formula>
    </cfRule>
    <cfRule type="expression" dxfId="1451" priority="12">
      <formula>F245&lt;0</formula>
    </cfRule>
  </conditionalFormatting>
  <conditionalFormatting sqref="F261:F275 H261:H275">
    <cfRule type="expression" dxfId="1450" priority="9">
      <formula>F261&gt;0</formula>
    </cfRule>
    <cfRule type="expression" dxfId="1449" priority="10">
      <formula>F261&lt;0</formula>
    </cfRule>
  </conditionalFormatting>
  <conditionalFormatting sqref="F276:F283 H276:H283">
    <cfRule type="expression" dxfId="1448" priority="7">
      <formula>F276&gt;0</formula>
    </cfRule>
    <cfRule type="expression" dxfId="1447" priority="8">
      <formula>F276&lt;0</formula>
    </cfRule>
  </conditionalFormatting>
  <conditionalFormatting sqref="F219:F225 H219:H225">
    <cfRule type="expression" dxfId="1446" priority="5">
      <formula>F219&gt;0</formula>
    </cfRule>
    <cfRule type="expression" dxfId="1445" priority="6">
      <formula>F219&lt;0</formula>
    </cfRule>
  </conditionalFormatting>
  <conditionalFormatting sqref="H227:H230 F227:F230">
    <cfRule type="expression" dxfId="1444" priority="3">
      <formula>F227&gt;0</formula>
    </cfRule>
    <cfRule type="expression" dxfId="1443" priority="4">
      <formula>F227&lt;0</formula>
    </cfRule>
  </conditionalFormatting>
  <conditionalFormatting sqref="H234 F234">
    <cfRule type="expression" dxfId="1442" priority="1">
      <formula>F234&gt;0</formula>
    </cfRule>
    <cfRule type="expression" dxfId="144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152.87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152.87</v>
      </c>
      <c r="R4" s="475">
        <v>4.7999999999999996E-3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9" t="s">
        <v>78</v>
      </c>
      <c r="P40" s="8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168.15700000000001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166.62830000000002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165.09960000000001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163.57090000000002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162.04220000000001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160.51350000000002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158.98480000000001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157.45610000000002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155.92740000000001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154.39870000000002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152.87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151.34129999999999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149.8126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148.28389999999999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146.7552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145.22649999999999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143.6978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142.16910000000001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140.6404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139.11170000000001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137.583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40" priority="43">
      <formula>F33&gt;0</formula>
    </cfRule>
    <cfRule type="expression" dxfId="1439" priority="44">
      <formula>F33&lt;0</formula>
    </cfRule>
  </conditionalFormatting>
  <conditionalFormatting sqref="Q7">
    <cfRule type="expression" dxfId="1438" priority="41">
      <formula>Q7&gt;0</formula>
    </cfRule>
    <cfRule type="expression" dxfId="1437" priority="42">
      <formula>Q7&lt;0</formula>
    </cfRule>
  </conditionalFormatting>
  <conditionalFormatting sqref="Q8">
    <cfRule type="expression" dxfId="1436" priority="39">
      <formula>Q8&gt;0</formula>
    </cfRule>
    <cfRule type="expression" dxfId="1435" priority="40">
      <formula>Q8&lt;0</formula>
    </cfRule>
  </conditionalFormatting>
  <conditionalFormatting sqref="F29 F32">
    <cfRule type="expression" dxfId="1434" priority="37">
      <formula>F29&gt;0</formula>
    </cfRule>
    <cfRule type="expression" dxfId="1433" priority="38">
      <formula>F29&lt;0</formula>
    </cfRule>
  </conditionalFormatting>
  <conditionalFormatting sqref="H29 H32">
    <cfRule type="expression" dxfId="1432" priority="35">
      <formula>H29&gt;0</formula>
    </cfRule>
    <cfRule type="expression" dxfId="1431" priority="36">
      <formula>H29&lt;0</formula>
    </cfRule>
  </conditionalFormatting>
  <conditionalFormatting sqref="F30:F31">
    <cfRule type="expression" dxfId="1430" priority="33">
      <formula>F30&gt;0</formula>
    </cfRule>
    <cfRule type="expression" dxfId="1429" priority="34">
      <formula>F30&lt;0</formula>
    </cfRule>
  </conditionalFormatting>
  <conditionalFormatting sqref="H30:H31">
    <cfRule type="expression" dxfId="1428" priority="31">
      <formula>H30&gt;0</formula>
    </cfRule>
    <cfRule type="expression" dxfId="1427" priority="32">
      <formula>H30&lt;0</formula>
    </cfRule>
  </conditionalFormatting>
  <conditionalFormatting sqref="F105:F140 H105:H140">
    <cfRule type="expression" dxfId="1426" priority="29">
      <formula>F105&gt;0</formula>
    </cfRule>
    <cfRule type="expression" dxfId="1425" priority="30">
      <formula>F105&lt;0</formula>
    </cfRule>
  </conditionalFormatting>
  <conditionalFormatting sqref="F96:F99">
    <cfRule type="expression" dxfId="1424" priority="27">
      <formula>F96&gt;0</formula>
    </cfRule>
    <cfRule type="expression" dxfId="1423" priority="28">
      <formula>F96&lt;0</formula>
    </cfRule>
  </conditionalFormatting>
  <conditionalFormatting sqref="H96:H99">
    <cfRule type="expression" dxfId="1422" priority="25">
      <formula>H96&gt;0</formula>
    </cfRule>
    <cfRule type="expression" dxfId="1421" priority="26">
      <formula>H96&lt;0</formula>
    </cfRule>
  </conditionalFormatting>
  <conditionalFormatting sqref="F25:F28">
    <cfRule type="expression" dxfId="1420" priority="19">
      <formula>F25&gt;0</formula>
    </cfRule>
    <cfRule type="expression" dxfId="1419" priority="20">
      <formula>F25&lt;0</formula>
    </cfRule>
  </conditionalFormatting>
  <conditionalFormatting sqref="H25:H28">
    <cfRule type="expression" dxfId="1418" priority="17">
      <formula>H25&gt;0</formula>
    </cfRule>
    <cfRule type="expression" dxfId="1417" priority="18">
      <formula>H25&lt;0</formula>
    </cfRule>
  </conditionalFormatting>
  <conditionalFormatting sqref="J27">
    <cfRule type="expression" dxfId="1416" priority="15">
      <formula>J27&gt;0</formula>
    </cfRule>
    <cfRule type="expression" dxfId="1415" priority="16">
      <formula>J27&lt;0</formula>
    </cfRule>
  </conditionalFormatting>
  <conditionalFormatting sqref="F104">
    <cfRule type="expression" dxfId="1414" priority="13">
      <formula>F104&gt;0</formula>
    </cfRule>
    <cfRule type="expression" dxfId="1413" priority="14">
      <formula>F104&lt;0</formula>
    </cfRule>
  </conditionalFormatting>
  <conditionalFormatting sqref="H104">
    <cfRule type="expression" dxfId="1412" priority="11">
      <formula>H104&gt;0</formula>
    </cfRule>
    <cfRule type="expression" dxfId="1411" priority="12">
      <formula>H104&lt;0</formula>
    </cfRule>
  </conditionalFormatting>
  <conditionalFormatting sqref="F100:F103">
    <cfRule type="expression" dxfId="1410" priority="9">
      <formula>F100&gt;0</formula>
    </cfRule>
    <cfRule type="expression" dxfId="1409" priority="10">
      <formula>F100&lt;0</formula>
    </cfRule>
  </conditionalFormatting>
  <conditionalFormatting sqref="H100:H103">
    <cfRule type="expression" dxfId="1408" priority="7">
      <formula>H100&gt;0</formula>
    </cfRule>
    <cfRule type="expression" dxfId="1407" priority="8">
      <formula>H100&lt;0</formula>
    </cfRule>
  </conditionalFormatting>
  <conditionalFormatting sqref="J102">
    <cfRule type="expression" dxfId="1406" priority="5">
      <formula>J102&gt;0</formula>
    </cfRule>
    <cfRule type="expression" dxfId="1405" priority="6">
      <formula>J102&lt;0</formula>
    </cfRule>
  </conditionalFormatting>
  <conditionalFormatting sqref="Q10">
    <cfRule type="expression" dxfId="1404" priority="3">
      <formula>Q10&gt;0</formula>
    </cfRule>
    <cfRule type="expression" dxfId="1403" priority="4">
      <formula>Q10&lt;0</formula>
    </cfRule>
  </conditionalFormatting>
  <conditionalFormatting sqref="M71">
    <cfRule type="expression" dxfId="1402" priority="1">
      <formula>M71&gt;0</formula>
    </cfRule>
    <cfRule type="expression" dxfId="140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95.08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95.08</v>
      </c>
      <c r="R4" s="475">
        <v>-1.26E-2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104.58800000000001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103.63720000000001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102.68640000000001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101.73560000000001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100.7848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99.834000000000003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98.883200000000002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97.932400000000001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96.9816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96.030799999999999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95.08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94.129199999999997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93.178399999999996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92.227599999999995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91.276799999999994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90.325999999999993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89.375199999999992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88.424400000000006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87.473600000000005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86.522800000000004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85.572000000000003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00" priority="33">
      <formula>F34&gt;0</formula>
    </cfRule>
    <cfRule type="expression" dxfId="1399" priority="34">
      <formula>F34&lt;0</formula>
    </cfRule>
  </conditionalFormatting>
  <conditionalFormatting sqref="Q7">
    <cfRule type="expression" dxfId="1398" priority="31">
      <formula>Q7&gt;0</formula>
    </cfRule>
    <cfRule type="expression" dxfId="1397" priority="32">
      <formula>Q7&lt;0</formula>
    </cfRule>
  </conditionalFormatting>
  <conditionalFormatting sqref="Q8">
    <cfRule type="expression" dxfId="1396" priority="29">
      <formula>Q8&gt;0</formula>
    </cfRule>
    <cfRule type="expression" dxfId="1395" priority="30">
      <formula>Q8&lt;0</formula>
    </cfRule>
  </conditionalFormatting>
  <conditionalFormatting sqref="F27:F33">
    <cfRule type="expression" dxfId="1394" priority="27">
      <formula>F27&gt;0</formula>
    </cfRule>
    <cfRule type="expression" dxfId="1393" priority="28">
      <formula>F27&lt;0</formula>
    </cfRule>
  </conditionalFormatting>
  <conditionalFormatting sqref="H27:H33">
    <cfRule type="expression" dxfId="1392" priority="25">
      <formula>H27&gt;0</formula>
    </cfRule>
    <cfRule type="expression" dxfId="1391" priority="26">
      <formula>H27&lt;0</formula>
    </cfRule>
  </conditionalFormatting>
  <conditionalFormatting sqref="M46">
    <cfRule type="expression" dxfId="1390" priority="23">
      <formula>M46&gt;0</formula>
    </cfRule>
    <cfRule type="expression" dxfId="1389" priority="24">
      <formula>M46&lt;0</formula>
    </cfRule>
  </conditionalFormatting>
  <conditionalFormatting sqref="F79:F87 H79:H87">
    <cfRule type="expression" dxfId="1388" priority="21">
      <formula>F79&gt;0</formula>
    </cfRule>
    <cfRule type="expression" dxfId="1387" priority="22">
      <formula>F79&lt;0</formula>
    </cfRule>
  </conditionalFormatting>
  <conditionalFormatting sqref="F73 F77:F78">
    <cfRule type="expression" dxfId="1386" priority="19">
      <formula>F73&gt;0</formula>
    </cfRule>
    <cfRule type="expression" dxfId="1385" priority="20">
      <formula>F73&lt;0</formula>
    </cfRule>
  </conditionalFormatting>
  <conditionalFormatting sqref="H73 H77:H78">
    <cfRule type="expression" dxfId="1384" priority="17">
      <formula>H73&gt;0</formula>
    </cfRule>
    <cfRule type="expression" dxfId="1383" priority="18">
      <formula>H73&lt;0</formula>
    </cfRule>
  </conditionalFormatting>
  <conditionalFormatting sqref="F70:F72">
    <cfRule type="expression" dxfId="1382" priority="15">
      <formula>F70&gt;0</formula>
    </cfRule>
    <cfRule type="expression" dxfId="1381" priority="16">
      <formula>F70&lt;0</formula>
    </cfRule>
  </conditionalFormatting>
  <conditionalFormatting sqref="H70:H72">
    <cfRule type="expression" dxfId="1380" priority="13">
      <formula>H70&gt;0</formula>
    </cfRule>
    <cfRule type="expression" dxfId="1379" priority="14">
      <formula>H70&lt;0</formula>
    </cfRule>
  </conditionalFormatting>
  <conditionalFormatting sqref="F25:F26">
    <cfRule type="expression" dxfId="1378" priority="11">
      <formula>F25&gt;0</formula>
    </cfRule>
    <cfRule type="expression" dxfId="1377" priority="12">
      <formula>F25&lt;0</formula>
    </cfRule>
  </conditionalFormatting>
  <conditionalFormatting sqref="H25:H26">
    <cfRule type="expression" dxfId="1376" priority="9">
      <formula>H25&gt;0</formula>
    </cfRule>
    <cfRule type="expression" dxfId="1375" priority="10">
      <formula>H25&lt;0</formula>
    </cfRule>
  </conditionalFormatting>
  <conditionalFormatting sqref="F76">
    <cfRule type="expression" dxfId="1374" priority="7">
      <formula>F76&gt;0</formula>
    </cfRule>
    <cfRule type="expression" dxfId="1373" priority="8">
      <formula>F76&lt;0</formula>
    </cfRule>
  </conditionalFormatting>
  <conditionalFormatting sqref="H76">
    <cfRule type="expression" dxfId="1372" priority="5">
      <formula>H76&gt;0</formula>
    </cfRule>
    <cfRule type="expression" dxfId="1371" priority="6">
      <formula>H76&lt;0</formula>
    </cfRule>
  </conditionalFormatting>
  <conditionalFormatting sqref="F74:F75">
    <cfRule type="expression" dxfId="1370" priority="3">
      <formula>F74&gt;0</formula>
    </cfRule>
    <cfRule type="expression" dxfId="1369" priority="4">
      <formula>F74&lt;0</formula>
    </cfRule>
  </conditionalFormatting>
  <conditionalFormatting sqref="H74:H75">
    <cfRule type="expression" dxfId="1368" priority="1">
      <formula>H74&gt;0</formula>
    </cfRule>
    <cfRule type="expression" dxfId="136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150.06350000000012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172.07</v>
      </c>
      <c r="R4" s="495">
        <v>4.1000000000000003E-3</v>
      </c>
      <c r="T4" s="770">
        <v>43256</v>
      </c>
      <c r="U4" s="841" t="s">
        <v>1122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6882.7999999999993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>H6*I6-J6</f>
        <v>2662.9199999999996</v>
      </c>
      <c r="L6" s="4"/>
      <c r="M6" s="4"/>
      <c r="O6" s="11" t="s">
        <v>64</v>
      </c>
      <c r="Q6" s="2">
        <f>Q3*Q2</f>
        <v>6002.5400000000045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880.25999999999476</v>
      </c>
      <c r="R7">
        <v>25</v>
      </c>
    </row>
    <row r="8" spans="1:21" x14ac:dyDescent="0.25">
      <c r="B8" s="735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880.25999999999476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0.14664791904760219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7.4388330330679379E-3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SUM(H2:H6)</f>
        <v>115</v>
      </c>
      <c r="I18" s="18"/>
      <c r="J18" s="18"/>
      <c r="K18" s="18">
        <f>SUM(K2:K6)</f>
        <v>19211.959999999995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14444</v>
      </c>
      <c r="G19" s="343"/>
      <c r="H19" s="343">
        <f>SumByColor($A$19,H2:H17)</f>
        <v>115</v>
      </c>
      <c r="I19" s="343"/>
      <c r="J19" s="343"/>
      <c r="K19" s="344">
        <f>SumByColor($A$19,K2:K17)</f>
        <v>19212</v>
      </c>
      <c r="L19" s="343"/>
      <c r="M19" s="344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189.27700000000002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187.55629999999999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185.8356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184.11490000000001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182.39420000000001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180.67349999999999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178.9528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177.2321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175.51140000000001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173.79069999999999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0" si="23">C33*(E33-D33)</f>
        <v>35.699999999999932</v>
      </c>
      <c r="G33" s="39">
        <f t="shared" ref="G33:G40" si="24">D33*C33</f>
        <v>8074.8</v>
      </c>
      <c r="H33" s="222">
        <f t="shared" ref="H33:H40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172.07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170.3493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168.62859999999998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166.90789999999998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165.18719999999999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163.4665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23"/>
        <v>994.46000000000015</v>
      </c>
      <c r="G39" s="39">
        <f t="shared" si="24"/>
        <v>3436.79</v>
      </c>
      <c r="H39" s="222">
        <f t="shared" si="25"/>
        <v>0.28935721996397806</v>
      </c>
      <c r="I39" s="39"/>
      <c r="J39" s="39"/>
      <c r="K39" s="39"/>
      <c r="L39" s="39"/>
      <c r="O39" s="81">
        <v>0.94</v>
      </c>
      <c r="P39" s="81">
        <f t="shared" si="1"/>
        <v>161.74579999999997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23"/>
        <v>852.40000000000009</v>
      </c>
      <c r="G40" s="39">
        <f t="shared" si="24"/>
        <v>6002.4</v>
      </c>
      <c r="H40" s="222">
        <f t="shared" si="25"/>
        <v>0.14200986272157806</v>
      </c>
      <c r="I40" s="39"/>
      <c r="J40" s="39"/>
      <c r="K40" s="39"/>
      <c r="L40" s="39"/>
      <c r="O40" s="81">
        <v>0.93</v>
      </c>
      <c r="P40" s="81">
        <f t="shared" si="1"/>
        <v>160.02510000000001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158.30439999999999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156.58369999999999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154.863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6" priority="37">
      <formula>F47&gt;0</formula>
    </cfRule>
    <cfRule type="expression" dxfId="1365" priority="38">
      <formula>F47&lt;0</formula>
    </cfRule>
  </conditionalFormatting>
  <conditionalFormatting sqref="Q7">
    <cfRule type="expression" dxfId="1364" priority="35">
      <formula>Q7&gt;0</formula>
    </cfRule>
    <cfRule type="expression" dxfId="1363" priority="36">
      <formula>Q7&lt;0</formula>
    </cfRule>
  </conditionalFormatting>
  <conditionalFormatting sqref="Q8">
    <cfRule type="expression" dxfId="1362" priority="33">
      <formula>Q8&gt;0</formula>
    </cfRule>
    <cfRule type="expression" dxfId="1361" priority="34">
      <formula>Q8&lt;0</formula>
    </cfRule>
  </conditionalFormatting>
  <conditionalFormatting sqref="F31:F46">
    <cfRule type="expression" dxfId="1360" priority="31">
      <formula>F31&gt;0</formula>
    </cfRule>
    <cfRule type="expression" dxfId="1359" priority="32">
      <formula>F31&lt;0</formula>
    </cfRule>
  </conditionalFormatting>
  <conditionalFormatting sqref="H31:H46">
    <cfRule type="expression" dxfId="1358" priority="29">
      <formula>H31&gt;0</formula>
    </cfRule>
    <cfRule type="expression" dxfId="1357" priority="30">
      <formula>H31&lt;0</formula>
    </cfRule>
  </conditionalFormatting>
  <conditionalFormatting sqref="Q10">
    <cfRule type="expression" dxfId="1356" priority="27">
      <formula>Q10&gt;0</formula>
    </cfRule>
    <cfRule type="expression" dxfId="1355" priority="28">
      <formula>Q10&lt;0</formula>
    </cfRule>
  </conditionalFormatting>
  <conditionalFormatting sqref="J25:J38">
    <cfRule type="expression" dxfId="1354" priority="25">
      <formula>J25&gt;0</formula>
    </cfRule>
    <cfRule type="expression" dxfId="1353" priority="26">
      <formula>J25&lt;0</formula>
    </cfRule>
  </conditionalFormatting>
  <conditionalFormatting sqref="K25:K38">
    <cfRule type="expression" dxfId="1352" priority="23">
      <formula>K25&gt;0</formula>
    </cfRule>
    <cfRule type="expression" dxfId="1351" priority="24">
      <formula>K25&lt;0</formula>
    </cfRule>
  </conditionalFormatting>
  <conditionalFormatting sqref="L25:L38">
    <cfRule type="expression" dxfId="1350" priority="21">
      <formula>L25&gt;0</formula>
    </cfRule>
    <cfRule type="expression" dxfId="1349" priority="22">
      <formula>L25&lt;0</formula>
    </cfRule>
  </conditionalFormatting>
  <conditionalFormatting sqref="F89:F110">
    <cfRule type="expression" dxfId="1348" priority="19">
      <formula>F89&gt;0</formula>
    </cfRule>
    <cfRule type="expression" dxfId="1347" priority="20">
      <formula>F89&lt;0</formula>
    </cfRule>
  </conditionalFormatting>
  <conditionalFormatting sqref="H89:H110">
    <cfRule type="expression" dxfId="1346" priority="17">
      <formula>H89&gt;0</formula>
    </cfRule>
    <cfRule type="expression" dxfId="1345" priority="18">
      <formula>H89&lt;0</formula>
    </cfRule>
  </conditionalFormatting>
  <conditionalFormatting sqref="J89:J102">
    <cfRule type="expression" dxfId="1344" priority="15">
      <formula>J89&gt;0</formula>
    </cfRule>
    <cfRule type="expression" dxfId="1343" priority="16">
      <formula>J89&lt;0</formula>
    </cfRule>
  </conditionalFormatting>
  <conditionalFormatting sqref="K89:K102">
    <cfRule type="expression" dxfId="1342" priority="13">
      <formula>K89&gt;0</formula>
    </cfRule>
    <cfRule type="expression" dxfId="1341" priority="14">
      <formula>K89&lt;0</formula>
    </cfRule>
  </conditionalFormatting>
  <conditionalFormatting sqref="L89:L102">
    <cfRule type="expression" dxfId="1340" priority="11">
      <formula>L89&gt;0</formula>
    </cfRule>
    <cfRule type="expression" dxfId="1339" priority="12">
      <formula>L89&lt;0</formula>
    </cfRule>
  </conditionalFormatting>
  <conditionalFormatting sqref="F25:F28">
    <cfRule type="expression" dxfId="1338" priority="9">
      <formula>F25&gt;0</formula>
    </cfRule>
    <cfRule type="expression" dxfId="1337" priority="10">
      <formula>F25&lt;0</formula>
    </cfRule>
  </conditionalFormatting>
  <conditionalFormatting sqref="H25:H28">
    <cfRule type="expression" dxfId="1336" priority="7">
      <formula>H25&gt;0</formula>
    </cfRule>
    <cfRule type="expression" dxfId="1335" priority="8">
      <formula>H25&lt;0</formula>
    </cfRule>
  </conditionalFormatting>
  <conditionalFormatting sqref="F29:F30">
    <cfRule type="expression" dxfId="1334" priority="3">
      <formula>F29&gt;0</formula>
    </cfRule>
    <cfRule type="expression" dxfId="1333" priority="4">
      <formula>F29&lt;0</formula>
    </cfRule>
  </conditionalFormatting>
  <conditionalFormatting sqref="H29:H30">
    <cfRule type="expression" dxfId="1332" priority="1">
      <formula>H29&gt;0</formula>
    </cfRule>
    <cfRule type="expression" dxfId="1331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8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65.473700000000022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66.569999999999993</v>
      </c>
      <c r="R4" s="495">
        <v>-0.01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13313.999999999998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13094.740000000005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219.25999999999294</v>
      </c>
      <c r="R7">
        <v>200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K18+M18-F18+Q2*Q4</f>
        <v>219.25999999999294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1.674412779482394E-2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H10" s="70"/>
      <c r="O10" s="11" t="s">
        <v>208</v>
      </c>
      <c r="P10" s="33"/>
      <c r="Q10" s="2">
        <f>M70</f>
        <v>0</v>
      </c>
      <c r="U10" t="s">
        <v>1025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2.4034850533273248E-2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1120</v>
      </c>
      <c r="T12" s="1">
        <v>43237</v>
      </c>
      <c r="U12" t="s">
        <v>1090</v>
      </c>
      <c r="V12" s="134"/>
    </row>
    <row r="13" spans="1:22" x14ac:dyDescent="0.25">
      <c r="B13" s="72">
        <v>43166</v>
      </c>
      <c r="C13" s="4">
        <v>100</v>
      </c>
      <c r="D13" s="3">
        <v>69.099999999999994</v>
      </c>
      <c r="E13" s="3">
        <v>0</v>
      </c>
      <c r="F13" s="3">
        <f t="shared" si="0"/>
        <v>6909.9999999999991</v>
      </c>
      <c r="H13" s="70"/>
      <c r="O13" s="11" t="s">
        <v>975</v>
      </c>
      <c r="Q13" s="2">
        <f>Q4/(5.85+6.05)*2</f>
        <v>11.188235294117646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1113</v>
      </c>
      <c r="T14" s="1">
        <v>43242</v>
      </c>
      <c r="U14" t="s">
        <v>1076</v>
      </c>
      <c r="V14" s="134"/>
    </row>
    <row r="15" spans="1:22" x14ac:dyDescent="0.25"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1129</v>
      </c>
      <c r="V16" s="134"/>
    </row>
    <row r="17" spans="1:22" x14ac:dyDescent="0.25">
      <c r="T17" s="1">
        <v>43271</v>
      </c>
      <c r="U17" t="s">
        <v>1151</v>
      </c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SUM(H2:H9)</f>
        <v>550</v>
      </c>
      <c r="I18" s="792"/>
      <c r="J18" s="18"/>
      <c r="K18" s="18">
        <f>SUM(K2:K9)</f>
        <v>38796.199999999997</v>
      </c>
      <c r="L18" s="14"/>
      <c r="M18" s="18">
        <f>SUM(M2:M10)</f>
        <v>260</v>
      </c>
      <c r="T18" s="1">
        <v>43274</v>
      </c>
      <c r="U18" t="s">
        <v>1150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39053</v>
      </c>
      <c r="G19" s="343"/>
      <c r="H19" s="343">
        <f>SumByColor($A$19,H2:H17)</f>
        <v>550</v>
      </c>
      <c r="I19" s="793"/>
      <c r="J19" s="343"/>
      <c r="K19" s="344">
        <f>SumByColor($A$19,K2:K17)</f>
        <v>38797</v>
      </c>
      <c r="L19" s="343"/>
      <c r="M19" s="344">
        <f>SumByColor($A$19,M2:M17)</f>
        <v>260</v>
      </c>
      <c r="V19" s="134"/>
    </row>
    <row r="20" spans="1:22" x14ac:dyDescent="0.25">
      <c r="V20" s="134"/>
    </row>
    <row r="21" spans="1:22" ht="20.25" thickBot="1" x14ac:dyDescent="0.35">
      <c r="O21" s="849" t="s">
        <v>78</v>
      </c>
      <c r="P21" s="849"/>
      <c r="V21" s="134"/>
    </row>
    <row r="22" spans="1:22" ht="15.75" thickTop="1" x14ac:dyDescent="0.25">
      <c r="O22" s="81">
        <v>1.1000000000000001</v>
      </c>
      <c r="P22" s="81">
        <f>O22*$Q$4</f>
        <v>73.227000000000004</v>
      </c>
      <c r="V22" s="134"/>
    </row>
    <row r="23" spans="1:22" x14ac:dyDescent="0.25">
      <c r="O23" s="81">
        <v>1.0900000000000001</v>
      </c>
      <c r="P23" s="81">
        <f t="shared" ref="P23:P42" si="2">O23*$Q$4</f>
        <v>72.561300000000003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71.895600000000002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71.229900000000001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70.5642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69.898499999999999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69.232799999999997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68.567099999999996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67.901399999999995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67.235699999999994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66.569999999999993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65.904299999999992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65.238599999999991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64.57289999999999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63.907199999999989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63.241499999999988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62.575799999999987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61.9101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61.244399999999999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60.578699999999998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59.912999999999997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2" si="42">C55*(E55-D55)</f>
        <v>-380.00000000000114</v>
      </c>
      <c r="G55" s="39">
        <f t="shared" ref="G55:G62" si="43">D55*C55</f>
        <v>13802.000000000002</v>
      </c>
      <c r="H55" s="222">
        <f t="shared" ref="H55:H62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>
        <v>300</v>
      </c>
      <c r="B61" s="184">
        <v>43267</v>
      </c>
      <c r="C61" s="10">
        <v>300</v>
      </c>
      <c r="D61" s="39">
        <v>66.232200000000006</v>
      </c>
      <c r="E61" s="39">
        <v>65.8</v>
      </c>
      <c r="F61" s="39">
        <f t="shared" si="42"/>
        <v>-129.66000000000264</v>
      </c>
      <c r="G61" s="39">
        <f t="shared" si="43"/>
        <v>19869.660000000003</v>
      </c>
      <c r="H61" s="222">
        <f t="shared" si="44"/>
        <v>-6.5255268585372181E-3</v>
      </c>
      <c r="I61" s="193"/>
      <c r="J61" s="39"/>
      <c r="K61" s="39"/>
      <c r="L61" s="39"/>
      <c r="M61" s="39">
        <v>11.06</v>
      </c>
    </row>
    <row r="62" spans="1:22" x14ac:dyDescent="0.25">
      <c r="A62" s="4">
        <v>200</v>
      </c>
      <c r="B62" s="184">
        <v>43271</v>
      </c>
      <c r="C62" s="10">
        <v>200</v>
      </c>
      <c r="D62" s="39">
        <v>65.473699999999994</v>
      </c>
      <c r="E62" s="39">
        <v>68</v>
      </c>
      <c r="F62" s="39">
        <f t="shared" si="42"/>
        <v>505.26000000000124</v>
      </c>
      <c r="G62" s="39">
        <f t="shared" si="43"/>
        <v>13094.739999999998</v>
      </c>
      <c r="H62" s="222">
        <f t="shared" si="44"/>
        <v>3.8584958540604952E-2</v>
      </c>
      <c r="I62" s="193"/>
      <c r="J62" s="39"/>
      <c r="K62" s="39"/>
      <c r="L62" s="39"/>
      <c r="M62" s="39">
        <v>11.43</v>
      </c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184"/>
      <c r="C65" s="10"/>
      <c r="D65" s="39"/>
      <c r="E65" s="39"/>
      <c r="F65" s="39"/>
      <c r="G65" s="39"/>
      <c r="H65" s="222"/>
      <c r="I65" s="193"/>
      <c r="J65" s="39"/>
      <c r="K65" s="39"/>
      <c r="L65" s="39"/>
      <c r="M65" s="39"/>
      <c r="V65" s="134"/>
    </row>
    <row r="66" spans="1:22" x14ac:dyDescent="0.25">
      <c r="A66" s="4"/>
      <c r="B66" s="184"/>
      <c r="C66" s="10"/>
      <c r="D66" s="39"/>
      <c r="E66" s="39"/>
      <c r="F66" s="39"/>
      <c r="G66" s="39"/>
      <c r="H66" s="222"/>
      <c r="I66" s="193"/>
      <c r="J66" s="39"/>
      <c r="K66" s="39"/>
      <c r="L66" s="39"/>
      <c r="M66" s="39"/>
      <c r="V66" s="134"/>
    </row>
    <row r="67" spans="1:22" x14ac:dyDescent="0.25">
      <c r="A67" s="4"/>
      <c r="B67" s="184"/>
      <c r="C67" s="10"/>
      <c r="D67" s="39"/>
      <c r="E67" s="39"/>
      <c r="F67" s="39"/>
      <c r="G67" s="39"/>
      <c r="H67" s="222"/>
      <c r="I67" s="193"/>
      <c r="J67" s="39"/>
      <c r="K67" s="39"/>
      <c r="L67" s="39"/>
      <c r="M67" s="39"/>
      <c r="V67" s="134"/>
    </row>
    <row r="68" spans="1:22" x14ac:dyDescent="0.25">
      <c r="A68" s="4"/>
      <c r="B68" s="184"/>
      <c r="C68" s="10"/>
      <c r="D68" s="39"/>
      <c r="E68" s="39"/>
      <c r="F68" s="39"/>
      <c r="G68" s="39"/>
      <c r="H68" s="222"/>
      <c r="I68" s="193"/>
      <c r="J68" s="39"/>
      <c r="K68" s="39"/>
      <c r="L68" s="39"/>
      <c r="M68" s="39"/>
      <c r="V68" s="134"/>
    </row>
    <row r="69" spans="1:22" x14ac:dyDescent="0.25">
      <c r="A69" s="4"/>
      <c r="B69" s="4"/>
      <c r="C69" s="4"/>
      <c r="D69" s="3"/>
      <c r="E69" s="3"/>
      <c r="F69" s="3"/>
      <c r="G69" s="4"/>
      <c r="H69" s="4"/>
      <c r="I69" s="554"/>
      <c r="J69" s="3"/>
      <c r="K69" s="3"/>
      <c r="L69" s="4"/>
      <c r="V69" s="134"/>
    </row>
    <row r="70" spans="1:22" x14ac:dyDescent="0.25">
      <c r="A70" s="4"/>
      <c r="B70" s="4"/>
      <c r="C70" s="4"/>
      <c r="D70" s="3"/>
      <c r="E70" s="3"/>
      <c r="F70" s="3"/>
      <c r="G70" s="4"/>
      <c r="H70" s="4"/>
      <c r="I70" s="554"/>
      <c r="J70" s="3"/>
      <c r="K70" s="3"/>
      <c r="L70" s="4" t="s">
        <v>65</v>
      </c>
      <c r="M70" s="2">
        <f>M88+K88-F88</f>
        <v>0</v>
      </c>
    </row>
    <row r="71" spans="1:22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794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22" x14ac:dyDescent="0.25">
      <c r="A72" s="512" t="s">
        <v>735</v>
      </c>
      <c r="B72" s="496"/>
      <c r="C72" s="497"/>
      <c r="D72" s="499"/>
      <c r="E72" s="499"/>
      <c r="F72" s="499"/>
      <c r="G72" s="496"/>
      <c r="H72" s="513"/>
      <c r="I72" s="795"/>
      <c r="J72" s="499"/>
      <c r="K72" s="499"/>
      <c r="L72" s="496"/>
      <c r="M72" s="499"/>
    </row>
    <row r="73" spans="1:22" x14ac:dyDescent="0.25">
      <c r="A73" s="514" t="s">
        <v>71</v>
      </c>
      <c r="B73" s="496"/>
      <c r="C73" s="497"/>
      <c r="D73" s="499"/>
      <c r="E73" s="499"/>
      <c r="F73" s="499"/>
      <c r="G73" s="496"/>
      <c r="H73" s="513"/>
      <c r="I73" s="795"/>
      <c r="J73" s="499"/>
      <c r="K73" s="499"/>
      <c r="L73" s="497"/>
      <c r="M73" s="497"/>
    </row>
    <row r="74" spans="1:22" x14ac:dyDescent="0.25">
      <c r="A74" s="497"/>
      <c r="B74" s="496"/>
      <c r="C74" s="497"/>
      <c r="D74" s="499"/>
      <c r="E74" s="499"/>
      <c r="F74" s="499"/>
      <c r="G74" s="496"/>
      <c r="H74" s="513"/>
      <c r="I74" s="795"/>
      <c r="J74" s="499"/>
      <c r="K74" s="499"/>
      <c r="L74" s="497"/>
      <c r="M74" s="497"/>
    </row>
    <row r="75" spans="1:22" x14ac:dyDescent="0.25">
      <c r="A75" s="497"/>
      <c r="B75" s="496"/>
      <c r="C75" s="497"/>
      <c r="D75" s="499"/>
      <c r="E75" s="499"/>
      <c r="F75" s="499"/>
      <c r="G75" s="497"/>
      <c r="H75" s="513"/>
      <c r="I75" s="795"/>
      <c r="J75" s="499"/>
      <c r="K75" s="499"/>
      <c r="L75" s="497"/>
      <c r="M75" s="497"/>
    </row>
    <row r="76" spans="1:22" x14ac:dyDescent="0.25">
      <c r="A76" s="497"/>
      <c r="B76" s="496"/>
      <c r="C76" s="497"/>
      <c r="D76" s="499"/>
      <c r="E76" s="499"/>
      <c r="F76" s="499"/>
      <c r="G76" s="497"/>
      <c r="H76" s="513"/>
      <c r="I76" s="795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5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5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5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5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5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5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795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795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795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795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795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796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797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182" t="s">
        <v>113</v>
      </c>
      <c r="C92" s="182" t="s">
        <v>146</v>
      </c>
      <c r="D92" s="183" t="s">
        <v>145</v>
      </c>
      <c r="E92" s="185" t="s">
        <v>147</v>
      </c>
      <c r="F92" s="185" t="s">
        <v>65</v>
      </c>
      <c r="G92" s="220" t="s">
        <v>151</v>
      </c>
      <c r="H92" s="220" t="s">
        <v>88</v>
      </c>
      <c r="I92" s="220" t="s">
        <v>154</v>
      </c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</sheetData>
  <mergeCells count="1">
    <mergeCell ref="O21:P21"/>
  </mergeCells>
  <conditionalFormatting sqref="O22:O4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Q7 F25:F61 H25:H61 H67:H68 F67:F68">
    <cfRule type="expression" dxfId="1330" priority="23">
      <formula>F7&gt;0</formula>
    </cfRule>
    <cfRule type="expression" dxfId="1329" priority="24">
      <formula>F7&lt;0</formula>
    </cfRule>
  </conditionalFormatting>
  <conditionalFormatting sqref="Q8">
    <cfRule type="expression" dxfId="1328" priority="21">
      <formula>Q8&gt;0</formula>
    </cfRule>
    <cfRule type="expression" dxfId="1327" priority="22">
      <formula>Q8&lt;0</formula>
    </cfRule>
  </conditionalFormatting>
  <conditionalFormatting sqref="F93:F114">
    <cfRule type="expression" dxfId="1326" priority="15">
      <formula>F93&gt;0</formula>
    </cfRule>
    <cfRule type="expression" dxfId="1325" priority="16">
      <formula>F93&lt;0</formula>
    </cfRule>
  </conditionalFormatting>
  <conditionalFormatting sqref="H93:H114">
    <cfRule type="expression" dxfId="1324" priority="13">
      <formula>H93&gt;0</formula>
    </cfRule>
    <cfRule type="expression" dxfId="1323" priority="14">
      <formula>H93&lt;0</formula>
    </cfRule>
  </conditionalFormatting>
  <conditionalFormatting sqref="Q10">
    <cfRule type="expression" dxfId="1322" priority="11">
      <formula>Q10&gt;0</formula>
    </cfRule>
    <cfRule type="expression" dxfId="1321" priority="12">
      <formula>Q10&lt;0</formula>
    </cfRule>
  </conditionalFormatting>
  <conditionalFormatting sqref="J25:J38">
    <cfRule type="expression" dxfId="1320" priority="9">
      <formula>J25&gt;0</formula>
    </cfRule>
    <cfRule type="expression" dxfId="1319" priority="10">
      <formula>J25&lt;0</formula>
    </cfRule>
  </conditionalFormatting>
  <conditionalFormatting sqref="K25:K38">
    <cfRule type="expression" dxfId="1318" priority="7">
      <formula>K25&gt;0</formula>
    </cfRule>
    <cfRule type="expression" dxfId="1317" priority="8">
      <formula>K25&lt;0</formula>
    </cfRule>
  </conditionalFormatting>
  <conditionalFormatting sqref="L25:L29 L31:L38">
    <cfRule type="expression" dxfId="1316" priority="5">
      <formula>L25&gt;0</formula>
    </cfRule>
    <cfRule type="expression" dxfId="1315" priority="6">
      <formula>L25&lt;0</formula>
    </cfRule>
  </conditionalFormatting>
  <conditionalFormatting sqref="M25:M38">
    <cfRule type="expression" dxfId="1314" priority="3">
      <formula>M25&gt;0</formula>
    </cfRule>
    <cfRule type="expression" dxfId="1313" priority="4">
      <formula>M25&lt;0</formula>
    </cfRule>
  </conditionalFormatting>
  <conditionalFormatting sqref="H62:H66 F62:F66">
    <cfRule type="expression" dxfId="1312" priority="1">
      <formula>F62&gt;0</formula>
    </cfRule>
    <cfRule type="expression" dxfId="1311" priority="2">
      <formula>F62&lt;0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685.98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685.98</v>
      </c>
      <c r="R4" s="495">
        <v>-4.1000000000000003E-3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754.57800000000009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747.71820000000002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740.85840000000007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733.99860000000001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727.13880000000006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720.279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713.41920000000005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706.55939999999998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699.69960000000003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692.83979999999997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685.98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679.12020000000007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672.2604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665.40060000000005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658.54079999999999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651.68100000000004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644.82119999999998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637.96140000000003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631.10160000000008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624.24180000000001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617.38200000000006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10" priority="21">
      <formula>F47&gt;0</formula>
    </cfRule>
    <cfRule type="expression" dxfId="1309" priority="22">
      <formula>F47&lt;0</formula>
    </cfRule>
  </conditionalFormatting>
  <conditionalFormatting sqref="Q7">
    <cfRule type="expression" dxfId="1308" priority="19">
      <formula>Q7&gt;0</formula>
    </cfRule>
    <cfRule type="expression" dxfId="1307" priority="20">
      <formula>Q7&lt;0</formula>
    </cfRule>
  </conditionalFormatting>
  <conditionalFormatting sqref="Q8">
    <cfRule type="expression" dxfId="1306" priority="17">
      <formula>Q8&gt;0</formula>
    </cfRule>
    <cfRule type="expression" dxfId="1305" priority="18">
      <formula>Q8&lt;0</formula>
    </cfRule>
  </conditionalFormatting>
  <conditionalFormatting sqref="F25:F46">
    <cfRule type="expression" dxfId="1304" priority="15">
      <formula>F25&gt;0</formula>
    </cfRule>
    <cfRule type="expression" dxfId="1303" priority="16">
      <formula>F25&lt;0</formula>
    </cfRule>
  </conditionalFormatting>
  <conditionalFormatting sqref="H25:H46">
    <cfRule type="expression" dxfId="1302" priority="13">
      <formula>H25&gt;0</formula>
    </cfRule>
    <cfRule type="expression" dxfId="1301" priority="14">
      <formula>H25&lt;0</formula>
    </cfRule>
  </conditionalFormatting>
  <conditionalFormatting sqref="F89:F110">
    <cfRule type="expression" dxfId="1300" priority="11">
      <formula>F89&gt;0</formula>
    </cfRule>
    <cfRule type="expression" dxfId="1299" priority="12">
      <formula>F89&lt;0</formula>
    </cfRule>
  </conditionalFormatting>
  <conditionalFormatting sqref="H89:H110">
    <cfRule type="expression" dxfId="1298" priority="9">
      <formula>H89&gt;0</formula>
    </cfRule>
    <cfRule type="expression" dxfId="1297" priority="10">
      <formula>H89&lt;0</formula>
    </cfRule>
  </conditionalFormatting>
  <conditionalFormatting sqref="Q10">
    <cfRule type="expression" dxfId="1296" priority="7">
      <formula>Q10&gt;0</formula>
    </cfRule>
    <cfRule type="expression" dxfId="1295" priority="8">
      <formula>Q10&lt;0</formula>
    </cfRule>
  </conditionalFormatting>
  <conditionalFormatting sqref="J25:J38">
    <cfRule type="expression" dxfId="1294" priority="5">
      <formula>J25&gt;0</formula>
    </cfRule>
    <cfRule type="expression" dxfId="1293" priority="6">
      <formula>J25&lt;0</formula>
    </cfRule>
  </conditionalFormatting>
  <conditionalFormatting sqref="K25:K38">
    <cfRule type="expression" dxfId="1292" priority="3">
      <formula>K25&gt;0</formula>
    </cfRule>
    <cfRule type="expression" dxfId="1291" priority="4">
      <formula>K25&lt;0</formula>
    </cfRule>
  </conditionalFormatting>
  <conditionalFormatting sqref="L25:L38">
    <cfRule type="expression" dxfId="1290" priority="1">
      <formula>L25&gt;0</formula>
    </cfRule>
    <cfRule type="expression" dxfId="128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53.73</v>
      </c>
      <c r="R4" s="495">
        <v>1.0500000000000001E-2</v>
      </c>
      <c r="T4" s="770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2686.5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1935.3599999999988</v>
      </c>
      <c r="R7">
        <v>50</v>
      </c>
      <c r="T7" s="1">
        <v>43244</v>
      </c>
      <c r="U7" t="s">
        <v>1101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1935.3599999999988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2.5765636232925893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2.568397543271915E-2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12.211363636363634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59.103000000000002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58.5657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58.028399999999998</v>
      </c>
    </row>
    <row r="20" spans="1:16" x14ac:dyDescent="0.25">
      <c r="O20" s="81">
        <v>1.07</v>
      </c>
      <c r="P20" s="81">
        <f t="shared" si="2"/>
        <v>57.491100000000003</v>
      </c>
    </row>
    <row r="21" spans="1:16" x14ac:dyDescent="0.25">
      <c r="O21" s="81">
        <v>1.06</v>
      </c>
      <c r="P21" s="81">
        <f t="shared" si="2"/>
        <v>56.953800000000001</v>
      </c>
    </row>
    <row r="22" spans="1:16" x14ac:dyDescent="0.25">
      <c r="O22" s="81">
        <v>1.05</v>
      </c>
      <c r="P22" s="81">
        <f t="shared" si="2"/>
        <v>56.416499999999999</v>
      </c>
    </row>
    <row r="23" spans="1:16" x14ac:dyDescent="0.25">
      <c r="O23" s="81">
        <v>1.04</v>
      </c>
      <c r="P23" s="81">
        <f t="shared" si="2"/>
        <v>55.879199999999997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55.341899999999995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54.804600000000001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54.267299999999999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53.73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53.192699999999995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52.655399999999993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52.118099999999998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51.580799999999996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51.043499999999995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50.506199999999993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49.968899999999998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49.431599999999996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48.894300000000001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48.356999999999999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8" priority="35">
      <formula>F47&gt;0</formula>
    </cfRule>
    <cfRule type="expression" dxfId="1287" priority="36">
      <formula>F47&lt;0</formula>
    </cfRule>
  </conditionalFormatting>
  <conditionalFormatting sqref="Q7">
    <cfRule type="expression" dxfId="1286" priority="33">
      <formula>Q7&gt;0</formula>
    </cfRule>
    <cfRule type="expression" dxfId="1285" priority="34">
      <formula>Q7&lt;0</formula>
    </cfRule>
  </conditionalFormatting>
  <conditionalFormatting sqref="Q8">
    <cfRule type="expression" dxfId="1284" priority="31">
      <formula>Q8&gt;0</formula>
    </cfRule>
    <cfRule type="expression" dxfId="1283" priority="32">
      <formula>Q8&lt;0</formula>
    </cfRule>
  </conditionalFormatting>
  <conditionalFormatting sqref="F33:F46">
    <cfRule type="expression" dxfId="1282" priority="29">
      <formula>F33&gt;0</formula>
    </cfRule>
    <cfRule type="expression" dxfId="1281" priority="30">
      <formula>F33&lt;0</formula>
    </cfRule>
  </conditionalFormatting>
  <conditionalFormatting sqref="H33:H46">
    <cfRule type="expression" dxfId="1280" priority="27">
      <formula>H33&gt;0</formula>
    </cfRule>
    <cfRule type="expression" dxfId="1279" priority="28">
      <formula>H33&lt;0</formula>
    </cfRule>
  </conditionalFormatting>
  <conditionalFormatting sqref="Q10">
    <cfRule type="expression" dxfId="1278" priority="25">
      <formula>Q10&gt;0</formula>
    </cfRule>
    <cfRule type="expression" dxfId="1277" priority="26">
      <formula>Q10&lt;0</formula>
    </cfRule>
  </conditionalFormatting>
  <conditionalFormatting sqref="J25:J38">
    <cfRule type="expression" dxfId="1276" priority="23">
      <formula>J25&gt;0</formula>
    </cfRule>
    <cfRule type="expression" dxfId="1275" priority="24">
      <formula>J25&lt;0</formula>
    </cfRule>
  </conditionalFormatting>
  <conditionalFormatting sqref="K25:K38">
    <cfRule type="expression" dxfId="1274" priority="21">
      <formula>K25&gt;0</formula>
    </cfRule>
    <cfRule type="expression" dxfId="1273" priority="22">
      <formula>K25&lt;0</formula>
    </cfRule>
  </conditionalFormatting>
  <conditionalFormatting sqref="L25">
    <cfRule type="expression" dxfId="1272" priority="19">
      <formula>L25&gt;0</formula>
    </cfRule>
    <cfRule type="expression" dxfId="1271" priority="20">
      <formula>L25&lt;0</formula>
    </cfRule>
  </conditionalFormatting>
  <conditionalFormatting sqref="F89:F110">
    <cfRule type="expression" dxfId="1270" priority="17">
      <formula>F89&gt;0</formula>
    </cfRule>
    <cfRule type="expression" dxfId="1269" priority="18">
      <formula>F89&lt;0</formula>
    </cfRule>
  </conditionalFormatting>
  <conditionalFormatting sqref="H89:H110">
    <cfRule type="expression" dxfId="1268" priority="15">
      <formula>H89&gt;0</formula>
    </cfRule>
    <cfRule type="expression" dxfId="1267" priority="16">
      <formula>H89&lt;0</formula>
    </cfRule>
  </conditionalFormatting>
  <conditionalFormatting sqref="J89:J102">
    <cfRule type="expression" dxfId="1266" priority="13">
      <formula>J89&gt;0</formula>
    </cfRule>
    <cfRule type="expression" dxfId="1265" priority="14">
      <formula>J89&lt;0</formula>
    </cfRule>
  </conditionalFormatting>
  <conditionalFormatting sqref="K89:K102">
    <cfRule type="expression" dxfId="1264" priority="11">
      <formula>K89&gt;0</formula>
    </cfRule>
    <cfRule type="expression" dxfId="1263" priority="12">
      <formula>K89&lt;0</formula>
    </cfRule>
  </conditionalFormatting>
  <conditionalFormatting sqref="L89:L102">
    <cfRule type="expression" dxfId="1262" priority="9">
      <formula>L89&gt;0</formula>
    </cfRule>
    <cfRule type="expression" dxfId="1261" priority="10">
      <formula>L89&lt;0</formula>
    </cfRule>
  </conditionalFormatting>
  <conditionalFormatting sqref="F29:F32">
    <cfRule type="expression" dxfId="1260" priority="7">
      <formula>F29&gt;0</formula>
    </cfRule>
    <cfRule type="expression" dxfId="1259" priority="8">
      <formula>F29&lt;0</formula>
    </cfRule>
  </conditionalFormatting>
  <conditionalFormatting sqref="H29:H32">
    <cfRule type="expression" dxfId="1258" priority="5">
      <formula>H29&gt;0</formula>
    </cfRule>
    <cfRule type="expression" dxfId="1257" priority="6">
      <formula>H29&lt;0</formula>
    </cfRule>
  </conditionalFormatting>
  <conditionalFormatting sqref="F25:F28">
    <cfRule type="expression" dxfId="1256" priority="3">
      <formula>F25&gt;0</formula>
    </cfRule>
    <cfRule type="expression" dxfId="1255" priority="4">
      <formula>F25&lt;0</formula>
    </cfRule>
  </conditionalFormatting>
  <conditionalFormatting sqref="H25:H28">
    <cfRule type="expression" dxfId="1254" priority="1">
      <formula>H25&gt;0</formula>
    </cfRule>
    <cfRule type="expression" dxfId="125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227.43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227.43</v>
      </c>
      <c r="R4" s="495">
        <v>1.2699999999999999E-2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7.7386448577584314E-3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26.383990719257543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250.17300000000003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247.89870000000002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245.62440000000004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243.35010000000003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241.07580000000002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238.8015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236.52720000000002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234.25290000000001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231.9786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229.70430000000002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227.43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225.1557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222.88140000000001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220.6071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218.33279999999999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216.05850000000001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213.7842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211.50990000000002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209.23560000000001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206.96130000000002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204.68700000000001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2" priority="31">
      <formula>F47&gt;0</formula>
    </cfRule>
    <cfRule type="expression" dxfId="1251" priority="32">
      <formula>F47&lt;0</formula>
    </cfRule>
  </conditionalFormatting>
  <conditionalFormatting sqref="Q7">
    <cfRule type="expression" dxfId="1250" priority="29">
      <formula>Q7&gt;0</formula>
    </cfRule>
    <cfRule type="expression" dxfId="1249" priority="30">
      <formula>Q7&lt;0</formula>
    </cfRule>
  </conditionalFormatting>
  <conditionalFormatting sqref="Q8">
    <cfRule type="expression" dxfId="1248" priority="27">
      <formula>Q8&gt;0</formula>
    </cfRule>
    <cfRule type="expression" dxfId="1247" priority="28">
      <formula>Q8&lt;0</formula>
    </cfRule>
  </conditionalFormatting>
  <conditionalFormatting sqref="F30:F46">
    <cfRule type="expression" dxfId="1246" priority="25">
      <formula>F30&gt;0</formula>
    </cfRule>
    <cfRule type="expression" dxfId="1245" priority="26">
      <formula>F30&lt;0</formula>
    </cfRule>
  </conditionalFormatting>
  <conditionalFormatting sqref="H30:H46">
    <cfRule type="expression" dxfId="1244" priority="23">
      <formula>H30&gt;0</formula>
    </cfRule>
    <cfRule type="expression" dxfId="1243" priority="24">
      <formula>H30&lt;0</formula>
    </cfRule>
  </conditionalFormatting>
  <conditionalFormatting sqref="Q10">
    <cfRule type="expression" dxfId="1242" priority="21">
      <formula>Q10&gt;0</formula>
    </cfRule>
    <cfRule type="expression" dxfId="1241" priority="22">
      <formula>Q10&lt;0</formula>
    </cfRule>
  </conditionalFormatting>
  <conditionalFormatting sqref="J25:J38">
    <cfRule type="expression" dxfId="1240" priority="19">
      <formula>J25&gt;0</formula>
    </cfRule>
    <cfRule type="expression" dxfId="1239" priority="20">
      <formula>J25&lt;0</formula>
    </cfRule>
  </conditionalFormatting>
  <conditionalFormatting sqref="K25:K38">
    <cfRule type="expression" dxfId="1238" priority="17">
      <formula>K25&gt;0</formula>
    </cfRule>
    <cfRule type="expression" dxfId="1237" priority="18">
      <formula>K25&lt;0</formula>
    </cfRule>
  </conditionalFormatting>
  <conditionalFormatting sqref="L25:L38">
    <cfRule type="expression" dxfId="1236" priority="15">
      <formula>L25&gt;0</formula>
    </cfRule>
    <cfRule type="expression" dxfId="1235" priority="16">
      <formula>L25&lt;0</formula>
    </cfRule>
  </conditionalFormatting>
  <conditionalFormatting sqref="F89:F110">
    <cfRule type="expression" dxfId="1234" priority="13">
      <formula>F89&gt;0</formula>
    </cfRule>
    <cfRule type="expression" dxfId="1233" priority="14">
      <formula>F89&lt;0</formula>
    </cfRule>
  </conditionalFormatting>
  <conditionalFormatting sqref="H89:H110">
    <cfRule type="expression" dxfId="1232" priority="11">
      <formula>H89&gt;0</formula>
    </cfRule>
    <cfRule type="expression" dxfId="1231" priority="12">
      <formula>H89&lt;0</formula>
    </cfRule>
  </conditionalFormatting>
  <conditionalFormatting sqref="J89:J102">
    <cfRule type="expression" dxfId="1230" priority="9">
      <formula>J89&gt;0</formula>
    </cfRule>
    <cfRule type="expression" dxfId="1229" priority="10">
      <formula>J89&lt;0</formula>
    </cfRule>
  </conditionalFormatting>
  <conditionalFormatting sqref="K89:K102">
    <cfRule type="expression" dxfId="1228" priority="7">
      <formula>K89&gt;0</formula>
    </cfRule>
    <cfRule type="expression" dxfId="1227" priority="8">
      <formula>K89&lt;0</formula>
    </cfRule>
  </conditionalFormatting>
  <conditionalFormatting sqref="L89:L102">
    <cfRule type="expression" dxfId="1226" priority="5">
      <formula>L89&gt;0</formula>
    </cfRule>
    <cfRule type="expression" dxfId="1225" priority="6">
      <formula>L89&lt;0</formula>
    </cfRule>
  </conditionalFormatting>
  <conditionalFormatting sqref="F25:F29">
    <cfRule type="expression" dxfId="1224" priority="3">
      <formula>F25&gt;0</formula>
    </cfRule>
    <cfRule type="expression" dxfId="1223" priority="4">
      <formula>F25&lt;0</formula>
    </cfRule>
  </conditionalFormatting>
  <conditionalFormatting sqref="H25:H29">
    <cfRule type="expression" dxfId="1222" priority="1">
      <formula>H25&gt;0</formula>
    </cfRule>
    <cfRule type="expression" dxfId="12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63.722499999999997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63.209899999999998</v>
      </c>
      <c r="R4" s="495">
        <v>-1.6999999999999999E-3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6320.99</v>
      </c>
      <c r="T5" s="1">
        <v>43248</v>
      </c>
      <c r="U5" t="s">
        <v>1116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6372.25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-51.260000000000218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-51.260000000000218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-8.0442543842442187E-3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3.9550766572957717E-2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16.678073878627966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975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3" si="13">C29*(E29-D29)</f>
        <v>-364.74999999999937</v>
      </c>
      <c r="G29" s="39">
        <f t="shared" ref="G29:G33" si="14">D29*C29</f>
        <v>6434.75</v>
      </c>
      <c r="H29" s="222">
        <f t="shared" ref="H29:H33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13"/>
        <v>-211.24999999999972</v>
      </c>
      <c r="G33" s="39">
        <f t="shared" si="14"/>
        <v>6372.25</v>
      </c>
      <c r="H33" s="222">
        <f t="shared" si="15"/>
        <v>-3.3151555572992229E-2</v>
      </c>
      <c r="I33" s="39"/>
      <c r="J33" s="39"/>
      <c r="K33" s="39"/>
      <c r="L33" s="39">
        <v>16.2559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69.530889999999999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68.898791000000003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68.266692000000006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67.634592999999995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67.002493999999999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66.370395000000002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65.738296000000005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65.106196999999995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64.474097999999998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63.841999000000001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63.209899999999998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62.577800999999994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61.945701999999997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61.313602999999993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60.681503999999997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60.049404999999993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59.417305999999996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58.785207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58.153108000000003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57.521008999999999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56.888909999999996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0" priority="31">
      <formula>F47&gt;0</formula>
    </cfRule>
    <cfRule type="expression" dxfId="1219" priority="32">
      <formula>F47&lt;0</formula>
    </cfRule>
  </conditionalFormatting>
  <conditionalFormatting sqref="Q7">
    <cfRule type="expression" dxfId="1218" priority="29">
      <formula>Q7&gt;0</formula>
    </cfRule>
    <cfRule type="expression" dxfId="1217" priority="30">
      <formula>Q7&lt;0</formula>
    </cfRule>
  </conditionalFormatting>
  <conditionalFormatting sqref="Q8">
    <cfRule type="expression" dxfId="1216" priority="27">
      <formula>Q8&gt;0</formula>
    </cfRule>
    <cfRule type="expression" dxfId="1215" priority="28">
      <formula>Q8&lt;0</formula>
    </cfRule>
  </conditionalFormatting>
  <conditionalFormatting sqref="F30:F46">
    <cfRule type="expression" dxfId="1214" priority="25">
      <formula>F30&gt;0</formula>
    </cfRule>
    <cfRule type="expression" dxfId="1213" priority="26">
      <formula>F30&lt;0</formula>
    </cfRule>
  </conditionalFormatting>
  <conditionalFormatting sqref="H30:H46">
    <cfRule type="expression" dxfId="1212" priority="23">
      <formula>H30&gt;0</formula>
    </cfRule>
    <cfRule type="expression" dxfId="1211" priority="24">
      <formula>H30&lt;0</formula>
    </cfRule>
  </conditionalFormatting>
  <conditionalFormatting sqref="Q10">
    <cfRule type="expression" dxfId="1210" priority="21">
      <formula>Q10&gt;0</formula>
    </cfRule>
    <cfRule type="expression" dxfId="1209" priority="22">
      <formula>Q10&lt;0</formula>
    </cfRule>
  </conditionalFormatting>
  <conditionalFormatting sqref="J25:J38">
    <cfRule type="expression" dxfId="1208" priority="19">
      <formula>J25&gt;0</formula>
    </cfRule>
    <cfRule type="expression" dxfId="1207" priority="20">
      <formula>J25&lt;0</formula>
    </cfRule>
  </conditionalFormatting>
  <conditionalFormatting sqref="K25:K38">
    <cfRule type="expression" dxfId="1206" priority="17">
      <formula>K25&gt;0</formula>
    </cfRule>
    <cfRule type="expression" dxfId="1205" priority="18">
      <formula>K25&lt;0</formula>
    </cfRule>
  </conditionalFormatting>
  <conditionalFormatting sqref="L25:L32 L34:L38">
    <cfRule type="expression" dxfId="1204" priority="15">
      <formula>L25&gt;0</formula>
    </cfRule>
    <cfRule type="expression" dxfId="1203" priority="16">
      <formula>L25&lt;0</formula>
    </cfRule>
  </conditionalFormatting>
  <conditionalFormatting sqref="F89:F110">
    <cfRule type="expression" dxfId="1202" priority="13">
      <formula>F89&gt;0</formula>
    </cfRule>
    <cfRule type="expression" dxfId="1201" priority="14">
      <formula>F89&lt;0</formula>
    </cfRule>
  </conditionalFormatting>
  <conditionalFormatting sqref="H89:H110">
    <cfRule type="expression" dxfId="1200" priority="11">
      <formula>H89&gt;0</formula>
    </cfRule>
    <cfRule type="expression" dxfId="1199" priority="12">
      <formula>H89&lt;0</formula>
    </cfRule>
  </conditionalFormatting>
  <conditionalFormatting sqref="J89:J102">
    <cfRule type="expression" dxfId="1198" priority="9">
      <formula>J89&gt;0</formula>
    </cfRule>
    <cfRule type="expression" dxfId="1197" priority="10">
      <formula>J89&lt;0</formula>
    </cfRule>
  </conditionalFormatting>
  <conditionalFormatting sqref="K89:K102">
    <cfRule type="expression" dxfId="1196" priority="7">
      <formula>K89&gt;0</formula>
    </cfRule>
    <cfRule type="expression" dxfId="1195" priority="8">
      <formula>K89&lt;0</formula>
    </cfRule>
  </conditionalFormatting>
  <conditionalFormatting sqref="L89:L102">
    <cfRule type="expression" dxfId="1194" priority="5">
      <formula>L89&gt;0</formula>
    </cfRule>
    <cfRule type="expression" dxfId="1193" priority="6">
      <formula>L89&lt;0</formula>
    </cfRule>
  </conditionalFormatting>
  <conditionalFormatting sqref="F25:F29">
    <cfRule type="expression" dxfId="1192" priority="3">
      <formula>F25&gt;0</formula>
    </cfRule>
    <cfRule type="expression" dxfId="1191" priority="4">
      <formula>F25&lt;0</formula>
    </cfRule>
  </conditionalFormatting>
  <conditionalFormatting sqref="H25:H29">
    <cfRule type="expression" dxfId="1190" priority="1">
      <formula>H25&gt;0</formula>
    </cfRule>
    <cfRule type="expression" dxfId="118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35.369999999999997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35.369999999999997</v>
      </c>
      <c r="R4" s="495">
        <v>0.01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7.4639525021204425E-2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38.907000000000004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38.5533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38.199599999999997</v>
      </c>
    </row>
    <row r="20" spans="1:16" x14ac:dyDescent="0.25">
      <c r="O20" s="81">
        <v>1.07</v>
      </c>
      <c r="P20" s="81">
        <f t="shared" si="1"/>
        <v>37.8459</v>
      </c>
    </row>
    <row r="21" spans="1:16" x14ac:dyDescent="0.25">
      <c r="O21" s="81">
        <v>1.06</v>
      </c>
      <c r="P21" s="81">
        <f t="shared" si="1"/>
        <v>37.492199999999997</v>
      </c>
    </row>
    <row r="22" spans="1:16" x14ac:dyDescent="0.25">
      <c r="O22" s="81">
        <v>1.05</v>
      </c>
      <c r="P22" s="81">
        <f t="shared" si="1"/>
        <v>37.138500000000001</v>
      </c>
    </row>
    <row r="23" spans="1:16" x14ac:dyDescent="0.25">
      <c r="O23" s="81">
        <v>1.04</v>
      </c>
      <c r="P23" s="81">
        <f t="shared" si="1"/>
        <v>36.784799999999997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36.431100000000001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36.077399999999997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35.723700000000001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35.369999999999997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35.016299999999994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34.662599999999998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34.308899999999994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33.955199999999998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33.601499999999994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33.247799999999998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32.894100000000002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32.540399999999998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32.186700000000002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31.832999999999998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8" priority="35">
      <formula>F47&gt;0</formula>
    </cfRule>
    <cfRule type="expression" dxfId="1187" priority="36">
      <formula>F47&lt;0</formula>
    </cfRule>
  </conditionalFormatting>
  <conditionalFormatting sqref="Q7">
    <cfRule type="expression" dxfId="1186" priority="33">
      <formula>Q7&gt;0</formula>
    </cfRule>
    <cfRule type="expression" dxfId="1185" priority="34">
      <formula>Q7&lt;0</formula>
    </cfRule>
  </conditionalFormatting>
  <conditionalFormatting sqref="Q8">
    <cfRule type="expression" dxfId="1184" priority="31">
      <formula>Q8&gt;0</formula>
    </cfRule>
    <cfRule type="expression" dxfId="1183" priority="32">
      <formula>Q8&lt;0</formula>
    </cfRule>
  </conditionalFormatting>
  <conditionalFormatting sqref="F32:F46">
    <cfRule type="expression" dxfId="1182" priority="29">
      <formula>F32&gt;0</formula>
    </cfRule>
    <cfRule type="expression" dxfId="1181" priority="30">
      <formula>F32&lt;0</formula>
    </cfRule>
  </conditionalFormatting>
  <conditionalFormatting sqref="H32:H46">
    <cfRule type="expression" dxfId="1180" priority="27">
      <formula>H32&gt;0</formula>
    </cfRule>
    <cfRule type="expression" dxfId="1179" priority="28">
      <formula>H32&lt;0</formula>
    </cfRule>
  </conditionalFormatting>
  <conditionalFormatting sqref="Q10">
    <cfRule type="expression" dxfId="1178" priority="25">
      <formula>Q10&gt;0</formula>
    </cfRule>
    <cfRule type="expression" dxfId="1177" priority="26">
      <formula>Q10&lt;0</formula>
    </cfRule>
  </conditionalFormatting>
  <conditionalFormatting sqref="J25:J38">
    <cfRule type="expression" dxfId="1176" priority="23">
      <formula>J25&gt;0</formula>
    </cfRule>
    <cfRule type="expression" dxfId="1175" priority="24">
      <formula>J25&lt;0</formula>
    </cfRule>
  </conditionalFormatting>
  <conditionalFormatting sqref="K25:K38">
    <cfRule type="expression" dxfId="1174" priority="21">
      <formula>K25&gt;0</formula>
    </cfRule>
    <cfRule type="expression" dxfId="1173" priority="22">
      <formula>K25&lt;0</formula>
    </cfRule>
  </conditionalFormatting>
  <conditionalFormatting sqref="L25:L38">
    <cfRule type="expression" dxfId="1172" priority="19">
      <formula>L25&gt;0</formula>
    </cfRule>
    <cfRule type="expression" dxfId="1171" priority="20">
      <formula>L25&lt;0</formula>
    </cfRule>
  </conditionalFormatting>
  <conditionalFormatting sqref="F89:F110">
    <cfRule type="expression" dxfId="1170" priority="17">
      <formula>F89&gt;0</formula>
    </cfRule>
    <cfRule type="expression" dxfId="1169" priority="18">
      <formula>F89&lt;0</formula>
    </cfRule>
  </conditionalFormatting>
  <conditionalFormatting sqref="H89:H110">
    <cfRule type="expression" dxfId="1168" priority="15">
      <formula>H89&gt;0</formula>
    </cfRule>
    <cfRule type="expression" dxfId="1167" priority="16">
      <formula>H89&lt;0</formula>
    </cfRule>
  </conditionalFormatting>
  <conditionalFormatting sqref="J89:J102">
    <cfRule type="expression" dxfId="1166" priority="13">
      <formula>J89&gt;0</formula>
    </cfRule>
    <cfRule type="expression" dxfId="1165" priority="14">
      <formula>J89&lt;0</formula>
    </cfRule>
  </conditionalFormatting>
  <conditionalFormatting sqref="K89:K102">
    <cfRule type="expression" dxfId="1164" priority="11">
      <formula>K89&gt;0</formula>
    </cfRule>
    <cfRule type="expression" dxfId="1163" priority="12">
      <formula>K89&lt;0</formula>
    </cfRule>
  </conditionalFormatting>
  <conditionalFormatting sqref="L89:L102">
    <cfRule type="expression" dxfId="1162" priority="9">
      <formula>L89&gt;0</formula>
    </cfRule>
    <cfRule type="expression" dxfId="1161" priority="10">
      <formula>L89&lt;0</formula>
    </cfRule>
  </conditionalFormatting>
  <conditionalFormatting sqref="F25:F28">
    <cfRule type="expression" dxfId="1160" priority="7">
      <formula>F25&gt;0</formula>
    </cfRule>
    <cfRule type="expression" dxfId="1159" priority="8">
      <formula>F25&lt;0</formula>
    </cfRule>
  </conditionalFormatting>
  <conditionalFormatting sqref="H25:H28">
    <cfRule type="expression" dxfId="1158" priority="5">
      <formula>H25&gt;0</formula>
    </cfRule>
    <cfRule type="expression" dxfId="1157" priority="6">
      <formula>H25&lt;0</formula>
    </cfRule>
  </conditionalFormatting>
  <conditionalFormatting sqref="F29:F31">
    <cfRule type="expression" dxfId="1156" priority="3">
      <formula>F29&gt;0</formula>
    </cfRule>
    <cfRule type="expression" dxfId="1155" priority="4">
      <formula>F29&lt;0</formula>
    </cfRule>
  </conditionalFormatting>
  <conditionalFormatting sqref="H29:H31">
    <cfRule type="expression" dxfId="1154" priority="1">
      <formula>H29&gt;0</formula>
    </cfRule>
    <cfRule type="expression" dxfId="115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8.140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965</v>
      </c>
      <c r="U2" t="s">
        <v>1078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120.28</v>
      </c>
      <c r="R4" s="495">
        <v>1.4E-3</v>
      </c>
      <c r="T4" s="770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12028</v>
      </c>
      <c r="U5" s="475" t="s">
        <v>1003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-1130.3700000000008</v>
      </c>
      <c r="R7">
        <v>100</v>
      </c>
      <c r="T7" s="1">
        <v>43221</v>
      </c>
      <c r="U7" s="822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-1130.3700000000008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-8.5905017110782009E-2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4.323245759893582E-3</v>
      </c>
      <c r="R11">
        <v>0.13</v>
      </c>
      <c r="T11" s="1">
        <v>43228</v>
      </c>
      <c r="U11" t="s">
        <v>1077</v>
      </c>
    </row>
    <row r="12" spans="1:21" x14ac:dyDescent="0.25">
      <c r="H12" s="70"/>
      <c r="O12" s="11" t="s">
        <v>948</v>
      </c>
      <c r="Q12" s="1" t="s">
        <v>1135</v>
      </c>
    </row>
    <row r="13" spans="1:21" x14ac:dyDescent="0.25">
      <c r="H13" s="70"/>
      <c r="O13" s="11" t="s">
        <v>975</v>
      </c>
      <c r="Q13">
        <f>Q4/8.62</f>
        <v>13.953596287703018</v>
      </c>
      <c r="T13" s="1">
        <v>43260</v>
      </c>
      <c r="U13" t="s">
        <v>1130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1132</v>
      </c>
    </row>
    <row r="16" spans="1:21" x14ac:dyDescent="0.25">
      <c r="H16" s="70"/>
    </row>
    <row r="17" spans="1:21" x14ac:dyDescent="0.25">
      <c r="T17" s="1">
        <v>43264</v>
      </c>
      <c r="U17" t="s">
        <v>1136</v>
      </c>
    </row>
    <row r="18" spans="1:21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78" t="s">
        <v>78</v>
      </c>
      <c r="P18" s="778"/>
      <c r="U18" t="s">
        <v>1137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132.30800000000002</v>
      </c>
    </row>
    <row r="20" spans="1:21" x14ac:dyDescent="0.25">
      <c r="O20" s="81">
        <v>1.0900000000000001</v>
      </c>
      <c r="P20" s="81">
        <f t="shared" ref="P20:P39" si="1">O20*$Q$4</f>
        <v>131.10520000000002</v>
      </c>
    </row>
    <row r="21" spans="1:21" x14ac:dyDescent="0.25">
      <c r="O21" s="81">
        <v>1.08</v>
      </c>
      <c r="P21" s="81">
        <f t="shared" si="1"/>
        <v>129.9024</v>
      </c>
    </row>
    <row r="22" spans="1:21" x14ac:dyDescent="0.25">
      <c r="O22" s="81">
        <v>1.07</v>
      </c>
      <c r="P22" s="81">
        <f t="shared" si="1"/>
        <v>128.6996</v>
      </c>
    </row>
    <row r="23" spans="1:21" x14ac:dyDescent="0.25">
      <c r="O23" s="81">
        <v>1.06</v>
      </c>
      <c r="P23" s="81">
        <f t="shared" si="1"/>
        <v>127.49680000000001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126.29400000000001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125.0912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123.8884</v>
      </c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122.68560000000001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121.4828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120.28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119.0772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117.87439999999999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6" si="23">C32*(E32-D32)</f>
        <v>-439.36999999999955</v>
      </c>
      <c r="G32" s="39">
        <f t="shared" ref="G32:G36" si="24">D32*C32</f>
        <v>7030.87</v>
      </c>
      <c r="H32" s="222">
        <f t="shared" ref="H32:H36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116.6716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115.4688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114.26599999999999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113.06319999999999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111.86040000000001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110.6576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109.45480000000001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108.25200000000001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2" priority="31">
      <formula>F47&gt;0</formula>
    </cfRule>
    <cfRule type="expression" dxfId="1151" priority="32">
      <formula>F47&lt;0</formula>
    </cfRule>
  </conditionalFormatting>
  <conditionalFormatting sqref="Q7">
    <cfRule type="expression" dxfId="1150" priority="29">
      <formula>Q7&gt;0</formula>
    </cfRule>
    <cfRule type="expression" dxfId="1149" priority="30">
      <formula>Q7&lt;0</formula>
    </cfRule>
  </conditionalFormatting>
  <conditionalFormatting sqref="Q8">
    <cfRule type="expression" dxfId="1148" priority="27">
      <formula>Q8&gt;0</formula>
    </cfRule>
    <cfRule type="expression" dxfId="1147" priority="28">
      <formula>Q8&lt;0</formula>
    </cfRule>
  </conditionalFormatting>
  <conditionalFormatting sqref="F34:F46">
    <cfRule type="expression" dxfId="1146" priority="25">
      <formula>F34&gt;0</formula>
    </cfRule>
    <cfRule type="expression" dxfId="1145" priority="26">
      <formula>F34&lt;0</formula>
    </cfRule>
  </conditionalFormatting>
  <conditionalFormatting sqref="H34:H46">
    <cfRule type="expression" dxfId="1144" priority="23">
      <formula>H34&gt;0</formula>
    </cfRule>
    <cfRule type="expression" dxfId="1143" priority="24">
      <formula>H34&lt;0</formula>
    </cfRule>
  </conditionalFormatting>
  <conditionalFormatting sqref="Q10">
    <cfRule type="expression" dxfId="1142" priority="21">
      <formula>Q10&gt;0</formula>
    </cfRule>
    <cfRule type="expression" dxfId="1141" priority="22">
      <formula>Q10&lt;0</formula>
    </cfRule>
  </conditionalFormatting>
  <conditionalFormatting sqref="J25:J38">
    <cfRule type="expression" dxfId="1140" priority="19">
      <formula>J25&gt;0</formula>
    </cfRule>
    <cfRule type="expression" dxfId="1139" priority="20">
      <formula>J25&lt;0</formula>
    </cfRule>
  </conditionalFormatting>
  <conditionalFormatting sqref="K25:K35 K37:K38">
    <cfRule type="expression" dxfId="1138" priority="17">
      <formula>K25&gt;0</formula>
    </cfRule>
    <cfRule type="expression" dxfId="1137" priority="18">
      <formula>K25&lt;0</formula>
    </cfRule>
  </conditionalFormatting>
  <conditionalFormatting sqref="L25">
    <cfRule type="expression" dxfId="1136" priority="15">
      <formula>L25&gt;0</formula>
    </cfRule>
    <cfRule type="expression" dxfId="1135" priority="16">
      <formula>L25&lt;0</formula>
    </cfRule>
  </conditionalFormatting>
  <conditionalFormatting sqref="F89:F110">
    <cfRule type="expression" dxfId="1134" priority="13">
      <formula>F89&gt;0</formula>
    </cfRule>
    <cfRule type="expression" dxfId="1133" priority="14">
      <formula>F89&lt;0</formula>
    </cfRule>
  </conditionalFormatting>
  <conditionalFormatting sqref="H89:H110">
    <cfRule type="expression" dxfId="1132" priority="11">
      <formula>H89&gt;0</formula>
    </cfRule>
    <cfRule type="expression" dxfId="1131" priority="12">
      <formula>H89&lt;0</formula>
    </cfRule>
  </conditionalFormatting>
  <conditionalFormatting sqref="J89:J102">
    <cfRule type="expression" dxfId="1130" priority="9">
      <formula>J89&gt;0</formula>
    </cfRule>
    <cfRule type="expression" dxfId="1129" priority="10">
      <formula>J89&lt;0</formula>
    </cfRule>
  </conditionalFormatting>
  <conditionalFormatting sqref="K89:K102">
    <cfRule type="expression" dxfId="1128" priority="7">
      <formula>K89&gt;0</formula>
    </cfRule>
    <cfRule type="expression" dxfId="1127" priority="8">
      <formula>K89&lt;0</formula>
    </cfRule>
  </conditionalFormatting>
  <conditionalFormatting sqref="L89:L102">
    <cfRule type="expression" dxfId="1126" priority="5">
      <formula>L89&gt;0</formula>
    </cfRule>
    <cfRule type="expression" dxfId="1125" priority="6">
      <formula>L89&lt;0</formula>
    </cfRule>
  </conditionalFormatting>
  <conditionalFormatting sqref="F25:F33">
    <cfRule type="expression" dxfId="1124" priority="3">
      <formula>F25&gt;0</formula>
    </cfRule>
    <cfRule type="expression" dxfId="1123" priority="4">
      <formula>F25&lt;0</formula>
    </cfRule>
  </conditionalFormatting>
  <conditionalFormatting sqref="H25:H33">
    <cfRule type="expression" dxfId="1122" priority="1">
      <formula>H25&gt;0</formula>
    </cfRule>
    <cfRule type="expression" dxfId="11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242.67</v>
      </c>
      <c r="R4" s="495">
        <v>1.5E-3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7280.0999999999995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395.90000000000055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395.90000000000055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5.7508497719415561E-2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266.93700000000001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264.51030000000003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262.08359999999999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259.65690000000001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257.23020000000002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254.80349999999999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252.3768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249.95009999999999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247.52339999999998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245.0967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242.67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240.24329999999998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237.81659999999999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235.38989999999998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232.96319999999997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230.53649999999999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228.10979999999998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225.6831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223.25639999999999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220.8297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218.40299999999999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0" priority="31">
      <formula>F47&gt;0</formula>
    </cfRule>
    <cfRule type="expression" dxfId="1119" priority="32">
      <formula>F47&lt;0</formula>
    </cfRule>
  </conditionalFormatting>
  <conditionalFormatting sqref="Q7">
    <cfRule type="expression" dxfId="1118" priority="29">
      <formula>Q7&gt;0</formula>
    </cfRule>
    <cfRule type="expression" dxfId="1117" priority="30">
      <formula>Q7&lt;0</formula>
    </cfRule>
  </conditionalFormatting>
  <conditionalFormatting sqref="Q8">
    <cfRule type="expression" dxfId="1116" priority="27">
      <formula>Q8&gt;0</formula>
    </cfRule>
    <cfRule type="expression" dxfId="1115" priority="28">
      <formula>Q8&lt;0</formula>
    </cfRule>
  </conditionalFormatting>
  <conditionalFormatting sqref="F32:F46">
    <cfRule type="expression" dxfId="1114" priority="25">
      <formula>F32&gt;0</formula>
    </cfRule>
    <cfRule type="expression" dxfId="1113" priority="26">
      <formula>F32&lt;0</formula>
    </cfRule>
  </conditionalFormatting>
  <conditionalFormatting sqref="H32:H46">
    <cfRule type="expression" dxfId="1112" priority="23">
      <formula>H32&gt;0</formula>
    </cfRule>
    <cfRule type="expression" dxfId="1111" priority="24">
      <formula>H32&lt;0</formula>
    </cfRule>
  </conditionalFormatting>
  <conditionalFormatting sqref="Q10">
    <cfRule type="expression" dxfId="1110" priority="21">
      <formula>Q10&gt;0</formula>
    </cfRule>
    <cfRule type="expression" dxfId="1109" priority="22">
      <formula>Q10&lt;0</formula>
    </cfRule>
  </conditionalFormatting>
  <conditionalFormatting sqref="J25:J38">
    <cfRule type="expression" dxfId="1108" priority="19">
      <formula>J25&gt;0</formula>
    </cfRule>
    <cfRule type="expression" dxfId="1107" priority="20">
      <formula>J25&lt;0</formula>
    </cfRule>
  </conditionalFormatting>
  <conditionalFormatting sqref="K25:K38">
    <cfRule type="expression" dxfId="1106" priority="17">
      <formula>K25&gt;0</formula>
    </cfRule>
    <cfRule type="expression" dxfId="1105" priority="18">
      <formula>K25&lt;0</formula>
    </cfRule>
  </conditionalFormatting>
  <conditionalFormatting sqref="L25:L38">
    <cfRule type="expression" dxfId="1104" priority="15">
      <formula>L25&gt;0</formula>
    </cfRule>
    <cfRule type="expression" dxfId="1103" priority="16">
      <formula>L25&lt;0</formula>
    </cfRule>
  </conditionalFormatting>
  <conditionalFormatting sqref="F89:F110">
    <cfRule type="expression" dxfId="1102" priority="13">
      <formula>F89&gt;0</formula>
    </cfRule>
    <cfRule type="expression" dxfId="1101" priority="14">
      <formula>F89&lt;0</formula>
    </cfRule>
  </conditionalFormatting>
  <conditionalFormatting sqref="H89:H110">
    <cfRule type="expression" dxfId="1100" priority="11">
      <formula>H89&gt;0</formula>
    </cfRule>
    <cfRule type="expression" dxfId="1099" priority="12">
      <formula>H89&lt;0</formula>
    </cfRule>
  </conditionalFormatting>
  <conditionalFormatting sqref="J89:J102">
    <cfRule type="expression" dxfId="1098" priority="9">
      <formula>J89&gt;0</formula>
    </cfRule>
    <cfRule type="expression" dxfId="1097" priority="10">
      <formula>J89&lt;0</formula>
    </cfRule>
  </conditionalFormatting>
  <conditionalFormatting sqref="K89:K102">
    <cfRule type="expression" dxfId="1096" priority="7">
      <formula>K89&gt;0</formula>
    </cfRule>
    <cfRule type="expression" dxfId="1095" priority="8">
      <formula>K89&lt;0</formula>
    </cfRule>
  </conditionalFormatting>
  <conditionalFormatting sqref="L89:L102">
    <cfRule type="expression" dxfId="1094" priority="5">
      <formula>L89&gt;0</formula>
    </cfRule>
    <cfRule type="expression" dxfId="1093" priority="6">
      <formula>L89&lt;0</formula>
    </cfRule>
  </conditionalFormatting>
  <conditionalFormatting sqref="F25:F31">
    <cfRule type="expression" dxfId="1092" priority="3">
      <formula>F25&gt;0</formula>
    </cfRule>
    <cfRule type="expression" dxfId="1091" priority="4">
      <formula>F25&lt;0</formula>
    </cfRule>
  </conditionalFormatting>
  <conditionalFormatting sqref="H25:H31">
    <cfRule type="expression" dxfId="1090" priority="1">
      <formula>H25&gt;0</formula>
    </cfRule>
    <cfRule type="expression" dxfId="1089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74.569999999999993</v>
      </c>
      <c r="R4" s="495">
        <v>3.5999999999999999E-3</v>
      </c>
      <c r="T4" s="770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4474.2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524.15999999999985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524.15999999999985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0.13269739040617307</v>
      </c>
      <c r="T9" s="770">
        <v>43249</v>
      </c>
      <c r="U9" t="s">
        <v>1119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1.2873809843100444E-2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21.005633802816902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79" t="s">
        <v>78</v>
      </c>
      <c r="P22" s="779"/>
    </row>
    <row r="23" spans="1:17" ht="15.75" thickTop="1" x14ac:dyDescent="0.25">
      <c r="O23" s="81">
        <v>1.1000000000000001</v>
      </c>
      <c r="P23" s="81">
        <f>O23*$Q$4</f>
        <v>82.027000000000001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81.281300000000002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80.535600000000002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79.789900000000003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79.044200000000004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1" si="11">C28*(E28-D28)</f>
        <v>168.39999999999975</v>
      </c>
      <c r="G28" s="39">
        <f t="shared" ref="G28:G31" si="12">D28*C28</f>
        <v>2693.6000000000004</v>
      </c>
      <c r="H28" s="222">
        <f t="shared" ref="H28:H31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78.29849999999999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77.552799999999991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76.807099999999991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76.061399999999992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75.315699999999993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74.569999999999993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73.824299999999994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73.078599999999994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72.332899999999995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71.587199999999996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70.841499999999996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70.095799999999983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69.350099999999998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68.604399999999998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67.858699999999999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67.113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8" priority="31">
      <formula>F47&gt;0</formula>
    </cfRule>
    <cfRule type="expression" dxfId="1087" priority="32">
      <formula>F47&lt;0</formula>
    </cfRule>
  </conditionalFormatting>
  <conditionalFormatting sqref="Q7">
    <cfRule type="expression" dxfId="1086" priority="29">
      <formula>Q7&gt;0</formula>
    </cfRule>
    <cfRule type="expression" dxfId="1085" priority="30">
      <formula>Q7&lt;0</formula>
    </cfRule>
  </conditionalFormatting>
  <conditionalFormatting sqref="Q8">
    <cfRule type="expression" dxfId="1084" priority="27">
      <formula>Q8&gt;0</formula>
    </cfRule>
    <cfRule type="expression" dxfId="1083" priority="28">
      <formula>Q8&lt;0</formula>
    </cfRule>
  </conditionalFormatting>
  <conditionalFormatting sqref="F30:F46">
    <cfRule type="expression" dxfId="1082" priority="25">
      <formula>F30&gt;0</formula>
    </cfRule>
    <cfRule type="expression" dxfId="1081" priority="26">
      <formula>F30&lt;0</formula>
    </cfRule>
  </conditionalFormatting>
  <conditionalFormatting sqref="H30:H46">
    <cfRule type="expression" dxfId="1080" priority="23">
      <formula>H30&gt;0</formula>
    </cfRule>
    <cfRule type="expression" dxfId="1079" priority="24">
      <formula>H30&lt;0</formula>
    </cfRule>
  </conditionalFormatting>
  <conditionalFormatting sqref="Q10">
    <cfRule type="expression" dxfId="1078" priority="21">
      <formula>Q10&gt;0</formula>
    </cfRule>
    <cfRule type="expression" dxfId="1077" priority="22">
      <formula>Q10&lt;0</formula>
    </cfRule>
  </conditionalFormatting>
  <conditionalFormatting sqref="J25:J38">
    <cfRule type="expression" dxfId="1076" priority="19">
      <formula>J25&gt;0</formula>
    </cfRule>
    <cfRule type="expression" dxfId="1075" priority="20">
      <formula>J25&lt;0</formula>
    </cfRule>
  </conditionalFormatting>
  <conditionalFormatting sqref="K25:K38">
    <cfRule type="expression" dxfId="1074" priority="17">
      <formula>K25&gt;0</formula>
    </cfRule>
    <cfRule type="expression" dxfId="1073" priority="18">
      <formula>K25&lt;0</formula>
    </cfRule>
  </conditionalFormatting>
  <conditionalFormatting sqref="L25:L38">
    <cfRule type="expression" dxfId="1072" priority="15">
      <formula>L25&gt;0</formula>
    </cfRule>
    <cfRule type="expression" dxfId="1071" priority="16">
      <formula>L25&lt;0</formula>
    </cfRule>
  </conditionalFormatting>
  <conditionalFormatting sqref="F89:F110">
    <cfRule type="expression" dxfId="1070" priority="13">
      <formula>F89&gt;0</formula>
    </cfRule>
    <cfRule type="expression" dxfId="1069" priority="14">
      <formula>F89&lt;0</formula>
    </cfRule>
  </conditionalFormatting>
  <conditionalFormatting sqref="H89:H110">
    <cfRule type="expression" dxfId="1068" priority="11">
      <formula>H89&gt;0</formula>
    </cfRule>
    <cfRule type="expression" dxfId="1067" priority="12">
      <formula>H89&lt;0</formula>
    </cfRule>
  </conditionalFormatting>
  <conditionalFormatting sqref="J89:J102">
    <cfRule type="expression" dxfId="1066" priority="9">
      <formula>J89&gt;0</formula>
    </cfRule>
    <cfRule type="expression" dxfId="1065" priority="10">
      <formula>J89&lt;0</formula>
    </cfRule>
  </conditionalFormatting>
  <conditionalFormatting sqref="K89:K102">
    <cfRule type="expression" dxfId="1064" priority="7">
      <formula>K89&gt;0</formula>
    </cfRule>
    <cfRule type="expression" dxfId="1063" priority="8">
      <formula>K89&lt;0</formula>
    </cfRule>
  </conditionalFormatting>
  <conditionalFormatting sqref="L89:L102">
    <cfRule type="expression" dxfId="1062" priority="5">
      <formula>L89&gt;0</formula>
    </cfRule>
    <cfRule type="expression" dxfId="1061" priority="6">
      <formula>L89&lt;0</formula>
    </cfRule>
  </conditionalFormatting>
  <conditionalFormatting sqref="F25:F29">
    <cfRule type="expression" dxfId="1060" priority="3">
      <formula>F25&gt;0</formula>
    </cfRule>
    <cfRule type="expression" dxfId="1059" priority="4">
      <formula>F25&lt;0</formula>
    </cfRule>
  </conditionalFormatting>
  <conditionalFormatting sqref="H25:H29">
    <cfRule type="expression" dxfId="1058" priority="1">
      <formula>H25&gt;0</formula>
    </cfRule>
    <cfRule type="expression" dxfId="105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73.430000000000007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73.430000000000007</v>
      </c>
      <c r="R4" s="475">
        <v>-6.8999999999999999E-3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9" t="s">
        <v>78</v>
      </c>
      <c r="P44" s="8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80.77300000000001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80.03870000000002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79.304400000000015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78.570100000000011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77.835800000000006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77.101500000000016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76.367200000000011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75.632900000000006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74.898600000000002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74.164300000000011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73.430000000000007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72.695700000000002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71.961400000000012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71.227100000000007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70.492800000000003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69.758499999999998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69.024200000000008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68.289900000000003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67.555600000000013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66.821300000000008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66.087000000000003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6" priority="57">
      <formula>F27&gt;0</formula>
    </cfRule>
    <cfRule type="expression" dxfId="1055" priority="58">
      <formula>F27&lt;0</formula>
    </cfRule>
  </conditionalFormatting>
  <conditionalFormatting sqref="H28:H33">
    <cfRule type="expression" dxfId="1054" priority="53">
      <formula>H28&gt;0</formula>
    </cfRule>
    <cfRule type="expression" dxfId="1053" priority="54">
      <formula>H28&lt;0</formula>
    </cfRule>
  </conditionalFormatting>
  <conditionalFormatting sqref="F24:F26">
    <cfRule type="expression" dxfId="1052" priority="39">
      <formula>F24&gt;0</formula>
    </cfRule>
    <cfRule type="expression" dxfId="1051" priority="40">
      <formula>F24&lt;0</formula>
    </cfRule>
  </conditionalFormatting>
  <conditionalFormatting sqref="Q8">
    <cfRule type="expression" dxfId="1050" priority="33">
      <formula>Q8&gt;0</formula>
    </cfRule>
    <cfRule type="expression" dxfId="1049" priority="34">
      <formula>Q8&lt;0</formula>
    </cfRule>
  </conditionalFormatting>
  <conditionalFormatting sqref="Q7">
    <cfRule type="expression" dxfId="1048" priority="35">
      <formula>Q7&gt;0</formula>
    </cfRule>
    <cfRule type="expression" dxfId="1047" priority="36">
      <formula>Q7&lt;0</formula>
    </cfRule>
  </conditionalFormatting>
  <conditionalFormatting sqref="F34">
    <cfRule type="expression" dxfId="1046" priority="31">
      <formula>F34&gt;0</formula>
    </cfRule>
    <cfRule type="expression" dxfId="1045" priority="32">
      <formula>F34&lt;0</formula>
    </cfRule>
  </conditionalFormatting>
  <conditionalFormatting sqref="H34">
    <cfRule type="expression" dxfId="1044" priority="29">
      <formula>H34&gt;0</formula>
    </cfRule>
    <cfRule type="expression" dxfId="1043" priority="30">
      <formula>H34&lt;0</formula>
    </cfRule>
  </conditionalFormatting>
  <conditionalFormatting sqref="M36">
    <cfRule type="expression" dxfId="1042" priority="19">
      <formula>M36&gt;0</formula>
    </cfRule>
    <cfRule type="expression" dxfId="1041" priority="20">
      <formula>M36&lt;0</formula>
    </cfRule>
  </conditionalFormatting>
  <conditionalFormatting sqref="Q10">
    <cfRule type="expression" dxfId="1040" priority="15">
      <formula>Q10&gt;0</formula>
    </cfRule>
    <cfRule type="expression" dxfId="1039" priority="16">
      <formula>Q10&lt;0</formula>
    </cfRule>
  </conditionalFormatting>
  <conditionalFormatting sqref="F23">
    <cfRule type="expression" dxfId="1038" priority="13">
      <formula>F23&gt;0</formula>
    </cfRule>
    <cfRule type="expression" dxfId="1037" priority="14">
      <formula>F23&lt;0</formula>
    </cfRule>
  </conditionalFormatting>
  <conditionalFormatting sqref="I25:J25">
    <cfRule type="expression" dxfId="1036" priority="9">
      <formula>I25&gt;0</formula>
    </cfRule>
    <cfRule type="expression" dxfId="1035" priority="10">
      <formula>I25&lt;0</formula>
    </cfRule>
  </conditionalFormatting>
  <conditionalFormatting sqref="I26:J27">
    <cfRule type="expression" dxfId="1034" priority="7">
      <formula>I26&gt;0</formula>
    </cfRule>
    <cfRule type="expression" dxfId="1033" priority="8">
      <formula>I26&lt;0</formula>
    </cfRule>
  </conditionalFormatting>
  <conditionalFormatting sqref="K25:K27">
    <cfRule type="expression" dxfId="1032" priority="5">
      <formula>K25&gt;0</formula>
    </cfRule>
    <cfRule type="expression" dxfId="1031" priority="6">
      <formula>K25&lt;0</formula>
    </cfRule>
  </conditionalFormatting>
  <conditionalFormatting sqref="I23:J23">
    <cfRule type="expression" dxfId="1030" priority="3">
      <formula>I23&gt;0</formula>
    </cfRule>
    <cfRule type="expression" dxfId="102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1068</v>
      </c>
      <c r="BK1" s="707"/>
      <c r="BL1" s="707"/>
    </row>
    <row r="2" spans="1:64" x14ac:dyDescent="0.25">
      <c r="A2" s="6" t="s">
        <v>226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2" si="1">I2*H2-J2</f>
        <v>2890.94</v>
      </c>
      <c r="L2" s="72">
        <v>42810</v>
      </c>
      <c r="M2" s="43">
        <v>27.5</v>
      </c>
      <c r="O2" s="11" t="s">
        <v>57</v>
      </c>
      <c r="Q2">
        <f>C32-H32</f>
        <v>300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519</v>
      </c>
      <c r="AJ2">
        <f>$Q$2*$Q$4</f>
        <v>8415</v>
      </c>
      <c r="AK2">
        <f ca="1">AJ2*EXP(-$X$2 * AI2/365.25)</f>
        <v>6310.8763809643933</v>
      </c>
      <c r="AM2" s="2">
        <f>Q10</f>
        <v>1452.2599999999984</v>
      </c>
      <c r="AO2">
        <f ca="1" xml:space="preserve"> (SUM(AB:AB) - SUM(AE:AE) - SUM(AH:AH) - SUM(AK:AK))/SUM(AB:AB)</f>
        <v>-8.9852336032915142E-4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14.744499999999874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28.05</v>
      </c>
      <c r="R4" s="494">
        <v>-2.8E-3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8415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4423.3499999999622</v>
      </c>
      <c r="U6" s="770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5443.9100000000362</v>
      </c>
      <c r="R7">
        <v>100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514</v>
      </c>
      <c r="AG7" s="2">
        <f t="shared" si="9"/>
        <v>10</v>
      </c>
      <c r="AH7">
        <f t="shared" si="10"/>
        <v>7.5203741733280456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3991.6500000000378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0.90240428634407677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30">
        <v>1.9</v>
      </c>
      <c r="BJ10" s="830"/>
      <c r="BK10" s="676"/>
      <c r="BL10" s="676"/>
    </row>
    <row r="11" spans="1:64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7" si="1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3.5650623885918006E-3</v>
      </c>
      <c r="R11">
        <f>0.025</f>
        <v>2.5000000000000001E-2</v>
      </c>
      <c r="V11" t="s">
        <v>1067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3" t="s">
        <v>939</v>
      </c>
      <c r="BK12" s="676"/>
      <c r="BL12" s="676"/>
    </row>
    <row r="13" spans="1:64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20.035714285714288</v>
      </c>
      <c r="U13" s="1">
        <v>43234</v>
      </c>
      <c r="V13" t="s">
        <v>1114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3" t="s">
        <v>1069</v>
      </c>
      <c r="BK13" s="676"/>
      <c r="BL13" s="676"/>
    </row>
    <row r="14" spans="1:64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1113</v>
      </c>
      <c r="Q14" s="736">
        <v>0.20250000000000001</v>
      </c>
      <c r="V14" t="s">
        <v>1115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2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9" t="s">
        <v>78</v>
      </c>
      <c r="P16" s="849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30.855000000000004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30.574500000000004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847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30.294000000000004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30.013500000000004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29.733000000000001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14"/>
        <v>29.452500000000001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515</v>
      </c>
      <c r="AD22" s="2">
        <f t="shared" si="6"/>
        <v>2907.96</v>
      </c>
      <c r="AE22">
        <f t="shared" si="7"/>
        <v>2185.6826173750292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G23" s="29"/>
      <c r="H23" s="176"/>
      <c r="I23" s="3"/>
      <c r="J23" s="3"/>
      <c r="K23" s="3"/>
      <c r="O23" s="81">
        <v>1.04</v>
      </c>
      <c r="P23" s="81">
        <f t="shared" si="14"/>
        <v>29.172000000000001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12"/>
        <v>2702</v>
      </c>
      <c r="G24" s="29"/>
      <c r="O24" s="81">
        <v>1.03</v>
      </c>
      <c r="P24" s="81">
        <f t="shared" si="14"/>
        <v>28.891500000000001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7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G25" s="29"/>
      <c r="O25" s="81">
        <v>1.02</v>
      </c>
      <c r="P25" s="81">
        <f t="shared" si="14"/>
        <v>28.611000000000001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B26" s="735">
        <v>43270</v>
      </c>
      <c r="C26" s="4">
        <v>200</v>
      </c>
      <c r="D26" s="2">
        <v>28.2</v>
      </c>
      <c r="E26" s="2">
        <v>0</v>
      </c>
      <c r="F26" s="2">
        <f t="shared" si="12"/>
        <v>5640</v>
      </c>
      <c r="G26" s="29"/>
      <c r="O26" s="81">
        <v>1.01</v>
      </c>
      <c r="P26" s="81">
        <f t="shared" si="14"/>
        <v>28.330500000000001</v>
      </c>
      <c r="Y26" s="29"/>
      <c r="Z26">
        <f t="shared" si="2"/>
        <v>512</v>
      </c>
      <c r="AA26" s="2">
        <f t="shared" si="3"/>
        <v>5640</v>
      </c>
      <c r="AB26">
        <f t="shared" si="4"/>
        <v>4246.1967328580122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B27" s="29"/>
      <c r="C27" s="4"/>
      <c r="D27" s="3"/>
      <c r="E27" s="3"/>
      <c r="F27" s="3"/>
      <c r="G27" s="29"/>
      <c r="O27" s="81">
        <v>1</v>
      </c>
      <c r="P27" s="81">
        <f t="shared" si="14"/>
        <v>28.05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B28" s="29"/>
      <c r="G28" s="29"/>
      <c r="O28" s="81">
        <v>0.99</v>
      </c>
      <c r="P28" s="81">
        <f t="shared" si="14"/>
        <v>27.769500000000001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B29" s="29"/>
      <c r="G29" s="29"/>
      <c r="O29" s="81">
        <v>0.98</v>
      </c>
      <c r="P29" s="81">
        <f t="shared" si="14"/>
        <v>27.489000000000001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B30" s="29"/>
      <c r="G30" s="29"/>
      <c r="O30" s="81">
        <v>0.97</v>
      </c>
      <c r="P30" s="81">
        <f t="shared" si="14"/>
        <v>27.208500000000001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B31" s="29"/>
      <c r="G31" s="29"/>
      <c r="O31" s="81">
        <v>0.96</v>
      </c>
      <c r="P31" s="81">
        <f t="shared" si="14"/>
        <v>26.928000000000001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30">
        <v>1.7</v>
      </c>
      <c r="BJ31" s="830"/>
      <c r="BK31" s="676"/>
      <c r="BL31" s="676"/>
    </row>
    <row r="32" spans="1:64" x14ac:dyDescent="0.25">
      <c r="A32" s="31" t="s">
        <v>81</v>
      </c>
      <c r="B32" s="14"/>
      <c r="C32" s="14">
        <f>SUM(C2:C27)</f>
        <v>3350</v>
      </c>
      <c r="D32" s="18"/>
      <c r="E32" s="18"/>
      <c r="F32" s="18">
        <f>SUM(F2:F27)</f>
        <v>83092.62</v>
      </c>
      <c r="G32" s="14"/>
      <c r="H32" s="14">
        <f>SUM(H2:H31)</f>
        <v>3050</v>
      </c>
      <c r="I32" s="18"/>
      <c r="J32" s="18"/>
      <c r="K32" s="18">
        <f>SUM(K2:K31)</f>
        <v>78384.270000000033</v>
      </c>
      <c r="L32" s="14"/>
      <c r="M32" s="18">
        <f>SUM(M2:M10)</f>
        <v>285</v>
      </c>
      <c r="O32" s="81">
        <v>0.95</v>
      </c>
      <c r="P32" s="81">
        <f t="shared" si="14"/>
        <v>26.647500000000001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3050</v>
      </c>
      <c r="D33" s="343"/>
      <c r="E33" s="343"/>
      <c r="F33" s="344">
        <f>SumByColor($A$33,F2:F31)</f>
        <v>74845</v>
      </c>
      <c r="G33" s="343"/>
      <c r="H33" s="343">
        <f>SumByColor($A$33,H2:H31)</f>
        <v>3050</v>
      </c>
      <c r="I33" s="343"/>
      <c r="J33" s="343"/>
      <c r="K33" s="344">
        <f>SumByColor($A$33,K2:K31)</f>
        <v>78386</v>
      </c>
      <c r="L33" s="343"/>
      <c r="M33" s="344">
        <f>SumByColor($A$33,M2:M31)</f>
        <v>286</v>
      </c>
      <c r="O33" s="81">
        <v>0.94</v>
      </c>
      <c r="P33" s="81">
        <f t="shared" si="14"/>
        <v>26.367000000000001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26.086500000000001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25.806000000000001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25.525500000000001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25.245000000000001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1070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1">
        <v>1.6</v>
      </c>
      <c r="BJ47" s="831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1071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57">C95*(E95-D95)</f>
        <v>3165.0000000000014</v>
      </c>
      <c r="G95" s="39">
        <f t="shared" ref="G95:G103" si="58">D95*C95</f>
        <v>13137</v>
      </c>
      <c r="H95" s="222">
        <f t="shared" ref="H95:H103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1074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57"/>
        <v>3982.6799999999994</v>
      </c>
      <c r="G101" s="39">
        <f t="shared" si="58"/>
        <v>7341.3200000000006</v>
      </c>
      <c r="H101" s="222">
        <f t="shared" si="59"/>
        <v>0.54250189339246879</v>
      </c>
      <c r="I101" s="229" t="s">
        <v>1140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57"/>
        <v>3980.6800000000012</v>
      </c>
      <c r="G102" s="39">
        <f t="shared" si="58"/>
        <v>7331.32</v>
      </c>
      <c r="H102" s="222">
        <f t="shared" si="59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57"/>
        <v>4240.6499999999996</v>
      </c>
      <c r="G103" s="39">
        <f t="shared" si="58"/>
        <v>4423.3500000000004</v>
      </c>
      <c r="H103" s="222">
        <f t="shared" si="59"/>
        <v>0.95869646308793099</v>
      </c>
      <c r="I103" s="39"/>
      <c r="J103" s="39"/>
      <c r="K103" s="39">
        <v>5693</v>
      </c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8" priority="72">
      <formula>F85&gt;0</formula>
    </cfRule>
    <cfRule type="expression" dxfId="1027" priority="73">
      <formula>F85&lt;0</formula>
    </cfRule>
  </conditionalFormatting>
  <conditionalFormatting sqref="Q7">
    <cfRule type="expression" dxfId="1026" priority="60">
      <formula>Q7&gt;0</formula>
    </cfRule>
    <cfRule type="expression" dxfId="1025" priority="61">
      <formula>Q7&lt;0</formula>
    </cfRule>
  </conditionalFormatting>
  <conditionalFormatting sqref="Q8">
    <cfRule type="expression" dxfId="1024" priority="58">
      <formula>Q8&gt;0</formula>
    </cfRule>
    <cfRule type="expression" dxfId="1023" priority="59">
      <formula>Q8&lt;0</formula>
    </cfRule>
  </conditionalFormatting>
  <conditionalFormatting sqref="F110:F122">
    <cfRule type="expression" dxfId="1022" priority="56">
      <formula>F110&gt;0</formula>
    </cfRule>
    <cfRule type="expression" dxfId="1021" priority="57">
      <formula>F110&lt;0</formula>
    </cfRule>
  </conditionalFormatting>
  <conditionalFormatting sqref="H110:H122">
    <cfRule type="expression" dxfId="1020" priority="54">
      <formula>H110&gt;0</formula>
    </cfRule>
    <cfRule type="expression" dxfId="1019" priority="55">
      <formula>H110&lt;0</formula>
    </cfRule>
  </conditionalFormatting>
  <conditionalFormatting sqref="H126:H129">
    <cfRule type="expression" dxfId="1018" priority="50">
      <formula>H126&gt;0</formula>
    </cfRule>
    <cfRule type="expression" dxfId="1017" priority="51">
      <formula>H126&lt;0</formula>
    </cfRule>
  </conditionalFormatting>
  <conditionalFormatting sqref="F126:F129">
    <cfRule type="expression" dxfId="1016" priority="52">
      <formula>F126&gt;0</formula>
    </cfRule>
    <cfRule type="expression" dxfId="1015" priority="53">
      <formula>F126&lt;0</formula>
    </cfRule>
  </conditionalFormatting>
  <conditionalFormatting sqref="M152">
    <cfRule type="expression" dxfId="1014" priority="48">
      <formula>M152&gt;0</formula>
    </cfRule>
    <cfRule type="expression" dxfId="1013" priority="49">
      <formula>M152&lt;0</formula>
    </cfRule>
  </conditionalFormatting>
  <conditionalFormatting sqref="F37:F38 F45:F82">
    <cfRule type="expression" dxfId="1012" priority="46">
      <formula>F37&gt;0</formula>
    </cfRule>
    <cfRule type="expression" dxfId="1011" priority="47">
      <formula>F37&lt;0</formula>
    </cfRule>
  </conditionalFormatting>
  <conditionalFormatting sqref="H37:H38 H45:H82">
    <cfRule type="expression" dxfId="1010" priority="44">
      <formula>H37&gt;0</formula>
    </cfRule>
    <cfRule type="expression" dxfId="1009" priority="45">
      <formula>H37&lt;0</formula>
    </cfRule>
  </conditionalFormatting>
  <conditionalFormatting sqref="Q10">
    <cfRule type="expression" dxfId="1008" priority="42">
      <formula>Q10&gt;0</formula>
    </cfRule>
    <cfRule type="expression" dxfId="1007" priority="43">
      <formula>Q10&lt;0</formula>
    </cfRule>
  </conditionalFormatting>
  <conditionalFormatting sqref="F39:F44">
    <cfRule type="expression" dxfId="1006" priority="40">
      <formula>F39&gt;0</formula>
    </cfRule>
    <cfRule type="expression" dxfId="1005" priority="41">
      <formula>F39&lt;0</formula>
    </cfRule>
  </conditionalFormatting>
  <conditionalFormatting sqref="H39:H44">
    <cfRule type="expression" dxfId="1004" priority="38">
      <formula>H39&gt;0</formula>
    </cfRule>
    <cfRule type="expression" dxfId="1003" priority="39">
      <formula>H39&lt;0</formula>
    </cfRule>
  </conditionalFormatting>
  <conditionalFormatting sqref="K42:K49">
    <cfRule type="expression" dxfId="1002" priority="36">
      <formula>K42&gt;0</formula>
    </cfRule>
    <cfRule type="expression" dxfId="1001" priority="37">
      <formula>K42&lt;0</formula>
    </cfRule>
  </conditionalFormatting>
  <conditionalFormatting sqref="K50:K82">
    <cfRule type="expression" dxfId="1000" priority="34">
      <formula>K50&gt;0</formula>
    </cfRule>
    <cfRule type="expression" dxfId="999" priority="35">
      <formula>K50&lt;0</formula>
    </cfRule>
  </conditionalFormatting>
  <conditionalFormatting sqref="F83:F84">
    <cfRule type="expression" dxfId="998" priority="31">
      <formula>F83&gt;0</formula>
    </cfRule>
    <cfRule type="expression" dxfId="997" priority="32">
      <formula>F83&lt;0</formula>
    </cfRule>
  </conditionalFormatting>
  <conditionalFormatting sqref="H83:H84">
    <cfRule type="expression" dxfId="996" priority="29">
      <formula>H83&gt;0</formula>
    </cfRule>
    <cfRule type="expression" dxfId="995" priority="30">
      <formula>H83&lt;0</formula>
    </cfRule>
  </conditionalFormatting>
  <conditionalFormatting sqref="K83:K84">
    <cfRule type="expression" dxfId="994" priority="27">
      <formula>K83&gt;0</formula>
    </cfRule>
    <cfRule type="expression" dxfId="993" priority="28">
      <formula>K83&lt;0</formula>
    </cfRule>
  </conditionalFormatting>
  <conditionalFormatting sqref="F93:F95 H93:H95 K93:K95">
    <cfRule type="expression" dxfId="992" priority="23">
      <formula>F93&gt;0</formula>
    </cfRule>
    <cfRule type="expression" dxfId="991" priority="24">
      <formula>F93&lt;0</formula>
    </cfRule>
  </conditionalFormatting>
  <conditionalFormatting sqref="L85:L91 L105:L107">
    <cfRule type="expression" dxfId="990" priority="21">
      <formula>L85&gt;0</formula>
    </cfRule>
    <cfRule type="expression" dxfId="989" priority="22">
      <formula>L85&lt;0</formula>
    </cfRule>
  </conditionalFormatting>
  <conditionalFormatting sqref="L42:L49">
    <cfRule type="expression" dxfId="988" priority="19">
      <formula>L42&gt;0</formula>
    </cfRule>
    <cfRule type="expression" dxfId="987" priority="20">
      <formula>L42&lt;0</formula>
    </cfRule>
  </conditionalFormatting>
  <conditionalFormatting sqref="L50:L82">
    <cfRule type="expression" dxfId="986" priority="17">
      <formula>L50&gt;0</formula>
    </cfRule>
    <cfRule type="expression" dxfId="985" priority="18">
      <formula>L50&lt;0</formula>
    </cfRule>
  </conditionalFormatting>
  <conditionalFormatting sqref="L83:L84">
    <cfRule type="expression" dxfId="984" priority="15">
      <formula>L83&gt;0</formula>
    </cfRule>
    <cfRule type="expression" dxfId="983" priority="16">
      <formula>L83&lt;0</formula>
    </cfRule>
  </conditionalFormatting>
  <conditionalFormatting sqref="L93:L95">
    <cfRule type="expression" dxfId="982" priority="13">
      <formula>L93&gt;0</formula>
    </cfRule>
    <cfRule type="expression" dxfId="981" priority="14">
      <formula>L93&lt;0</formula>
    </cfRule>
  </conditionalFormatting>
  <conditionalFormatting sqref="K102:K104 F102:F104 H102:H104">
    <cfRule type="expression" dxfId="980" priority="11">
      <formula>F102&gt;0</formula>
    </cfRule>
    <cfRule type="expression" dxfId="979" priority="12">
      <formula>F102&lt;0</formula>
    </cfRule>
  </conditionalFormatting>
  <conditionalFormatting sqref="L102:L104">
    <cfRule type="expression" dxfId="978" priority="9">
      <formula>L102&gt;0</formula>
    </cfRule>
    <cfRule type="expression" dxfId="977" priority="10">
      <formula>L102&lt;0</formula>
    </cfRule>
  </conditionalFormatting>
  <conditionalFormatting sqref="K99:K101 F99:F101 H99:H101">
    <cfRule type="expression" dxfId="976" priority="7">
      <formula>F99&gt;0</formula>
    </cfRule>
    <cfRule type="expression" dxfId="975" priority="8">
      <formula>F99&lt;0</formula>
    </cfRule>
  </conditionalFormatting>
  <conditionalFormatting sqref="L99:L101">
    <cfRule type="expression" dxfId="974" priority="5">
      <formula>L99&gt;0</formula>
    </cfRule>
    <cfRule type="expression" dxfId="973" priority="6">
      <formula>L99&lt;0</formula>
    </cfRule>
  </conditionalFormatting>
  <conditionalFormatting sqref="K96:K98 F96:F98 H96:H98">
    <cfRule type="expression" dxfId="972" priority="3">
      <formula>F96&gt;0</formula>
    </cfRule>
    <cfRule type="expression" dxfId="971" priority="4">
      <formula>F96&lt;0</formula>
    </cfRule>
  </conditionalFormatting>
  <conditionalFormatting sqref="L97:L98">
    <cfRule type="expression" dxfId="970" priority="1">
      <formula>L97&gt;0</formula>
    </cfRule>
    <cfRule type="expression" dxfId="969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56.78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56.78</v>
      </c>
      <c r="R4" s="475">
        <v>1.3599999999999999E-2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62.458000000000006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61.890200000000007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61.322400000000002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60.754600000000003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60.186800000000005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59.619000000000007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59.051200000000001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58.483400000000003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57.915600000000005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57.347799999999999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56.78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56.212200000000003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55.644399999999997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55.076599999999999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54.508800000000001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53.940999999999995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53.373199999999997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52.805400000000006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52.2376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51.669800000000002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51.102000000000004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8" priority="9">
      <formula>F39&gt;0</formula>
    </cfRule>
    <cfRule type="expression" dxfId="967" priority="10">
      <formula>F39&lt;0</formula>
    </cfRule>
  </conditionalFormatting>
  <conditionalFormatting sqref="F25:F38">
    <cfRule type="expression" dxfId="966" priority="7">
      <formula>F25&gt;0</formula>
    </cfRule>
    <cfRule type="expression" dxfId="965" priority="8">
      <formula>F25&lt;0</formula>
    </cfRule>
  </conditionalFormatting>
  <conditionalFormatting sqref="H25:H38">
    <cfRule type="expression" dxfId="964" priority="5">
      <formula>H25&gt;0</formula>
    </cfRule>
    <cfRule type="expression" dxfId="963" priority="6">
      <formula>H25&lt;0</formula>
    </cfRule>
  </conditionalFormatting>
  <conditionalFormatting sqref="Q7">
    <cfRule type="expression" dxfId="962" priority="3">
      <formula>Q7&gt;0</formula>
    </cfRule>
    <cfRule type="expression" dxfId="961" priority="4">
      <formula>Q7&lt;0</formula>
    </cfRule>
  </conditionalFormatting>
  <conditionalFormatting sqref="Q8">
    <cfRule type="expression" dxfId="960" priority="1">
      <formula>Q8&gt;0</formula>
    </cfRule>
    <cfRule type="expression" dxfId="95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469.94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469.94</v>
      </c>
      <c r="R4" s="495">
        <v>1.46E-2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9" t="s">
        <v>78</v>
      </c>
      <c r="P14" s="849"/>
      <c r="W14" s="134"/>
    </row>
    <row r="15" spans="1:23" ht="15.75" thickTop="1" x14ac:dyDescent="0.25">
      <c r="H15" s="70"/>
      <c r="O15" s="81">
        <v>1.1000000000000001</v>
      </c>
      <c r="P15" s="81">
        <f>O15*$Q$4</f>
        <v>516.93400000000008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512.2346</v>
      </c>
      <c r="W16" s="134"/>
    </row>
    <row r="17" spans="1:23" x14ac:dyDescent="0.25">
      <c r="O17" s="81">
        <v>1.08</v>
      </c>
      <c r="P17" s="81">
        <f t="shared" si="0"/>
        <v>507.53520000000003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502.83580000000001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498.13640000000004</v>
      </c>
      <c r="W19" s="134"/>
    </row>
    <row r="20" spans="1:23" x14ac:dyDescent="0.25">
      <c r="O20" s="81">
        <v>1.05</v>
      </c>
      <c r="P20" s="81">
        <f t="shared" si="0"/>
        <v>493.43700000000001</v>
      </c>
      <c r="W20" s="134"/>
    </row>
    <row r="21" spans="1:23" x14ac:dyDescent="0.25">
      <c r="O21" s="81">
        <v>1.04</v>
      </c>
      <c r="P21" s="81">
        <f t="shared" si="0"/>
        <v>488.73759999999999</v>
      </c>
      <c r="W21" s="134"/>
    </row>
    <row r="22" spans="1:23" x14ac:dyDescent="0.25">
      <c r="O22" s="81">
        <v>1.03</v>
      </c>
      <c r="P22" s="81">
        <f t="shared" si="0"/>
        <v>484.03820000000002</v>
      </c>
      <c r="W22" s="134"/>
    </row>
    <row r="23" spans="1:23" x14ac:dyDescent="0.25">
      <c r="O23" s="81">
        <v>1.02</v>
      </c>
      <c r="P23" s="81">
        <f t="shared" si="0"/>
        <v>479.33879999999999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474.63940000000002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469.94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465.24059999999997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460.5412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455.84179999999998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451.14240000000001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446.44299999999998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441.74359999999996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437.04420000000005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432.34480000000002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427.6454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422.94600000000003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8" priority="29">
      <formula>F29&gt;0</formula>
    </cfRule>
    <cfRule type="expression" dxfId="957" priority="30">
      <formula>F29&lt;0</formula>
    </cfRule>
  </conditionalFormatting>
  <conditionalFormatting sqref="Q7">
    <cfRule type="expression" dxfId="956" priority="27">
      <formula>Q7&gt;0</formula>
    </cfRule>
    <cfRule type="expression" dxfId="955" priority="28">
      <formula>Q7&lt;0</formula>
    </cfRule>
  </conditionalFormatting>
  <conditionalFormatting sqref="Q8">
    <cfRule type="expression" dxfId="954" priority="25">
      <formula>Q8&gt;0</formula>
    </cfRule>
    <cfRule type="expression" dxfId="953" priority="26">
      <formula>Q8&lt;0</formula>
    </cfRule>
  </conditionalFormatting>
  <conditionalFormatting sqref="F96:F110">
    <cfRule type="expression" dxfId="952" priority="19">
      <formula>F96&gt;0</formula>
    </cfRule>
    <cfRule type="expression" dxfId="951" priority="20">
      <formula>F96&lt;0</formula>
    </cfRule>
  </conditionalFormatting>
  <conditionalFormatting sqref="H96:H110">
    <cfRule type="expression" dxfId="950" priority="17">
      <formula>H96&gt;0</formula>
    </cfRule>
    <cfRule type="expression" dxfId="949" priority="18">
      <formula>H96&lt;0</formula>
    </cfRule>
  </conditionalFormatting>
  <conditionalFormatting sqref="Q10">
    <cfRule type="expression" dxfId="948" priority="15">
      <formula>Q10&gt;0</formula>
    </cfRule>
    <cfRule type="expression" dxfId="947" priority="16">
      <formula>Q10&lt;0</formula>
    </cfRule>
  </conditionalFormatting>
  <conditionalFormatting sqref="L29:L38">
    <cfRule type="expression" dxfId="946" priority="9">
      <formula>L29&gt;0</formula>
    </cfRule>
    <cfRule type="expression" dxfId="945" priority="10">
      <formula>L29&lt;0</formula>
    </cfRule>
  </conditionalFormatting>
  <conditionalFormatting sqref="F27:F29 H27:H29 J25:K29">
    <cfRule type="expression" dxfId="944" priority="7">
      <formula>F25&gt;0</formula>
    </cfRule>
    <cfRule type="expression" dxfId="943" priority="8">
      <formula>F25&lt;0</formula>
    </cfRule>
  </conditionalFormatting>
  <conditionalFormatting sqref="L25:L29">
    <cfRule type="expression" dxfId="942" priority="5">
      <formula>L25&gt;0</formula>
    </cfRule>
    <cfRule type="expression" dxfId="941" priority="6">
      <formula>L25&lt;0</formula>
    </cfRule>
  </conditionalFormatting>
  <conditionalFormatting sqref="F25:F26">
    <cfRule type="expression" dxfId="940" priority="3">
      <formula>F25&gt;0</formula>
    </cfRule>
    <cfRule type="expression" dxfId="939" priority="4">
      <formula>F25&lt;0</formula>
    </cfRule>
  </conditionalFormatting>
  <conditionalFormatting sqref="H25:H26">
    <cfRule type="expression" dxfId="938" priority="1">
      <formula>H25&gt;0</formula>
    </cfRule>
    <cfRule type="expression" dxfId="93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8" activePane="bottomLeft" state="frozen"/>
      <selection activeCell="A2" sqref="A2"/>
      <selection pane="bottomLeft" activeCell="I9" sqref="I9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90.95</v>
      </c>
      <c r="R4" s="495">
        <v>-8.0000000000000004E-4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3638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334.97000000000116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334.97000000000116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0.10141294508375684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2.506871907641561E-2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19.107142857142858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1097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49" t="s">
        <v>78</v>
      </c>
      <c r="P18" s="84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100.04500000000002</v>
      </c>
      <c r="W19" s="134"/>
    </row>
    <row r="20" spans="1:23" x14ac:dyDescent="0.25">
      <c r="O20" s="81">
        <v>1.0900000000000001</v>
      </c>
      <c r="P20" s="81">
        <f t="shared" ref="P20:P39" si="0">O20*$Q$4</f>
        <v>99.135500000000008</v>
      </c>
      <c r="W20" s="134"/>
    </row>
    <row r="21" spans="1:23" x14ac:dyDescent="0.25">
      <c r="O21" s="81">
        <v>1.08</v>
      </c>
      <c r="P21" s="81">
        <f t="shared" si="0"/>
        <v>98.226000000000013</v>
      </c>
      <c r="W21" s="134"/>
    </row>
    <row r="22" spans="1:23" x14ac:dyDescent="0.25">
      <c r="O22" s="81">
        <v>1.07</v>
      </c>
      <c r="P22" s="81">
        <f t="shared" si="0"/>
        <v>97.316500000000005</v>
      </c>
      <c r="W22" s="134"/>
    </row>
    <row r="23" spans="1:23" x14ac:dyDescent="0.25">
      <c r="O23" s="81">
        <v>1.06</v>
      </c>
      <c r="P23" s="81">
        <f t="shared" si="0"/>
        <v>96.407000000000011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95.497500000000002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94.588000000000008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93.6785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92.769000000000005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91.859499999999997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90.95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90.040500000000009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89.131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88.221500000000006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87.311999999999998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86.402500000000003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85.492999999999995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84.583500000000001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83.674000000000007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82.764500000000012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81.855000000000004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6" priority="25">
      <formula>F47&gt;0</formula>
    </cfRule>
    <cfRule type="expression" dxfId="935" priority="26">
      <formula>F47&lt;0</formula>
    </cfRule>
  </conditionalFormatting>
  <conditionalFormatting sqref="Q7">
    <cfRule type="expression" dxfId="934" priority="23">
      <formula>Q7&gt;0</formula>
    </cfRule>
    <cfRule type="expression" dxfId="933" priority="24">
      <formula>Q7&lt;0</formula>
    </cfRule>
  </conditionalFormatting>
  <conditionalFormatting sqref="Q8">
    <cfRule type="expression" dxfId="932" priority="21">
      <formula>Q8&gt;0</formula>
    </cfRule>
    <cfRule type="expression" dxfId="931" priority="22">
      <formula>Q8&lt;0</formula>
    </cfRule>
  </conditionalFormatting>
  <conditionalFormatting sqref="F25:F29 F34:F46">
    <cfRule type="expression" dxfId="930" priority="19">
      <formula>F25&gt;0</formula>
    </cfRule>
    <cfRule type="expression" dxfId="929" priority="20">
      <formula>F25&lt;0</formula>
    </cfRule>
  </conditionalFormatting>
  <conditionalFormatting sqref="H25:H29 H34:H46">
    <cfRule type="expression" dxfId="928" priority="17">
      <formula>H25&gt;0</formula>
    </cfRule>
    <cfRule type="expression" dxfId="927" priority="18">
      <formula>H25&lt;0</formula>
    </cfRule>
  </conditionalFormatting>
  <conditionalFormatting sqref="F89:F110">
    <cfRule type="expression" dxfId="926" priority="15">
      <formula>F89&gt;0</formula>
    </cfRule>
    <cfRule type="expression" dxfId="925" priority="16">
      <formula>F89&lt;0</formula>
    </cfRule>
  </conditionalFormatting>
  <conditionalFormatting sqref="H89:H110">
    <cfRule type="expression" dxfId="924" priority="13">
      <formula>H89&gt;0</formula>
    </cfRule>
    <cfRule type="expression" dxfId="923" priority="14">
      <formula>H89&lt;0</formula>
    </cfRule>
  </conditionalFormatting>
  <conditionalFormatting sqref="Q10">
    <cfRule type="expression" dxfId="922" priority="11">
      <formula>Q10&gt;0</formula>
    </cfRule>
    <cfRule type="expression" dxfId="921" priority="12">
      <formula>Q10&lt;0</formula>
    </cfRule>
  </conditionalFormatting>
  <conditionalFormatting sqref="J25:J32 J34:J38">
    <cfRule type="expression" dxfId="920" priority="9">
      <formula>J25&gt;0</formula>
    </cfRule>
    <cfRule type="expression" dxfId="919" priority="10">
      <formula>J25&lt;0</formula>
    </cfRule>
  </conditionalFormatting>
  <conditionalFormatting sqref="K25:K30">
    <cfRule type="expression" dxfId="918" priority="7">
      <formula>K25&gt;0</formula>
    </cfRule>
    <cfRule type="expression" dxfId="917" priority="8">
      <formula>K25&lt;0</formula>
    </cfRule>
  </conditionalFormatting>
  <conditionalFormatting sqref="L25:L38">
    <cfRule type="expression" dxfId="916" priority="5">
      <formula>L25&gt;0</formula>
    </cfRule>
    <cfRule type="expression" dxfId="915" priority="6">
      <formula>L25&lt;0</formula>
    </cfRule>
  </conditionalFormatting>
  <conditionalFormatting sqref="F30:F33">
    <cfRule type="expression" dxfId="914" priority="3">
      <formula>F30&gt;0</formula>
    </cfRule>
    <cfRule type="expression" dxfId="913" priority="4">
      <formula>F30&lt;0</formula>
    </cfRule>
  </conditionalFormatting>
  <conditionalFormatting sqref="H30:H33">
    <cfRule type="expression" dxfId="912" priority="1">
      <formula>H30&gt;0</formula>
    </cfRule>
    <cfRule type="expression" dxfId="911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74.859899999999996</v>
      </c>
      <c r="R4" s="495">
        <v>4.3E-3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7485.99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1009.3099999999995</v>
      </c>
      <c r="R7" s="29">
        <v>43283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549.98999999999978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7.9294982698961902E-2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18.325556915544674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9" t="s">
        <v>78</v>
      </c>
      <c r="P16" s="84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82.345889999999997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81.597290999999998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80.848692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80.100093000000001</v>
      </c>
      <c r="Q20" s="2"/>
      <c r="W20" s="134"/>
    </row>
    <row r="21" spans="1:23" x14ac:dyDescent="0.25">
      <c r="O21" s="81">
        <v>1.06</v>
      </c>
      <c r="P21" s="81">
        <f t="shared" si="0"/>
        <v>79.351494000000002</v>
      </c>
      <c r="Q21" s="2"/>
      <c r="W21" s="134"/>
    </row>
    <row r="22" spans="1:23" x14ac:dyDescent="0.25">
      <c r="O22" s="81">
        <v>1.05</v>
      </c>
      <c r="P22" s="81">
        <f t="shared" si="0"/>
        <v>78.602895000000004</v>
      </c>
      <c r="Q22" s="2"/>
      <c r="W22" s="134"/>
    </row>
    <row r="23" spans="1:23" x14ac:dyDescent="0.25">
      <c r="O23" s="81">
        <v>1.04</v>
      </c>
      <c r="P23" s="81">
        <f t="shared" si="0"/>
        <v>77.854296000000005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1.03</v>
      </c>
      <c r="P24" s="81">
        <f t="shared" si="0"/>
        <v>77.105696999999992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76.357097999999993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75.608498999999995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74.859899999999996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74.111300999999997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73.362701999999999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72.614103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71.865503999999987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71.116904999999988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70.36830599999999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O34" s="81">
        <v>0.93</v>
      </c>
      <c r="P34" s="81">
        <f t="shared" si="0"/>
        <v>69.619707000000005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O35" s="81">
        <v>0.92</v>
      </c>
      <c r="P35" s="81">
        <f t="shared" si="0"/>
        <v>68.871107999999992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68.122508999999994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67.373909999999995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10" priority="29">
      <formula>F25&gt;0</formula>
    </cfRule>
    <cfRule type="expression" dxfId="909" priority="30">
      <formula>F25&lt;0</formula>
    </cfRule>
  </conditionalFormatting>
  <conditionalFormatting sqref="Q7">
    <cfRule type="expression" dxfId="908" priority="27">
      <formula>Q7&gt;0</formula>
    </cfRule>
    <cfRule type="expression" dxfId="907" priority="28">
      <formula>Q7&lt;0</formula>
    </cfRule>
  </conditionalFormatting>
  <conditionalFormatting sqref="Q8">
    <cfRule type="expression" dxfId="906" priority="25">
      <formula>Q8&gt;0</formula>
    </cfRule>
    <cfRule type="expression" dxfId="905" priority="26">
      <formula>Q8&lt;0</formula>
    </cfRule>
  </conditionalFormatting>
  <conditionalFormatting sqref="F25:F43 F49 F51:F58">
    <cfRule type="expression" dxfId="904" priority="23">
      <formula>F25&gt;0</formula>
    </cfRule>
    <cfRule type="expression" dxfId="903" priority="24">
      <formula>F25&lt;0</formula>
    </cfRule>
  </conditionalFormatting>
  <conditionalFormatting sqref="H25:H43 H49 H51:H58">
    <cfRule type="expression" dxfId="902" priority="21">
      <formula>H25&gt;0</formula>
    </cfRule>
    <cfRule type="expression" dxfId="901" priority="22">
      <formula>H25&lt;0</formula>
    </cfRule>
  </conditionalFormatting>
  <conditionalFormatting sqref="F89:F110">
    <cfRule type="expression" dxfId="900" priority="19">
      <formula>F89&gt;0</formula>
    </cfRule>
    <cfRule type="expression" dxfId="899" priority="20">
      <formula>F89&lt;0</formula>
    </cfRule>
  </conditionalFormatting>
  <conditionalFormatting sqref="H89:H110">
    <cfRule type="expression" dxfId="898" priority="17">
      <formula>H89&gt;0</formula>
    </cfRule>
    <cfRule type="expression" dxfId="897" priority="18">
      <formula>H89&lt;0</formula>
    </cfRule>
  </conditionalFormatting>
  <conditionalFormatting sqref="Q10">
    <cfRule type="expression" dxfId="896" priority="15">
      <formula>Q10&gt;0</formula>
    </cfRule>
    <cfRule type="expression" dxfId="895" priority="16">
      <formula>Q10&lt;0</formula>
    </cfRule>
  </conditionalFormatting>
  <conditionalFormatting sqref="J36:J38">
    <cfRule type="expression" dxfId="894" priority="13">
      <formula>J36&gt;0</formula>
    </cfRule>
    <cfRule type="expression" dxfId="893" priority="14">
      <formula>J36&lt;0</formula>
    </cfRule>
  </conditionalFormatting>
  <conditionalFormatting sqref="K36:K38">
    <cfRule type="expression" dxfId="892" priority="11">
      <formula>K36&gt;0</formula>
    </cfRule>
    <cfRule type="expression" dxfId="891" priority="12">
      <formula>K36&lt;0</formula>
    </cfRule>
  </conditionalFormatting>
  <conditionalFormatting sqref="L25:L38">
    <cfRule type="expression" dxfId="890" priority="9">
      <formula>L25&gt;0</formula>
    </cfRule>
    <cfRule type="expression" dxfId="889" priority="10">
      <formula>L25&lt;0</formula>
    </cfRule>
  </conditionalFormatting>
  <conditionalFormatting sqref="F44:F48">
    <cfRule type="expression" dxfId="888" priority="7">
      <formula>F44&gt;0</formula>
    </cfRule>
    <cfRule type="expression" dxfId="887" priority="8">
      <formula>F44&lt;0</formula>
    </cfRule>
  </conditionalFormatting>
  <conditionalFormatting sqref="H44:H48">
    <cfRule type="expression" dxfId="886" priority="5">
      <formula>H44&gt;0</formula>
    </cfRule>
    <cfRule type="expression" dxfId="885" priority="6">
      <formula>H44&lt;0</formula>
    </cfRule>
  </conditionalFormatting>
  <conditionalFormatting sqref="F50">
    <cfRule type="expression" dxfId="884" priority="3">
      <formula>F50&gt;0</formula>
    </cfRule>
    <cfRule type="expression" dxfId="883" priority="4">
      <formula>F50&lt;0</formula>
    </cfRule>
  </conditionalFormatting>
  <conditionalFormatting sqref="H50">
    <cfRule type="expression" dxfId="882" priority="1">
      <formula>H50&gt;0</formula>
    </cfRule>
    <cfRule type="expression" dxfId="881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7" si="0">H2*I2-J2</f>
        <v>4989.88</v>
      </c>
      <c r="L2" s="72">
        <v>43129</v>
      </c>
      <c r="M2" s="43">
        <v>26</v>
      </c>
      <c r="O2" s="11" t="s">
        <v>57</v>
      </c>
      <c r="Q2" s="421">
        <f>C18-H18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179</v>
      </c>
      <c r="AJ2">
        <f>$Q$2*$Q$4</f>
        <v>9500</v>
      </c>
      <c r="AK2">
        <f ca="1">AJ2*EXP(-$X$2 * AI2/365.25)</f>
        <v>16128.261612569824</v>
      </c>
      <c r="AM2" s="2">
        <f>Q10</f>
        <v>0</v>
      </c>
      <c r="AO2">
        <f ca="1" xml:space="preserve"> (SUM(AB:AB) - SUM(AE:AE) - SUM(AH:AH) - SUM(AK:AK))/SUM(AB:AB)</f>
        <v>-0.11627435753073688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1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30.841699999999999</v>
      </c>
      <c r="U3" t="s">
        <v>1020</v>
      </c>
      <c r="W3" s="134"/>
      <c r="Z3">
        <f t="shared" ref="Z3:Z17" si="2">B3-$B$2</f>
        <v>0</v>
      </c>
      <c r="AA3" s="2">
        <f t="shared" ref="AA3:AA17" si="3">F3</f>
        <v>1805.9999999999998</v>
      </c>
      <c r="AB3">
        <f t="shared" ref="AB3:AB17" si="4">AA3*EXP(-Z3/365.25 * $X$2)</f>
        <v>1805.9999999999998</v>
      </c>
      <c r="AC3">
        <f t="shared" ref="AC3:AC17" si="5">G3-$B$2</f>
        <v>84</v>
      </c>
      <c r="AD3" s="2">
        <f t="shared" ref="AD3:AD17" si="6">K3</f>
        <v>2202.3399999999997</v>
      </c>
      <c r="AE3">
        <f t="shared" ref="AE3:AE17" si="7">AD3*EXP(-AC3/365.25 * $X$2)</f>
        <v>2823.2769657080917</v>
      </c>
      <c r="AF3">
        <f t="shared" ref="AF3:AF17" si="8">L3-$B$2</f>
        <v>121</v>
      </c>
      <c r="AG3" s="2">
        <f t="shared" ref="AG3:AG17" si="9">M3</f>
        <v>130</v>
      </c>
      <c r="AH3">
        <f t="shared" ref="AH3:AH17" si="10">AG3*EXP(-AF3/365.25 * $X$2)</f>
        <v>185.92005905832642</v>
      </c>
      <c r="AI3" s="2">
        <f t="shared" ref="AI3:AI17" ca="1" si="11">TODAY()-$B$2</f>
        <v>179</v>
      </c>
      <c r="AJ3">
        <f t="shared" ref="AJ3:AJ17" si="12">$Q$2*$Q$4</f>
        <v>9500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1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4"/>
      <c r="M4" s="4"/>
      <c r="O4" s="11" t="s">
        <v>66</v>
      </c>
      <c r="Q4" s="54">
        <v>23.75</v>
      </c>
      <c r="R4" s="495">
        <v>-1.5299999999999999E-2</v>
      </c>
      <c r="U4" t="s">
        <v>1021</v>
      </c>
      <c r="W4" s="134"/>
      <c r="Z4">
        <f t="shared" si="2"/>
        <v>32</v>
      </c>
      <c r="AA4" s="2">
        <f t="shared" si="3"/>
        <v>3668</v>
      </c>
      <c r="AB4">
        <f t="shared" si="4"/>
        <v>4032.0167200469227</v>
      </c>
      <c r="AC4">
        <f t="shared" si="5"/>
        <v>98</v>
      </c>
      <c r="AD4" s="2">
        <f t="shared" si="6"/>
        <v>2297.9499999999998</v>
      </c>
      <c r="AE4">
        <f t="shared" si="7"/>
        <v>3070.3499595755325</v>
      </c>
      <c r="AF4">
        <f t="shared" si="8"/>
        <v>-43098</v>
      </c>
      <c r="AG4" s="2">
        <f t="shared" si="9"/>
        <v>0</v>
      </c>
      <c r="AH4">
        <f t="shared" si="10"/>
        <v>0</v>
      </c>
      <c r="AI4" s="2">
        <f t="shared" ca="1" si="11"/>
        <v>179</v>
      </c>
      <c r="AJ4">
        <f t="shared" si="12"/>
        <v>9500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1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9500</v>
      </c>
      <c r="W5" s="134"/>
      <c r="Z5">
        <f t="shared" si="2"/>
        <v>34</v>
      </c>
      <c r="AA5" s="2">
        <f t="shared" si="3"/>
        <v>3416.3399999999997</v>
      </c>
      <c r="AB5">
        <f t="shared" si="4"/>
        <v>3777.6558943258942</v>
      </c>
      <c r="AC5">
        <f t="shared" si="5"/>
        <v>119</v>
      </c>
      <c r="AD5" s="2">
        <f t="shared" si="6"/>
        <v>2388.94</v>
      </c>
      <c r="AE5">
        <f t="shared" si="7"/>
        <v>3396.4077741528404</v>
      </c>
      <c r="AF5">
        <f t="shared" si="8"/>
        <v>-43098</v>
      </c>
      <c r="AG5" s="2">
        <f t="shared" si="9"/>
        <v>0</v>
      </c>
      <c r="AH5">
        <f t="shared" si="10"/>
        <v>0</v>
      </c>
      <c r="AI5" s="2">
        <f t="shared" ca="1" si="11"/>
        <v>179</v>
      </c>
      <c r="AJ5">
        <f t="shared" si="12"/>
        <v>9500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 t="shared" ref="F6" si="13"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12336.68</v>
      </c>
      <c r="T6" s="1">
        <v>43032</v>
      </c>
      <c r="U6" t="s">
        <v>884</v>
      </c>
      <c r="W6" s="134"/>
      <c r="Z6">
        <f t="shared" si="2"/>
        <v>34</v>
      </c>
      <c r="AA6" s="2">
        <f t="shared" si="3"/>
        <v>105.66</v>
      </c>
      <c r="AB6">
        <f t="shared" si="4"/>
        <v>116.83471838121322</v>
      </c>
      <c r="AC6">
        <f t="shared" si="5"/>
        <v>174</v>
      </c>
      <c r="AD6" s="2">
        <f t="shared" si="6"/>
        <v>4975.9399999999996</v>
      </c>
      <c r="AE6">
        <f t="shared" si="7"/>
        <v>8323.7362072375236</v>
      </c>
      <c r="AF6">
        <f t="shared" si="8"/>
        <v>-43098</v>
      </c>
      <c r="AG6" s="2">
        <f t="shared" si="9"/>
        <v>0</v>
      </c>
      <c r="AH6">
        <f t="shared" si="10"/>
        <v>0</v>
      </c>
      <c r="AI6" s="2">
        <f t="shared" ca="1" si="11"/>
        <v>179</v>
      </c>
      <c r="AJ6">
        <f t="shared" si="12"/>
        <v>9500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5" si="14">C7*D7+E7</f>
        <v>2828</v>
      </c>
      <c r="G7" s="72">
        <v>43276</v>
      </c>
      <c r="H7" s="176">
        <v>100</v>
      </c>
      <c r="I7" s="3">
        <v>25.28</v>
      </c>
      <c r="J7" s="3">
        <v>0.03</v>
      </c>
      <c r="K7" s="3">
        <f t="shared" si="0"/>
        <v>2527.9699999999998</v>
      </c>
      <c r="L7" s="4"/>
      <c r="M7" s="4"/>
      <c r="O7" s="11" t="s">
        <v>178</v>
      </c>
      <c r="Q7" s="2">
        <f>Q10+Q8</f>
        <v>-2836.6800000000003</v>
      </c>
      <c r="R7">
        <v>300</v>
      </c>
      <c r="T7" s="1"/>
      <c r="W7" s="134"/>
      <c r="Z7">
        <f t="shared" si="2"/>
        <v>62</v>
      </c>
      <c r="AA7" s="2">
        <f t="shared" si="3"/>
        <v>2828</v>
      </c>
      <c r="AB7">
        <f t="shared" si="4"/>
        <v>3397.0120510903221</v>
      </c>
      <c r="AC7">
        <f t="shared" si="5"/>
        <v>178</v>
      </c>
      <c r="AD7" s="2">
        <f t="shared" si="6"/>
        <v>2527.9699999999998</v>
      </c>
      <c r="AE7">
        <f t="shared" si="7"/>
        <v>4279.092885300427</v>
      </c>
      <c r="AF7">
        <f t="shared" si="8"/>
        <v>-43098</v>
      </c>
      <c r="AG7" s="2">
        <f t="shared" si="9"/>
        <v>0</v>
      </c>
      <c r="AH7">
        <f t="shared" si="10"/>
        <v>0</v>
      </c>
      <c r="AI7" s="2">
        <f t="shared" ca="1" si="11"/>
        <v>179</v>
      </c>
      <c r="AJ7">
        <f t="shared" si="12"/>
        <v>9500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4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-2836.6800000000003</v>
      </c>
      <c r="T8" s="1">
        <v>43121</v>
      </c>
      <c r="U8" t="s">
        <v>903</v>
      </c>
      <c r="W8" s="134"/>
      <c r="Z8">
        <f t="shared" si="2"/>
        <v>62</v>
      </c>
      <c r="AA8" s="2">
        <f t="shared" si="3"/>
        <v>2400</v>
      </c>
      <c r="AB8">
        <f t="shared" si="4"/>
        <v>2882.8956586339368</v>
      </c>
      <c r="AC8">
        <f t="shared" si="5"/>
        <v>-43098</v>
      </c>
      <c r="AD8" s="2">
        <f t="shared" si="6"/>
        <v>0</v>
      </c>
      <c r="AE8">
        <f t="shared" si="7"/>
        <v>0</v>
      </c>
      <c r="AF8">
        <f t="shared" si="8"/>
        <v>-43098</v>
      </c>
      <c r="AG8" s="2">
        <f t="shared" si="9"/>
        <v>0</v>
      </c>
      <c r="AH8">
        <f t="shared" si="10"/>
        <v>0</v>
      </c>
      <c r="AI8" s="2">
        <f t="shared" ca="1" si="11"/>
        <v>179</v>
      </c>
      <c r="AJ8">
        <f t="shared" si="12"/>
        <v>9500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4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-0.22993868690766076</v>
      </c>
      <c r="W9" s="134"/>
      <c r="Z9">
        <f t="shared" si="2"/>
        <v>62</v>
      </c>
      <c r="AA9" s="2">
        <f t="shared" si="3"/>
        <v>2258</v>
      </c>
      <c r="AB9">
        <f t="shared" si="4"/>
        <v>2712.3243321647624</v>
      </c>
      <c r="AC9">
        <f t="shared" si="5"/>
        <v>-43098</v>
      </c>
      <c r="AD9" s="2">
        <f t="shared" si="6"/>
        <v>0</v>
      </c>
      <c r="AE9">
        <f t="shared" si="7"/>
        <v>0</v>
      </c>
      <c r="AF9">
        <f t="shared" si="8"/>
        <v>-43098</v>
      </c>
      <c r="AG9" s="2">
        <f t="shared" si="9"/>
        <v>0</v>
      </c>
      <c r="AH9">
        <f t="shared" si="10"/>
        <v>0</v>
      </c>
      <c r="AI9" s="2">
        <f t="shared" ca="1" si="11"/>
        <v>179</v>
      </c>
      <c r="AJ9">
        <f t="shared" si="12"/>
        <v>9500</v>
      </c>
    </row>
    <row r="10" spans="1:41" x14ac:dyDescent="0.25">
      <c r="B10" s="72">
        <v>43178</v>
      </c>
      <c r="C10" s="7">
        <v>100</v>
      </c>
      <c r="D10" s="43">
        <v>23.28</v>
      </c>
      <c r="E10" s="43">
        <v>0</v>
      </c>
      <c r="F10" s="43">
        <f t="shared" si="14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2"/>
        <v>80</v>
      </c>
      <c r="AA10" s="2">
        <f t="shared" si="3"/>
        <v>2328</v>
      </c>
      <c r="AB10">
        <f t="shared" si="4"/>
        <v>2949.2763579708198</v>
      </c>
      <c r="AC10">
        <f t="shared" si="5"/>
        <v>-43098</v>
      </c>
      <c r="AD10" s="2">
        <f t="shared" si="6"/>
        <v>0</v>
      </c>
      <c r="AE10">
        <f t="shared" si="7"/>
        <v>0</v>
      </c>
      <c r="AF10">
        <f t="shared" si="8"/>
        <v>-43098</v>
      </c>
      <c r="AG10" s="2">
        <f t="shared" si="9"/>
        <v>0</v>
      </c>
      <c r="AH10">
        <f t="shared" si="10"/>
        <v>0</v>
      </c>
      <c r="AI10" s="2">
        <f t="shared" ca="1" si="11"/>
        <v>179</v>
      </c>
      <c r="AJ10">
        <f t="shared" si="12"/>
        <v>9500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4"/>
        <v>2143.7000000000003</v>
      </c>
      <c r="H11" s="70"/>
      <c r="O11" s="11" t="s">
        <v>176</v>
      </c>
      <c r="P11" s="33"/>
      <c r="Q11" s="134">
        <f>R11*4/Q4</f>
        <v>4.3789473684210531E-2</v>
      </c>
      <c r="R11">
        <f>0.26</f>
        <v>0.26</v>
      </c>
      <c r="W11" s="134"/>
      <c r="Z11">
        <f t="shared" si="2"/>
        <v>83</v>
      </c>
      <c r="AA11" s="2">
        <f t="shared" si="3"/>
        <v>2143.7000000000003</v>
      </c>
      <c r="AB11">
        <f t="shared" si="4"/>
        <v>2739.9899502560088</v>
      </c>
      <c r="AC11">
        <f t="shared" si="5"/>
        <v>-43098</v>
      </c>
      <c r="AD11" s="2">
        <f t="shared" si="6"/>
        <v>0</v>
      </c>
      <c r="AE11">
        <f t="shared" si="7"/>
        <v>0</v>
      </c>
      <c r="AF11">
        <f t="shared" si="8"/>
        <v>-43098</v>
      </c>
      <c r="AG11" s="2">
        <f t="shared" si="9"/>
        <v>0</v>
      </c>
      <c r="AH11">
        <f t="shared" si="10"/>
        <v>0</v>
      </c>
      <c r="AI11" s="2">
        <f t="shared" ca="1" si="11"/>
        <v>179</v>
      </c>
      <c r="AJ11">
        <f t="shared" si="12"/>
        <v>9500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4"/>
        <v>2210</v>
      </c>
      <c r="H12" s="70"/>
      <c r="O12" s="11" t="s">
        <v>948</v>
      </c>
      <c r="Q12" s="1"/>
      <c r="T12" s="1">
        <v>43223</v>
      </c>
      <c r="U12" t="s">
        <v>1061</v>
      </c>
      <c r="W12" s="134"/>
      <c r="Z12">
        <f t="shared" si="2"/>
        <v>84</v>
      </c>
      <c r="AA12" s="2">
        <f t="shared" si="3"/>
        <v>2210</v>
      </c>
      <c r="AB12">
        <f t="shared" si="4"/>
        <v>2833.0966581975918</v>
      </c>
      <c r="AC12">
        <f t="shared" si="5"/>
        <v>-43098</v>
      </c>
      <c r="AD12" s="2">
        <f t="shared" si="6"/>
        <v>0</v>
      </c>
      <c r="AE12">
        <f t="shared" si="7"/>
        <v>0</v>
      </c>
      <c r="AF12">
        <f t="shared" si="8"/>
        <v>-43098</v>
      </c>
      <c r="AG12" s="2">
        <f t="shared" si="9"/>
        <v>0</v>
      </c>
      <c r="AH12">
        <f t="shared" si="10"/>
        <v>0</v>
      </c>
      <c r="AI12" s="2">
        <f t="shared" ca="1" si="11"/>
        <v>179</v>
      </c>
      <c r="AJ12">
        <f t="shared" si="12"/>
        <v>9500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4"/>
        <v>2327</v>
      </c>
      <c r="H13" s="70"/>
      <c r="O13" s="11" t="s">
        <v>975</v>
      </c>
      <c r="Q13">
        <f>Q4/(1.65+1.75)*2</f>
        <v>13.970588235294118</v>
      </c>
      <c r="U13" t="s">
        <v>1062</v>
      </c>
      <c r="W13" s="134"/>
      <c r="Z13">
        <f t="shared" si="2"/>
        <v>122</v>
      </c>
      <c r="AA13" s="2">
        <f t="shared" si="3"/>
        <v>2327</v>
      </c>
      <c r="AB13">
        <f t="shared" si="4"/>
        <v>3337.8240212501041</v>
      </c>
      <c r="AC13">
        <f t="shared" si="5"/>
        <v>-43098</v>
      </c>
      <c r="AD13" s="2">
        <f t="shared" si="6"/>
        <v>0</v>
      </c>
      <c r="AE13">
        <f t="shared" si="7"/>
        <v>0</v>
      </c>
      <c r="AF13">
        <f t="shared" si="8"/>
        <v>-43098</v>
      </c>
      <c r="AG13" s="2">
        <f t="shared" si="9"/>
        <v>0</v>
      </c>
      <c r="AH13">
        <f t="shared" si="10"/>
        <v>0</v>
      </c>
      <c r="AI13" s="2">
        <f t="shared" ca="1" si="11"/>
        <v>179</v>
      </c>
      <c r="AJ13">
        <f t="shared" si="12"/>
        <v>9500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4"/>
        <v>2208</v>
      </c>
      <c r="G14" s="4"/>
      <c r="H14" s="70"/>
      <c r="O14" s="11" t="s">
        <v>1113</v>
      </c>
      <c r="Q14" s="822">
        <v>-1.08</v>
      </c>
      <c r="U14" t="s">
        <v>1063</v>
      </c>
      <c r="W14" s="134"/>
      <c r="Z14">
        <f t="shared" si="2"/>
        <v>130</v>
      </c>
      <c r="AA14" s="2">
        <f t="shared" si="3"/>
        <v>2208</v>
      </c>
      <c r="AB14">
        <f t="shared" si="4"/>
        <v>3242.9434153422349</v>
      </c>
      <c r="AC14">
        <f t="shared" si="5"/>
        <v>-43098</v>
      </c>
      <c r="AD14" s="2">
        <f t="shared" si="6"/>
        <v>0</v>
      </c>
      <c r="AE14">
        <f t="shared" si="7"/>
        <v>0</v>
      </c>
      <c r="AF14">
        <f t="shared" si="8"/>
        <v>-43098</v>
      </c>
      <c r="AG14" s="2">
        <f t="shared" si="9"/>
        <v>0</v>
      </c>
      <c r="AH14">
        <f t="shared" si="10"/>
        <v>0</v>
      </c>
      <c r="AI14" s="2">
        <f t="shared" ca="1" si="11"/>
        <v>179</v>
      </c>
      <c r="AJ14">
        <f t="shared" si="12"/>
        <v>9500</v>
      </c>
    </row>
    <row r="15" spans="1:41" x14ac:dyDescent="0.25">
      <c r="B15" s="474">
        <v>43276</v>
      </c>
      <c r="C15" s="4">
        <v>100</v>
      </c>
      <c r="D15" s="3">
        <v>23.58</v>
      </c>
      <c r="E15" s="3">
        <v>0</v>
      </c>
      <c r="F15" s="3">
        <f t="shared" si="14"/>
        <v>2358</v>
      </c>
      <c r="H15" s="70"/>
      <c r="O15" s="11" t="s">
        <v>1064</v>
      </c>
      <c r="Q15" s="29">
        <v>43226</v>
      </c>
      <c r="W15" s="134"/>
      <c r="Z15">
        <f t="shared" si="2"/>
        <v>178</v>
      </c>
      <c r="AA15" s="2">
        <f t="shared" si="3"/>
        <v>2358</v>
      </c>
      <c r="AB15">
        <f t="shared" si="4"/>
        <v>3991.3847963141998</v>
      </c>
      <c r="AC15">
        <f t="shared" si="5"/>
        <v>-43098</v>
      </c>
      <c r="AD15" s="2">
        <f t="shared" si="6"/>
        <v>0</v>
      </c>
      <c r="AE15">
        <f t="shared" si="7"/>
        <v>0</v>
      </c>
      <c r="AF15">
        <f t="shared" si="8"/>
        <v>-43098</v>
      </c>
      <c r="AG15" s="2">
        <f t="shared" si="9"/>
        <v>0</v>
      </c>
      <c r="AH15">
        <f t="shared" si="10"/>
        <v>0</v>
      </c>
      <c r="AI15" s="2">
        <f t="shared" ca="1" si="11"/>
        <v>179</v>
      </c>
      <c r="AJ15">
        <f t="shared" si="12"/>
        <v>9500</v>
      </c>
    </row>
    <row r="16" spans="1:41" x14ac:dyDescent="0.25">
      <c r="H16" s="70"/>
      <c r="T16" s="1">
        <v>43228</v>
      </c>
      <c r="U16" t="s">
        <v>1075</v>
      </c>
      <c r="W16" s="134"/>
      <c r="Z16">
        <f t="shared" si="2"/>
        <v>-43098</v>
      </c>
      <c r="AA16" s="2">
        <f t="shared" si="3"/>
        <v>0</v>
      </c>
      <c r="AB16">
        <f t="shared" si="4"/>
        <v>0</v>
      </c>
      <c r="AC16">
        <f t="shared" si="5"/>
        <v>-43098</v>
      </c>
      <c r="AD16" s="2">
        <f t="shared" si="6"/>
        <v>0</v>
      </c>
      <c r="AE16">
        <f t="shared" si="7"/>
        <v>0</v>
      </c>
      <c r="AF16">
        <f t="shared" si="8"/>
        <v>-43098</v>
      </c>
      <c r="AG16" s="2">
        <f t="shared" si="9"/>
        <v>0</v>
      </c>
      <c r="AH16">
        <f t="shared" si="10"/>
        <v>0</v>
      </c>
      <c r="AI16" s="2">
        <f t="shared" ca="1" si="11"/>
        <v>179</v>
      </c>
      <c r="AJ16">
        <f t="shared" si="12"/>
        <v>9500</v>
      </c>
    </row>
    <row r="17" spans="1:39" x14ac:dyDescent="0.25">
      <c r="W17" s="134"/>
      <c r="Z17">
        <f t="shared" si="2"/>
        <v>-43098</v>
      </c>
      <c r="AA17" s="2">
        <f t="shared" si="3"/>
        <v>0</v>
      </c>
      <c r="AB17">
        <f t="shared" si="4"/>
        <v>0</v>
      </c>
      <c r="AC17">
        <f t="shared" si="5"/>
        <v>-43098</v>
      </c>
      <c r="AD17" s="2">
        <f t="shared" si="6"/>
        <v>0</v>
      </c>
      <c r="AE17">
        <f t="shared" si="7"/>
        <v>0</v>
      </c>
      <c r="AF17">
        <f t="shared" si="8"/>
        <v>-43098</v>
      </c>
      <c r="AG17" s="2">
        <f t="shared" si="9"/>
        <v>0</v>
      </c>
      <c r="AH17">
        <f t="shared" si="10"/>
        <v>0</v>
      </c>
      <c r="AI17" s="2">
        <f t="shared" ca="1" si="11"/>
        <v>179</v>
      </c>
      <c r="AJ17">
        <f t="shared" si="12"/>
        <v>9500</v>
      </c>
      <c r="AM17" s="2"/>
    </row>
    <row r="18" spans="1:39" ht="20.25" thickBot="1" x14ac:dyDescent="0.35">
      <c r="A18" s="31" t="s">
        <v>81</v>
      </c>
      <c r="B18" s="14"/>
      <c r="C18" s="14">
        <f>SUM(C2:C15)</f>
        <v>1197</v>
      </c>
      <c r="D18" s="18"/>
      <c r="E18" s="18"/>
      <c r="F18" s="18">
        <f>SUM(F2:F15)</f>
        <v>31875.7</v>
      </c>
      <c r="G18" s="14"/>
      <c r="H18" s="71">
        <f>SUM(H2:H7)</f>
        <v>797</v>
      </c>
      <c r="I18" s="18"/>
      <c r="J18" s="18"/>
      <c r="K18" s="18">
        <f>SUM(K2:K7)</f>
        <v>19383.02</v>
      </c>
      <c r="L18" s="14"/>
      <c r="M18" s="18">
        <f>SUM(M2:M10)</f>
        <v>156</v>
      </c>
      <c r="O18" s="849" t="s">
        <v>78</v>
      </c>
      <c r="P18" s="849"/>
      <c r="T18" s="1">
        <v>43236</v>
      </c>
      <c r="U18" t="s">
        <v>1089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797</v>
      </c>
      <c r="D19" s="343"/>
      <c r="E19" s="343"/>
      <c r="F19" s="344">
        <f>SumByColor($A$19,F2:F17)</f>
        <v>15875</v>
      </c>
      <c r="G19" s="343"/>
      <c r="H19" s="343">
        <f>SumByColor($A$19,H2:H17)</f>
        <v>697</v>
      </c>
      <c r="I19" s="343"/>
      <c r="J19" s="343"/>
      <c r="K19" s="344">
        <f>SumByColor($A$19,K2:K17)</f>
        <v>16855</v>
      </c>
      <c r="L19" s="343"/>
      <c r="M19" s="344">
        <f>SumByColor($A$19,M2:M17)</f>
        <v>156</v>
      </c>
      <c r="O19" s="81">
        <v>1.1000000000000001</v>
      </c>
      <c r="P19" s="81">
        <f>O19*$Q$4</f>
        <v>26.125000000000004</v>
      </c>
      <c r="W19" s="134"/>
    </row>
    <row r="20" spans="1:39" x14ac:dyDescent="0.25">
      <c r="O20" s="81">
        <v>1.0900000000000001</v>
      </c>
      <c r="P20" s="81">
        <f t="shared" ref="P20:P39" si="15">O20*$Q$4</f>
        <v>25.887500000000003</v>
      </c>
      <c r="T20" s="1">
        <v>43244</v>
      </c>
      <c r="U20" t="s">
        <v>1103</v>
      </c>
      <c r="W20" s="134"/>
    </row>
    <row r="21" spans="1:39" x14ac:dyDescent="0.25">
      <c r="O21" s="81">
        <v>1.08</v>
      </c>
      <c r="P21" s="81">
        <f t="shared" si="15"/>
        <v>25.650000000000002</v>
      </c>
      <c r="W21" s="134"/>
    </row>
    <row r="22" spans="1:39" x14ac:dyDescent="0.25">
      <c r="O22" s="81">
        <v>1.07</v>
      </c>
      <c r="P22" s="81">
        <f t="shared" si="15"/>
        <v>25.412500000000001</v>
      </c>
      <c r="W22" s="134"/>
    </row>
    <row r="23" spans="1:39" x14ac:dyDescent="0.25">
      <c r="O23" s="81">
        <v>1.06</v>
      </c>
      <c r="P23" s="81">
        <f t="shared" si="15"/>
        <v>25.175000000000001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5"/>
        <v>24.9375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6">C25*(E25-D25)</f>
        <v>-11.999999999999744</v>
      </c>
      <c r="G25" s="39">
        <f t="shared" ref="G25" si="17">D25*C25</f>
        <v>3625</v>
      </c>
      <c r="H25" s="222">
        <f t="shared" ref="H25" si="18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5"/>
        <v>24.7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9">C26*(E26-D26)</f>
        <v>142.99999999999997</v>
      </c>
      <c r="G26" s="39">
        <f t="shared" ref="G26" si="20">D26*C26</f>
        <v>3625</v>
      </c>
      <c r="H26" s="222">
        <f t="shared" ref="H26" si="21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5"/>
        <v>24.462500000000002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2">C27*(E27-D27)</f>
        <v>60.000000000000142</v>
      </c>
      <c r="G27" s="39">
        <f t="shared" ref="G27" si="23">D27*C27</f>
        <v>3625</v>
      </c>
      <c r="H27" s="222">
        <f t="shared" ref="H27" si="24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5"/>
        <v>24.225000000000001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5">C28*(E28-D28)</f>
        <v>176.9999999999996</v>
      </c>
      <c r="G28" s="39">
        <f t="shared" ref="G28:G35" si="26">D28*C28</f>
        <v>3599</v>
      </c>
      <c r="H28" s="222">
        <f t="shared" ref="H28:H35" si="27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5"/>
        <v>23.987500000000001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5"/>
        <v>81.000000000000227</v>
      </c>
      <c r="G29" s="39">
        <f t="shared" si="26"/>
        <v>7267</v>
      </c>
      <c r="H29" s="222">
        <f t="shared" si="27"/>
        <v>1.1146277693683806E-2</v>
      </c>
      <c r="I29" s="39"/>
      <c r="J29" s="39"/>
      <c r="K29" s="39"/>
      <c r="L29" s="155"/>
      <c r="O29" s="81">
        <v>1</v>
      </c>
      <c r="P29" s="81">
        <f t="shared" si="15"/>
        <v>23.75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5"/>
        <v>-90.990000000000038</v>
      </c>
      <c r="G30" s="39">
        <f t="shared" si="26"/>
        <v>10788.99</v>
      </c>
      <c r="H30" s="222">
        <f t="shared" si="27"/>
        <v>-8.4335975842039015E-3</v>
      </c>
      <c r="I30" s="39"/>
      <c r="J30" s="39"/>
      <c r="K30" s="39"/>
      <c r="L30" s="155"/>
      <c r="O30" s="81">
        <v>0.99</v>
      </c>
      <c r="P30" s="81">
        <f t="shared" si="15"/>
        <v>23.512499999999999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5"/>
        <v>-489.98999999999955</v>
      </c>
      <c r="G31" s="39">
        <f t="shared" si="26"/>
        <v>10788.99</v>
      </c>
      <c r="H31" s="222">
        <f t="shared" si="27"/>
        <v>-4.5415743271612963E-2</v>
      </c>
      <c r="I31" s="39"/>
      <c r="J31" s="39"/>
      <c r="K31" s="39"/>
      <c r="L31" s="155"/>
      <c r="O31" s="81">
        <v>0.98</v>
      </c>
      <c r="P31" s="81">
        <f t="shared" si="15"/>
        <v>23.274999999999999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5"/>
        <v>-3975.9999999999991</v>
      </c>
      <c r="G32" s="39">
        <f t="shared" si="26"/>
        <v>13616</v>
      </c>
      <c r="H32" s="222">
        <f t="shared" si="27"/>
        <v>-0.29200940070505282</v>
      </c>
      <c r="I32" s="39"/>
      <c r="J32" s="39"/>
      <c r="K32" s="39"/>
      <c r="L32" s="155"/>
      <c r="O32" s="81">
        <v>0.97</v>
      </c>
      <c r="P32" s="81">
        <f t="shared" si="15"/>
        <v>23.037499999999998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5"/>
        <v>-3965</v>
      </c>
      <c r="G33" s="39">
        <f t="shared" si="26"/>
        <v>16015</v>
      </c>
      <c r="H33" s="222">
        <f t="shared" si="27"/>
        <v>-0.2475803933812051</v>
      </c>
      <c r="I33" s="39"/>
      <c r="J33" s="39"/>
      <c r="K33" s="39"/>
      <c r="L33" s="155"/>
      <c r="O33" s="81">
        <v>0.96</v>
      </c>
      <c r="P33" s="81">
        <f t="shared" si="15"/>
        <v>22.8</v>
      </c>
      <c r="W33" s="134"/>
    </row>
    <row r="34" spans="1:23" x14ac:dyDescent="0.25">
      <c r="B34" s="184">
        <v>43160</v>
      </c>
      <c r="C34" s="421">
        <v>600</v>
      </c>
      <c r="D34" s="838">
        <v>30.46</v>
      </c>
      <c r="E34" s="39">
        <v>24.1</v>
      </c>
      <c r="F34" s="39">
        <f t="shared" si="25"/>
        <v>-3815.9999999999995</v>
      </c>
      <c r="G34" s="39">
        <f t="shared" si="26"/>
        <v>18276</v>
      </c>
      <c r="H34" s="222">
        <f t="shared" si="27"/>
        <v>-0.20879842416283648</v>
      </c>
      <c r="I34" s="39"/>
      <c r="J34" s="39"/>
      <c r="K34" s="788" t="s">
        <v>945</v>
      </c>
      <c r="L34" s="155"/>
      <c r="O34" s="81">
        <v>0.95</v>
      </c>
      <c r="P34" s="81">
        <f t="shared" si="15"/>
        <v>22.5625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5"/>
        <v>-3305.1200000000008</v>
      </c>
      <c r="G35" s="39">
        <f t="shared" si="26"/>
        <v>13285.12</v>
      </c>
      <c r="H35" s="222">
        <f t="shared" si="27"/>
        <v>-0.24878360150303502</v>
      </c>
      <c r="I35" s="39"/>
      <c r="J35" s="39"/>
      <c r="K35" s="39"/>
      <c r="L35" s="155"/>
      <c r="O35" s="81">
        <v>0.94</v>
      </c>
      <c r="P35" s="81">
        <f t="shared" si="15"/>
        <v>22.324999999999999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8">C36*(E36-D36)</f>
        <v>-3721.1200000000003</v>
      </c>
      <c r="G36" s="39">
        <f t="shared" ref="G36:G40" si="29">D36*C36</f>
        <v>13285.12</v>
      </c>
      <c r="H36" s="222">
        <f t="shared" ref="H36:H40" si="30">(E36-D36)/D36</f>
        <v>-0.28009683013777825</v>
      </c>
      <c r="I36" s="39"/>
      <c r="J36" s="39"/>
      <c r="K36" s="39"/>
      <c r="L36" s="39"/>
      <c r="O36" s="81">
        <v>0.93</v>
      </c>
      <c r="P36" s="81">
        <f t="shared" si="15"/>
        <v>22.087500000000002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8"/>
        <v>-4027.9999999999986</v>
      </c>
      <c r="G37" s="39">
        <f t="shared" si="29"/>
        <v>15613</v>
      </c>
      <c r="H37" s="222">
        <f t="shared" si="30"/>
        <v>-0.25799013642477414</v>
      </c>
      <c r="I37" s="39"/>
      <c r="J37" s="39"/>
      <c r="K37" s="39"/>
      <c r="L37" s="39"/>
      <c r="O37" s="81">
        <v>0.92</v>
      </c>
      <c r="P37" s="81">
        <f t="shared" si="15"/>
        <v>21.85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8"/>
        <v>-4563.1098000000002</v>
      </c>
      <c r="G38" s="39">
        <f t="shared" si="29"/>
        <v>17756.809799999999</v>
      </c>
      <c r="H38" s="222">
        <f t="shared" si="30"/>
        <v>-0.25697801865287762</v>
      </c>
      <c r="I38" s="39"/>
      <c r="J38" s="39"/>
      <c r="K38" s="39"/>
      <c r="L38" s="39"/>
      <c r="O38" s="81">
        <v>0.91</v>
      </c>
      <c r="P38" s="81">
        <f t="shared" si="15"/>
        <v>21.612500000000001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38">
        <v>29.607500000000002</v>
      </c>
      <c r="E39" s="39">
        <v>21.86</v>
      </c>
      <c r="F39" s="39">
        <f t="shared" si="28"/>
        <v>-4648.5000000000018</v>
      </c>
      <c r="G39" s="39">
        <f t="shared" si="29"/>
        <v>17764.5</v>
      </c>
      <c r="H39" s="222">
        <f t="shared" si="30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5"/>
        <v>21.375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8"/>
        <v>-4041.4999999999991</v>
      </c>
      <c r="G40" s="39">
        <f t="shared" si="29"/>
        <v>15466.5</v>
      </c>
      <c r="H40" s="222">
        <f t="shared" si="30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1">C41*(E41-D41)</f>
        <v>-4301.5000000000009</v>
      </c>
      <c r="G41" s="39">
        <f t="shared" ref="G41:G43" si="32">D41*C41</f>
        <v>15466.5</v>
      </c>
      <c r="H41" s="222">
        <f t="shared" ref="H41:H43" si="33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1"/>
        <v>-3776.55</v>
      </c>
      <c r="G42" s="39">
        <f t="shared" si="32"/>
        <v>15466.55</v>
      </c>
      <c r="H42" s="222">
        <f t="shared" si="33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1"/>
        <v>-3573.6000000000004</v>
      </c>
      <c r="G43" s="39">
        <f t="shared" si="32"/>
        <v>13077.6</v>
      </c>
      <c r="H43" s="222">
        <f t="shared" si="33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4">C44*(E44-D44)</f>
        <v>-3443.5999999999995</v>
      </c>
      <c r="G44" s="39">
        <f t="shared" ref="G44:G48" si="35">D44*C44</f>
        <v>12947.6</v>
      </c>
      <c r="H44" s="222">
        <f t="shared" ref="H44:H48" si="36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4"/>
        <v>-3635</v>
      </c>
      <c r="G45" s="39">
        <f t="shared" si="35"/>
        <v>15275</v>
      </c>
      <c r="H45" s="222">
        <f t="shared" si="36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4"/>
        <v>-4228.619999999999</v>
      </c>
      <c r="G46" s="39">
        <f t="shared" si="35"/>
        <v>17482.62</v>
      </c>
      <c r="H46" s="222">
        <f t="shared" si="36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38">
        <v>29.14</v>
      </c>
      <c r="E47" s="39">
        <v>22.1</v>
      </c>
      <c r="F47" s="39">
        <f t="shared" si="34"/>
        <v>-4223.9999999999991</v>
      </c>
      <c r="G47" s="39">
        <f t="shared" si="35"/>
        <v>17484</v>
      </c>
      <c r="H47" s="222">
        <f t="shared" si="36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4"/>
        <v>-4620</v>
      </c>
      <c r="G48" s="39">
        <f t="shared" si="35"/>
        <v>17484</v>
      </c>
      <c r="H48" s="222">
        <f t="shared" si="36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>
        <v>43263</v>
      </c>
      <c r="C49" s="10">
        <v>600</v>
      </c>
      <c r="D49" s="39">
        <v>29.14</v>
      </c>
      <c r="E49" s="39">
        <v>22.46</v>
      </c>
      <c r="F49" s="39">
        <f t="shared" ref="F49:F52" si="37">C49*(E49-D49)</f>
        <v>-4008</v>
      </c>
      <c r="G49" s="39">
        <f t="shared" ref="G49:G52" si="38">D49*C49</f>
        <v>17484</v>
      </c>
      <c r="H49" s="222">
        <f t="shared" ref="H49:H52" si="39">(E49-D49)/D49</f>
        <v>-0.22923816060398078</v>
      </c>
      <c r="I49" s="39"/>
      <c r="J49" s="39"/>
      <c r="K49" s="39"/>
      <c r="L49" s="39"/>
      <c r="Q49" s="2"/>
      <c r="T49" s="134"/>
    </row>
    <row r="50" spans="1:23" x14ac:dyDescent="0.25">
      <c r="A50">
        <v>400</v>
      </c>
      <c r="B50" s="184">
        <v>43272</v>
      </c>
      <c r="C50" s="425">
        <v>400</v>
      </c>
      <c r="D50" s="426">
        <v>31.2666</v>
      </c>
      <c r="E50" s="39">
        <v>23.29</v>
      </c>
      <c r="F50" s="39">
        <f t="shared" si="37"/>
        <v>-3190.6400000000003</v>
      </c>
      <c r="G50" s="39">
        <f t="shared" si="38"/>
        <v>12506.64</v>
      </c>
      <c r="H50" s="222">
        <f t="shared" si="39"/>
        <v>-0.25511568254942979</v>
      </c>
      <c r="I50" s="193" t="s">
        <v>1144</v>
      </c>
      <c r="J50" s="39"/>
      <c r="K50" s="39"/>
      <c r="L50" s="39">
        <v>13.7</v>
      </c>
      <c r="Q50" s="2"/>
      <c r="T50" s="134"/>
    </row>
    <row r="51" spans="1:23" x14ac:dyDescent="0.25">
      <c r="A51">
        <v>300</v>
      </c>
      <c r="B51" s="184">
        <v>43276</v>
      </c>
      <c r="C51" s="7">
        <v>300</v>
      </c>
      <c r="D51" s="43">
        <v>33.262300000000003</v>
      </c>
      <c r="E51" s="39">
        <v>24.12</v>
      </c>
      <c r="F51" s="39">
        <f t="shared" si="37"/>
        <v>-2742.6900000000005</v>
      </c>
      <c r="G51" s="39">
        <f t="shared" si="38"/>
        <v>9978.69</v>
      </c>
      <c r="H51" s="222">
        <f t="shared" si="39"/>
        <v>-0.27485471539851425</v>
      </c>
      <c r="I51" s="39">
        <v>33</v>
      </c>
      <c r="J51" s="39"/>
      <c r="K51" s="39"/>
      <c r="L51" s="39">
        <v>14.19</v>
      </c>
      <c r="Q51" s="2"/>
      <c r="T51" s="134"/>
    </row>
    <row r="52" spans="1:23" x14ac:dyDescent="0.25">
      <c r="A52">
        <v>300</v>
      </c>
      <c r="B52" s="184">
        <v>43277</v>
      </c>
      <c r="C52" s="425">
        <v>400</v>
      </c>
      <c r="D52" s="426">
        <v>30.841999999999999</v>
      </c>
      <c r="E52" s="39">
        <v>23.75</v>
      </c>
      <c r="F52" s="39">
        <f t="shared" si="37"/>
        <v>-2836.7999999999993</v>
      </c>
      <c r="G52" s="39">
        <f t="shared" si="38"/>
        <v>12336.8</v>
      </c>
      <c r="H52" s="222">
        <f t="shared" si="39"/>
        <v>-0.22994617729070743</v>
      </c>
      <c r="I52" s="193" t="s">
        <v>775</v>
      </c>
      <c r="J52" s="39"/>
      <c r="K52" s="39"/>
      <c r="L52" s="39">
        <v>13.97</v>
      </c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80" priority="21">
      <formula>F25&gt;0</formula>
    </cfRule>
    <cfRule type="expression" dxfId="879" priority="22">
      <formula>F25&lt;0</formula>
    </cfRule>
  </conditionalFormatting>
  <conditionalFormatting sqref="Q7">
    <cfRule type="expression" dxfId="878" priority="19">
      <formula>Q7&gt;0</formula>
    </cfRule>
    <cfRule type="expression" dxfId="877" priority="20">
      <formula>Q7&lt;0</formula>
    </cfRule>
  </conditionalFormatting>
  <conditionalFormatting sqref="Q8">
    <cfRule type="expression" dxfId="876" priority="17">
      <formula>Q8&gt;0</formula>
    </cfRule>
    <cfRule type="expression" dxfId="875" priority="18">
      <formula>Q8&lt;0</formula>
    </cfRule>
  </conditionalFormatting>
  <conditionalFormatting sqref="F89:F110">
    <cfRule type="expression" dxfId="874" priority="11">
      <formula>F89&gt;0</formula>
    </cfRule>
    <cfRule type="expression" dxfId="873" priority="12">
      <formula>F89&lt;0</formula>
    </cfRule>
  </conditionalFormatting>
  <conditionalFormatting sqref="H89:H110">
    <cfRule type="expression" dxfId="872" priority="9">
      <formula>H89&gt;0</formula>
    </cfRule>
    <cfRule type="expression" dxfId="871" priority="10">
      <formula>H89&lt;0</formula>
    </cfRule>
  </conditionalFormatting>
  <conditionalFormatting sqref="Q10">
    <cfRule type="expression" dxfId="870" priority="7">
      <formula>Q10&gt;0</formula>
    </cfRule>
    <cfRule type="expression" dxfId="869" priority="8">
      <formula>Q10&lt;0</formula>
    </cfRule>
  </conditionalFormatting>
  <conditionalFormatting sqref="J25:J38">
    <cfRule type="expression" dxfId="868" priority="5">
      <formula>J25&gt;0</formula>
    </cfRule>
    <cfRule type="expression" dxfId="867" priority="6">
      <formula>J25&lt;0</formula>
    </cfRule>
  </conditionalFormatting>
  <conditionalFormatting sqref="K25:K38">
    <cfRule type="expression" dxfId="866" priority="3">
      <formula>K25&gt;0</formula>
    </cfRule>
    <cfRule type="expression" dxfId="865" priority="4">
      <formula>K25&lt;0</formula>
    </cfRule>
  </conditionalFormatting>
  <conditionalFormatting sqref="L25:L38">
    <cfRule type="expression" dxfId="864" priority="1">
      <formula>L25&gt;0</formula>
    </cfRule>
    <cfRule type="expression" dxfId="86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57.1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57.1</v>
      </c>
      <c r="R4" s="475">
        <v>-3.9399999999999998E-2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62.810000000000009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62.239000000000004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61.668000000000006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61.097000000000008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60.526000000000003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59.955000000000005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59.384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58.813000000000002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58.242000000000004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57.670999999999999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57.1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56.529000000000003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55.957999999999998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55.387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54.816000000000003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54.244999999999997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53.673999999999999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53.103000000000002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52.532000000000004</v>
      </c>
    </row>
    <row r="44" spans="1:32" x14ac:dyDescent="0.25">
      <c r="N44" s="4"/>
      <c r="O44" s="81">
        <v>0.91</v>
      </c>
      <c r="P44" s="81">
        <f t="shared" si="0"/>
        <v>51.961000000000006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51.39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2" priority="137">
      <formula>F30&gt;0</formula>
    </cfRule>
    <cfRule type="expression" dxfId="861" priority="138">
      <formula>F30&lt;0</formula>
    </cfRule>
  </conditionalFormatting>
  <conditionalFormatting sqref="H47:H58">
    <cfRule type="expression" dxfId="860" priority="129">
      <formula>H47&gt;0</formula>
    </cfRule>
    <cfRule type="expression" dxfId="859" priority="130">
      <formula>H47&lt;0</formula>
    </cfRule>
  </conditionalFormatting>
  <conditionalFormatting sqref="H59">
    <cfRule type="expression" dxfId="858" priority="119">
      <formula>H59&gt;0</formula>
    </cfRule>
    <cfRule type="expression" dxfId="857" priority="120">
      <formula>H59&lt;0</formula>
    </cfRule>
  </conditionalFormatting>
  <conditionalFormatting sqref="H60">
    <cfRule type="expression" dxfId="856" priority="115">
      <formula>H60&gt;0</formula>
    </cfRule>
    <cfRule type="expression" dxfId="855" priority="116">
      <formula>H60&lt;0</formula>
    </cfRule>
  </conditionalFormatting>
  <conditionalFormatting sqref="H61:H66">
    <cfRule type="expression" dxfId="854" priority="111">
      <formula>H61&gt;0</formula>
    </cfRule>
    <cfRule type="expression" dxfId="853" priority="112">
      <formula>H61&lt;0</formula>
    </cfRule>
  </conditionalFormatting>
  <conditionalFormatting sqref="Q8">
    <cfRule type="expression" dxfId="852" priority="95">
      <formula>Q8&gt;0</formula>
    </cfRule>
    <cfRule type="expression" dxfId="851" priority="96">
      <formula>Q8&lt;0</formula>
    </cfRule>
  </conditionalFormatting>
  <conditionalFormatting sqref="Q7">
    <cfRule type="expression" dxfId="850" priority="97">
      <formula>Q7&gt;0</formula>
    </cfRule>
    <cfRule type="expression" dxfId="849" priority="98">
      <formula>Q7&lt;0</formula>
    </cfRule>
  </conditionalFormatting>
  <conditionalFormatting sqref="F178 H178">
    <cfRule type="expression" dxfId="848" priority="93">
      <formula>F178&gt;0</formula>
    </cfRule>
    <cfRule type="expression" dxfId="847" priority="94">
      <formula>F178&lt;0</formula>
    </cfRule>
  </conditionalFormatting>
  <conditionalFormatting sqref="Q10">
    <cfRule type="expression" dxfId="846" priority="87">
      <formula>Q10&gt;0</formula>
    </cfRule>
    <cfRule type="expression" dxfId="845" priority="88">
      <formula>Q10&lt;0</formula>
    </cfRule>
  </conditionalFormatting>
  <conditionalFormatting sqref="Q9">
    <cfRule type="expression" dxfId="844" priority="81">
      <formula>Q9&gt;0</formula>
    </cfRule>
    <cfRule type="expression" dxfId="843" priority="82">
      <formula>Q9&lt;0</formula>
    </cfRule>
  </conditionalFormatting>
  <conditionalFormatting sqref="F201:F248">
    <cfRule type="expression" dxfId="842" priority="41">
      <formula>F201&gt;0</formula>
    </cfRule>
    <cfRule type="expression" dxfId="841" priority="42">
      <formula>F201&lt;0</formula>
    </cfRule>
  </conditionalFormatting>
  <conditionalFormatting sqref="H201:H248">
    <cfRule type="expression" dxfId="840" priority="39">
      <formula>H201&gt;0</formula>
    </cfRule>
    <cfRule type="expression" dxfId="839" priority="40">
      <formula>H201&lt;0</formula>
    </cfRule>
  </conditionalFormatting>
  <conditionalFormatting sqref="J208">
    <cfRule type="expression" dxfId="838" priority="37">
      <formula>J208&gt;0</formula>
    </cfRule>
    <cfRule type="expression" dxfId="837" priority="38">
      <formula>J208&lt;0</formula>
    </cfRule>
  </conditionalFormatting>
  <conditionalFormatting sqref="J214:J215">
    <cfRule type="expression" dxfId="836" priority="35">
      <formula>J214&gt;0</formula>
    </cfRule>
    <cfRule type="expression" dxfId="835" priority="36">
      <formula>J214&lt;0</formula>
    </cfRule>
  </conditionalFormatting>
  <conditionalFormatting sqref="J216">
    <cfRule type="expression" dxfId="834" priority="33">
      <formula>J216&gt;0</formula>
    </cfRule>
    <cfRule type="expression" dxfId="833" priority="34">
      <formula>J216&lt;0</formula>
    </cfRule>
  </conditionalFormatting>
  <conditionalFormatting sqref="J217:J219 J221:J224">
    <cfRule type="expression" dxfId="832" priority="31">
      <formula>J217&gt;0</formula>
    </cfRule>
    <cfRule type="expression" dxfId="831" priority="32">
      <formula>J217&lt;0</formula>
    </cfRule>
  </conditionalFormatting>
  <conditionalFormatting sqref="K208">
    <cfRule type="expression" dxfId="830" priority="29">
      <formula>K208&gt;0</formula>
    </cfRule>
    <cfRule type="expression" dxfId="829" priority="30">
      <formula>K208&lt;0</formula>
    </cfRule>
  </conditionalFormatting>
  <conditionalFormatting sqref="K214:K215">
    <cfRule type="expression" dxfId="828" priority="27">
      <formula>K214&gt;0</formula>
    </cfRule>
    <cfRule type="expression" dxfId="827" priority="28">
      <formula>K214&lt;0</formula>
    </cfRule>
  </conditionalFormatting>
  <conditionalFormatting sqref="K216">
    <cfRule type="expression" dxfId="826" priority="25">
      <formula>K216&gt;0</formula>
    </cfRule>
    <cfRule type="expression" dxfId="825" priority="26">
      <formula>K216&lt;0</formula>
    </cfRule>
  </conditionalFormatting>
  <conditionalFormatting sqref="K217:K224">
    <cfRule type="expression" dxfId="824" priority="23">
      <formula>K217&gt;0</formula>
    </cfRule>
    <cfRule type="expression" dxfId="823" priority="24">
      <formula>K217&lt;0</formula>
    </cfRule>
  </conditionalFormatting>
  <conditionalFormatting sqref="L208">
    <cfRule type="expression" dxfId="822" priority="21">
      <formula>L208&gt;0</formula>
    </cfRule>
    <cfRule type="expression" dxfId="821" priority="22">
      <formula>L208&lt;0</formula>
    </cfRule>
  </conditionalFormatting>
  <conditionalFormatting sqref="L214:L215">
    <cfRule type="expression" dxfId="820" priority="19">
      <formula>L214&gt;0</formula>
    </cfRule>
    <cfRule type="expression" dxfId="819" priority="20">
      <formula>L214&lt;0</formula>
    </cfRule>
  </conditionalFormatting>
  <conditionalFormatting sqref="L216">
    <cfRule type="expression" dxfId="818" priority="17">
      <formula>L216&gt;0</formula>
    </cfRule>
    <cfRule type="expression" dxfId="817" priority="18">
      <formula>L216&lt;0</formula>
    </cfRule>
  </conditionalFormatting>
  <conditionalFormatting sqref="L217:L224">
    <cfRule type="expression" dxfId="816" priority="15">
      <formula>L217&gt;0</formula>
    </cfRule>
    <cfRule type="expression" dxfId="815" priority="16">
      <formula>L217&lt;0</formula>
    </cfRule>
  </conditionalFormatting>
  <conditionalFormatting sqref="K225">
    <cfRule type="expression" dxfId="814" priority="13">
      <formula>K225&gt;0</formula>
    </cfRule>
    <cfRule type="expression" dxfId="813" priority="14">
      <formula>K225&lt;0</formula>
    </cfRule>
  </conditionalFormatting>
  <conditionalFormatting sqref="L225:L232">
    <cfRule type="expression" dxfId="812" priority="11">
      <formula>L225&gt;0</formula>
    </cfRule>
    <cfRule type="expression" dxfId="811" priority="12">
      <formula>L225&lt;0</formula>
    </cfRule>
  </conditionalFormatting>
  <conditionalFormatting sqref="K226">
    <cfRule type="expression" dxfId="810" priority="9">
      <formula>K226&gt;0</formula>
    </cfRule>
    <cfRule type="expression" dxfId="809" priority="10">
      <formula>K226&lt;0</formula>
    </cfRule>
  </conditionalFormatting>
  <conditionalFormatting sqref="K227">
    <cfRule type="expression" dxfId="808" priority="7">
      <formula>K227&gt;0</formula>
    </cfRule>
    <cfRule type="expression" dxfId="807" priority="8">
      <formula>K227&lt;0</formula>
    </cfRule>
  </conditionalFormatting>
  <conditionalFormatting sqref="K228:K248">
    <cfRule type="expression" dxfId="806" priority="5">
      <formula>K228&gt;0</formula>
    </cfRule>
    <cfRule type="expression" dxfId="805" priority="6">
      <formula>K228&lt;0</formula>
    </cfRule>
  </conditionalFormatting>
  <conditionalFormatting sqref="L233:L237">
    <cfRule type="expression" dxfId="804" priority="3">
      <formula>L233&gt;0</formula>
    </cfRule>
    <cfRule type="expression" dxfId="803" priority="4">
      <formula>L233&lt;0</formula>
    </cfRule>
  </conditionalFormatting>
  <conditionalFormatting sqref="L238:L243">
    <cfRule type="expression" dxfId="802" priority="1">
      <formula>L238&gt;0</formula>
    </cfRule>
    <cfRule type="expression" dxfId="80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</v>
      </c>
      <c r="R4" s="490">
        <v>2.5000000000000001E-3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9" t="s">
        <v>78</v>
      </c>
      <c r="P40" s="8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58.300000000000004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57.77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57.24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56.71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56.18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55.650000000000006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55.120000000000005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54.59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54.06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53.53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52.47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51.94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51.41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50.879999999999995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50.349999999999994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49.82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49.29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48.760000000000005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48.230000000000004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0" priority="11">
      <formula>F27&gt;0</formula>
    </cfRule>
    <cfRule type="expression" dxfId="799" priority="12">
      <formula>F27&lt;0</formula>
    </cfRule>
  </conditionalFormatting>
  <conditionalFormatting sqref="H27:H29">
    <cfRule type="expression" dxfId="798" priority="9">
      <formula>H27&gt;0</formula>
    </cfRule>
    <cfRule type="expression" dxfId="797" priority="10">
      <formula>H27&lt;0</formula>
    </cfRule>
  </conditionalFormatting>
  <conditionalFormatting sqref="F23:F26">
    <cfRule type="expression" dxfId="796" priority="7">
      <formula>F23&gt;0</formula>
    </cfRule>
    <cfRule type="expression" dxfId="795" priority="8">
      <formula>F23&lt;0</formula>
    </cfRule>
  </conditionalFormatting>
  <conditionalFormatting sqref="H23:H26">
    <cfRule type="expression" dxfId="794" priority="5">
      <formula>H23&gt;0</formula>
    </cfRule>
    <cfRule type="expression" dxfId="793" priority="6">
      <formula>H23&lt;0</formula>
    </cfRule>
  </conditionalFormatting>
  <conditionalFormatting sqref="Q8">
    <cfRule type="expression" dxfId="792" priority="1">
      <formula>Q8&gt;0</formula>
    </cfRule>
    <cfRule type="expression" dxfId="791" priority="2">
      <formula>Q8&lt;0</formula>
    </cfRule>
  </conditionalFormatting>
  <conditionalFormatting sqref="Q7">
    <cfRule type="expression" dxfId="790" priority="3">
      <formula>Q7&gt;0</formula>
    </cfRule>
    <cfRule type="expression" dxfId="78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52.5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52.5</v>
      </c>
      <c r="R4" s="490">
        <v>5.8999999999999999E-3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9" t="s">
        <v>78</v>
      </c>
      <c r="P40" s="8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57.750000000000007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57.225000000000001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56.7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56.175000000000004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55.650000000000006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55.125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54.6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54.075000000000003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53.550000000000004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53.024999999999999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52.5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51.975000000000001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51.449999999999996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50.924999999999997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50.4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49.875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49.349999999999994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48.825000000000003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48.300000000000004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47.774999999999999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47.25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8" priority="7">
      <formula>F21&gt;0</formula>
    </cfRule>
    <cfRule type="expression" dxfId="787" priority="8">
      <formula>F21&lt;0</formula>
    </cfRule>
  </conditionalFormatting>
  <conditionalFormatting sqref="F22">
    <cfRule type="expression" dxfId="786" priority="5">
      <formula>F22&gt;0</formula>
    </cfRule>
    <cfRule type="expression" dxfId="785" priority="6">
      <formula>F22&lt;0</formula>
    </cfRule>
  </conditionalFormatting>
  <conditionalFormatting sqref="Q8">
    <cfRule type="expression" dxfId="784" priority="1">
      <formula>Q8&gt;0</formula>
    </cfRule>
    <cfRule type="expression" dxfId="783" priority="2">
      <formula>Q8&lt;0</formula>
    </cfRule>
  </conditionalFormatting>
  <conditionalFormatting sqref="Q7">
    <cfRule type="expression" dxfId="782" priority="3">
      <formula>Q7&gt;0</formula>
    </cfRule>
    <cfRule type="expression" dxfId="78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64.569999999999993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64.569999999999993</v>
      </c>
      <c r="R4" s="475">
        <v>4.6199999999999998E-2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9" t="s">
        <v>78</v>
      </c>
      <c r="P44" s="8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71.027000000000001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70.381299999999996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69.735599999999991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69.0899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68.444199999999995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67.79849999999999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67.152799999999999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66.507099999999994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65.861399999999989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65.215699999999998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64.569999999999993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63.924299999999995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63.27859999999999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62.632899999999992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61.987199999999994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61.341499999999989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60.695799999999991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60.050099999999993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59.404399999999995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58.758699999999997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58.112999999999992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0" priority="17">
      <formula>F38&gt;0</formula>
    </cfRule>
    <cfRule type="expression" dxfId="779" priority="18">
      <formula>F38&lt;0</formula>
    </cfRule>
  </conditionalFormatting>
  <conditionalFormatting sqref="H38:H72">
    <cfRule type="expression" dxfId="778" priority="9">
      <formula>H38&gt;0</formula>
    </cfRule>
    <cfRule type="expression" dxfId="777" priority="10">
      <formula>H38&lt;0</formula>
    </cfRule>
  </conditionalFormatting>
  <conditionalFormatting sqref="F21:F37">
    <cfRule type="expression" dxfId="776" priority="7">
      <formula>F21&gt;0</formula>
    </cfRule>
    <cfRule type="expression" dxfId="775" priority="8">
      <formula>F21&lt;0</formula>
    </cfRule>
  </conditionalFormatting>
  <conditionalFormatting sqref="H21:H37">
    <cfRule type="expression" dxfId="774" priority="5">
      <formula>H21&gt;0</formula>
    </cfRule>
    <cfRule type="expression" dxfId="773" priority="6">
      <formula>H21&lt;0</formula>
    </cfRule>
  </conditionalFormatting>
  <conditionalFormatting sqref="Q8">
    <cfRule type="expression" dxfId="772" priority="1">
      <formula>Q8&gt;0</formula>
    </cfRule>
    <cfRule type="expression" dxfId="771" priority="2">
      <formula>Q8&lt;0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143.94999999999999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143.94999999999999</v>
      </c>
      <c r="R4" s="490">
        <v>6.4000000000000003E-3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9" t="s">
        <v>78</v>
      </c>
      <c r="P46" s="84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158.345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156.90549999999999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155.46600000000001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154.0265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152.58699999999999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151.14750000000001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149.708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148.26849999999999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146.82899999999998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145.3895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143.94999999999999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142.51049999999998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141.071</v>
      </c>
      <c r="Q59" s="81"/>
      <c r="R59"/>
    </row>
    <row r="60" spans="1:21" x14ac:dyDescent="0.25">
      <c r="O60" s="81">
        <v>0.97</v>
      </c>
      <c r="P60" s="81">
        <f t="shared" si="1"/>
        <v>139.63149999999999</v>
      </c>
      <c r="Q60" s="81"/>
      <c r="R60"/>
    </row>
    <row r="61" spans="1:21" x14ac:dyDescent="0.25">
      <c r="O61" s="81">
        <v>0.96</v>
      </c>
      <c r="P61" s="81">
        <f t="shared" si="1"/>
        <v>138.19199999999998</v>
      </c>
      <c r="Q61" s="81"/>
      <c r="R61"/>
    </row>
    <row r="62" spans="1:21" x14ac:dyDescent="0.25">
      <c r="O62" s="81">
        <v>0.95</v>
      </c>
      <c r="P62" s="81">
        <f t="shared" si="1"/>
        <v>136.75249999999997</v>
      </c>
      <c r="Q62" s="81"/>
      <c r="R62"/>
    </row>
    <row r="63" spans="1:21" x14ac:dyDescent="0.25">
      <c r="O63" s="81">
        <v>0.94</v>
      </c>
      <c r="P63" s="81">
        <f t="shared" si="1"/>
        <v>135.31299999999999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133.87350000000001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132.434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130.99449999999999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129.55500000000001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8" priority="11">
      <formula>F24&gt;0</formula>
    </cfRule>
    <cfRule type="expression" dxfId="767" priority="12">
      <formula>F24&lt;0</formula>
    </cfRule>
  </conditionalFormatting>
  <conditionalFormatting sqref="H27:H30">
    <cfRule type="expression" dxfId="766" priority="9">
      <formula>H27&gt;0</formula>
    </cfRule>
    <cfRule type="expression" dxfId="765" priority="10">
      <formula>H27&lt;0</formula>
    </cfRule>
  </conditionalFormatting>
  <conditionalFormatting sqref="F25">
    <cfRule type="expression" dxfId="764" priority="7">
      <formula>F25&gt;0</formula>
    </cfRule>
    <cfRule type="expression" dxfId="763" priority="8">
      <formula>F25&lt;0</formula>
    </cfRule>
  </conditionalFormatting>
  <conditionalFormatting sqref="H24:H26">
    <cfRule type="expression" dxfId="762" priority="5">
      <formula>H24&gt;0</formula>
    </cfRule>
    <cfRule type="expression" dxfId="761" priority="6">
      <formula>H24&lt;0</formula>
    </cfRule>
  </conditionalFormatting>
  <conditionalFormatting sqref="Q7">
    <cfRule type="expression" dxfId="760" priority="3">
      <formula>Q7&gt;0</formula>
    </cfRule>
    <cfRule type="expression" dxfId="759" priority="4">
      <formula>Q7&lt;0</formula>
    </cfRule>
  </conditionalFormatting>
  <conditionalFormatting sqref="Q8">
    <cfRule type="expression" dxfId="758" priority="1">
      <formula>Q8&gt;0</formula>
    </cfRule>
    <cfRule type="expression" dxfId="75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51.96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51.96</v>
      </c>
      <c r="R4" s="491">
        <v>1.1999999999999999E-3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57.156000000000006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56.636400000000002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56.116800000000005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55.597200000000001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55.077600000000004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54.558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54.038400000000003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53.518799999999999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52.999200000000002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52.479599999999998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51.96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51.440400000000004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50.9208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50.401200000000003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49.881599999999999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49.362000000000002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48.842399999999998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48.322800000000001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47.803200000000004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47.2836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46.764000000000003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6" priority="17">
      <formula>F28&gt;0</formula>
    </cfRule>
    <cfRule type="expression" dxfId="755" priority="18">
      <formula>F28&lt;0</formula>
    </cfRule>
  </conditionalFormatting>
  <conditionalFormatting sqref="F28 F33:F35">
    <cfRule type="expression" dxfId="754" priority="19">
      <formula>F28&gt;0</formula>
    </cfRule>
    <cfRule type="expression" dxfId="753" priority="20">
      <formula>F28&lt;0</formula>
    </cfRule>
  </conditionalFormatting>
  <conditionalFormatting sqref="H28 H33:H35">
    <cfRule type="expression" dxfId="752" priority="15">
      <formula>H28&gt;0</formula>
    </cfRule>
    <cfRule type="expression" dxfId="751" priority="16">
      <formula>H28&lt;0</formula>
    </cfRule>
  </conditionalFormatting>
  <conditionalFormatting sqref="F21:F27">
    <cfRule type="expression" dxfId="750" priority="13">
      <formula>F21&gt;0</formula>
    </cfRule>
    <cfRule type="expression" dxfId="749" priority="14">
      <formula>F21&lt;0</formula>
    </cfRule>
  </conditionalFormatting>
  <conditionalFormatting sqref="H21:H27">
    <cfRule type="expression" dxfId="748" priority="11">
      <formula>H21&gt;0</formula>
    </cfRule>
    <cfRule type="expression" dxfId="747" priority="12">
      <formula>H21&lt;0</formula>
    </cfRule>
  </conditionalFormatting>
  <conditionalFormatting sqref="Q8">
    <cfRule type="expression" dxfId="746" priority="7">
      <formula>Q8&gt;0</formula>
    </cfRule>
    <cfRule type="expression" dxfId="745" priority="8">
      <formula>Q8&lt;0</formula>
    </cfRule>
  </conditionalFormatting>
  <conditionalFormatting sqref="Q7">
    <cfRule type="expression" dxfId="744" priority="9">
      <formula>Q7&gt;0</formula>
    </cfRule>
    <cfRule type="expression" dxfId="743" priority="10">
      <formula>Q7&lt;0</formula>
    </cfRule>
  </conditionalFormatting>
  <conditionalFormatting sqref="F29:F32">
    <cfRule type="expression" dxfId="742" priority="5">
      <formula>F29&gt;0</formula>
    </cfRule>
    <cfRule type="expression" dxfId="741" priority="6">
      <formula>F29&lt;0</formula>
    </cfRule>
  </conditionalFormatting>
  <conditionalFormatting sqref="H29:H32">
    <cfRule type="expression" dxfId="740" priority="3">
      <formula>H29&gt;0</formula>
    </cfRule>
    <cfRule type="expression" dxfId="739" priority="4">
      <formula>H29&lt;0</formula>
    </cfRule>
  </conditionalFormatting>
  <conditionalFormatting sqref="M37">
    <cfRule type="expression" dxfId="738" priority="1">
      <formula>M37&gt;0</formula>
    </cfRule>
    <cfRule type="expression" dxfId="73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8" si="1">H2*I2-J2</f>
        <v>6567.35</v>
      </c>
      <c r="L2" s="1">
        <v>43220</v>
      </c>
      <c r="M2" s="43">
        <v>54.84</v>
      </c>
      <c r="O2" s="11" t="s">
        <v>57</v>
      </c>
      <c r="Q2">
        <f>C18-H18</f>
        <v>35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247.96200000000005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271.60000000000002</v>
      </c>
      <c r="R4" s="475">
        <v>2.2000000000000001E-3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9506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8678.6700000000019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1">
        <f>Q10+Q8</f>
        <v>988.15999999999804</v>
      </c>
      <c r="R7">
        <v>35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1"/>
        <v>4141.1499999999996</v>
      </c>
      <c r="O8" s="11" t="s">
        <v>180</v>
      </c>
      <c r="Q8" s="20">
        <f>K18+M18-F18+Q2*Q4</f>
        <v>827.32999999999811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9.5329123010783667E-2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9" t="s">
        <v>78</v>
      </c>
      <c r="Q17" s="849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100</v>
      </c>
      <c r="I18" s="18"/>
      <c r="J18" s="18"/>
      <c r="K18" s="18">
        <f>SUM(K2:K8)</f>
        <v>26648.54</v>
      </c>
      <c r="L18" s="18"/>
      <c r="M18" s="18">
        <f>SUM(M2:M6)</f>
        <v>54.84</v>
      </c>
      <c r="P18" s="81">
        <v>1.1000000000000001</v>
      </c>
      <c r="Q18" s="81">
        <f>P18*$Q$4</f>
        <v>298.76000000000005</v>
      </c>
      <c r="R18" s="81"/>
    </row>
    <row r="19" spans="1:30" x14ac:dyDescent="0.25">
      <c r="P19" s="81">
        <v>1.0900000000000001</v>
      </c>
      <c r="Q19" s="81">
        <f t="shared" ref="Q19:Q38" si="3">P19*$Q$4</f>
        <v>296.04400000000004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293.32800000000003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290.61200000000002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287.89600000000002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285.18000000000006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282.46400000000006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279.74800000000005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277.03200000000004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274.31600000000003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271.60000000000002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268.88400000000001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266.16800000000001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263.452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260.73599999999999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258.02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255.304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252.58800000000002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249.87200000000004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247.15600000000003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:F39" si="13">C38*(E38-D38)</f>
        <v>792.00000000000159</v>
      </c>
      <c r="G38" s="39">
        <f t="shared" ref="G38:G39" si="14">D38*C38</f>
        <v>12819.999999999998</v>
      </c>
      <c r="H38" s="222">
        <f t="shared" ref="H38:H39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244.44000000000003</v>
      </c>
    </row>
    <row r="39" spans="1:18" x14ac:dyDescent="0.25">
      <c r="A39">
        <v>35</v>
      </c>
      <c r="B39" s="184">
        <v>43271</v>
      </c>
      <c r="C39" s="10">
        <v>35</v>
      </c>
      <c r="D39" s="39">
        <v>247.96199999999999</v>
      </c>
      <c r="E39" s="39">
        <v>275.97000000000003</v>
      </c>
      <c r="F39" s="39">
        <f t="shared" si="13"/>
        <v>980.28000000000134</v>
      </c>
      <c r="G39" s="39">
        <f t="shared" si="14"/>
        <v>8678.67</v>
      </c>
      <c r="H39" s="222">
        <f t="shared" si="15"/>
        <v>0.11295279115348335</v>
      </c>
      <c r="I39" s="39"/>
      <c r="J39" s="39">
        <v>1141</v>
      </c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4" t="s">
        <v>113</v>
      </c>
      <c r="C66" s="774" t="s">
        <v>146</v>
      </c>
      <c r="D66" s="775" t="s">
        <v>145</v>
      </c>
      <c r="E66" s="776" t="s">
        <v>147</v>
      </c>
      <c r="F66" s="776" t="s">
        <v>65</v>
      </c>
      <c r="G66" s="777" t="s">
        <v>151</v>
      </c>
      <c r="H66" s="777" t="s">
        <v>88</v>
      </c>
      <c r="I66" s="777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6" priority="45">
      <formula>F25&gt;0</formula>
    </cfRule>
    <cfRule type="expression" dxfId="735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4" priority="33">
      <formula>F21&gt;0</formula>
    </cfRule>
    <cfRule type="expression" dxfId="733" priority="34">
      <formula>F21&lt;0</formula>
    </cfRule>
  </conditionalFormatting>
  <conditionalFormatting sqref="H21:H24">
    <cfRule type="expression" dxfId="732" priority="31">
      <formula>H21&gt;0</formula>
    </cfRule>
    <cfRule type="expression" dxfId="731" priority="32">
      <formula>H21&lt;0</formula>
    </cfRule>
  </conditionalFormatting>
  <conditionalFormatting sqref="Q8">
    <cfRule type="expression" dxfId="730" priority="27">
      <formula>Q8&gt;0</formula>
    </cfRule>
    <cfRule type="expression" dxfId="729" priority="28">
      <formula>Q8&lt;0</formula>
    </cfRule>
  </conditionalFormatting>
  <conditionalFormatting sqref="Q7">
    <cfRule type="expression" dxfId="728" priority="29">
      <formula>Q7&gt;0</formula>
    </cfRule>
    <cfRule type="expression" dxfId="727" priority="30">
      <formula>Q7&lt;0</formula>
    </cfRule>
  </conditionalFormatting>
  <conditionalFormatting sqref="F71:F73">
    <cfRule type="expression" dxfId="726" priority="25">
      <formula>F71&gt;0</formula>
    </cfRule>
    <cfRule type="expression" dxfId="725" priority="26">
      <formula>F71&lt;0</formula>
    </cfRule>
  </conditionalFormatting>
  <conditionalFormatting sqref="F74:F81">
    <cfRule type="expression" dxfId="724" priority="21">
      <formula>F74&gt;0</formula>
    </cfRule>
    <cfRule type="expression" dxfId="723" priority="22">
      <formula>F74&lt;0</formula>
    </cfRule>
  </conditionalFormatting>
  <conditionalFormatting sqref="F74:F81">
    <cfRule type="expression" dxfId="722" priority="23">
      <formula>F74&gt;0</formula>
    </cfRule>
    <cfRule type="expression" dxfId="721" priority="24">
      <formula>F74&lt;0</formula>
    </cfRule>
  </conditionalFormatting>
  <conditionalFormatting sqref="H71:H81">
    <cfRule type="expression" dxfId="720" priority="19">
      <formula>H71&gt;0</formula>
    </cfRule>
    <cfRule type="expression" dxfId="719" priority="20">
      <formula>H71&lt;0</formula>
    </cfRule>
  </conditionalFormatting>
  <conditionalFormatting sqref="F67:F70">
    <cfRule type="expression" dxfId="718" priority="17">
      <formula>F67&gt;0</formula>
    </cfRule>
    <cfRule type="expression" dxfId="717" priority="18">
      <formula>F67&lt;0</formula>
    </cfRule>
  </conditionalFormatting>
  <conditionalFormatting sqref="H67:H70">
    <cfRule type="expression" dxfId="716" priority="15">
      <formula>H67&gt;0</formula>
    </cfRule>
    <cfRule type="expression" dxfId="715" priority="16">
      <formula>H67&lt;0</formula>
    </cfRule>
  </conditionalFormatting>
  <conditionalFormatting sqref="Q10">
    <cfRule type="expression" dxfId="714" priority="13">
      <formula>Q10&gt;0</formula>
    </cfRule>
    <cfRule type="expression" dxfId="713" priority="14">
      <formula>Q10&lt;0</formula>
    </cfRule>
  </conditionalFormatting>
  <conditionalFormatting sqref="H42 F42">
    <cfRule type="expression" dxfId="712" priority="9">
      <formula>F42&gt;0</formula>
    </cfRule>
    <cfRule type="expression" dxfId="711" priority="10">
      <formula>F42&lt;0</formula>
    </cfRule>
  </conditionalFormatting>
  <conditionalFormatting sqref="H36:H38 F36:F38">
    <cfRule type="expression" dxfId="710" priority="7">
      <formula>F36&gt;0</formula>
    </cfRule>
    <cfRule type="expression" dxfId="709" priority="8">
      <formula>F36&lt;0</formula>
    </cfRule>
  </conditionalFormatting>
  <conditionalFormatting sqref="H34:H35 F34:F35">
    <cfRule type="expression" dxfId="708" priority="5">
      <formula>F34&gt;0</formula>
    </cfRule>
    <cfRule type="expression" dxfId="707" priority="6">
      <formula>F34&lt;0</formula>
    </cfRule>
  </conditionalFormatting>
  <conditionalFormatting sqref="H40:H41 F40:F41 J39:J40">
    <cfRule type="expression" dxfId="706" priority="3">
      <formula>F39&gt;0</formula>
    </cfRule>
    <cfRule type="expression" dxfId="705" priority="4">
      <formula>F39&lt;0</formula>
    </cfRule>
  </conditionalFormatting>
  <conditionalFormatting sqref="H39 F39">
    <cfRule type="expression" dxfId="704" priority="1">
      <formula>F39&gt;0</formula>
    </cfRule>
    <cfRule type="expression" dxfId="703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98.55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98.55</v>
      </c>
      <c r="R4" s="475">
        <v>-3.0999999999999999E-3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108.405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107.4195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106.434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105.44850000000001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104.46300000000001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103.47750000000001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102.492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101.5065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100.521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99.535499999999999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98.55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97.564499999999995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96.578999999999994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95.593499999999992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94.60799999999999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93.622499999999988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92.636999999999986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91.651499999999999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90.665999999999997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89.680499999999995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88.694999999999993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2" priority="29">
      <formula>F40&gt;0</formula>
    </cfRule>
    <cfRule type="expression" dxfId="701" priority="30">
      <formula>F40&lt;0</formula>
    </cfRule>
  </conditionalFormatting>
  <conditionalFormatting sqref="F40:F45">
    <cfRule type="expression" dxfId="700" priority="31">
      <formula>F40&gt;0</formula>
    </cfRule>
    <cfRule type="expression" dxfId="699" priority="32">
      <formula>F40&lt;0</formula>
    </cfRule>
  </conditionalFormatting>
  <conditionalFormatting sqref="H40:H45">
    <cfRule type="expression" dxfId="698" priority="27">
      <formula>H40&gt;0</formula>
    </cfRule>
    <cfRule type="expression" dxfId="697" priority="28">
      <formula>H40&lt;0</formula>
    </cfRule>
  </conditionalFormatting>
  <conditionalFormatting sqref="F23:F39">
    <cfRule type="expression" dxfId="696" priority="13">
      <formula>F23&gt;0</formula>
    </cfRule>
    <cfRule type="expression" dxfId="695" priority="14">
      <formula>F23&lt;0</formula>
    </cfRule>
  </conditionalFormatting>
  <conditionalFormatting sqref="H23:H39">
    <cfRule type="expression" dxfId="694" priority="11">
      <formula>H23&gt;0</formula>
    </cfRule>
    <cfRule type="expression" dxfId="693" priority="12">
      <formula>H23&lt;0</formula>
    </cfRule>
  </conditionalFormatting>
  <conditionalFormatting sqref="Q7">
    <cfRule type="expression" dxfId="692" priority="9">
      <formula>Q7&gt;0</formula>
    </cfRule>
    <cfRule type="expression" dxfId="691" priority="10">
      <formula>Q7&lt;0</formula>
    </cfRule>
  </conditionalFormatting>
  <conditionalFormatting sqref="Q8">
    <cfRule type="expression" dxfId="690" priority="7">
      <formula>Q8&gt;0</formula>
    </cfRule>
    <cfRule type="expression" dxfId="689" priority="8">
      <formula>Q8&lt;0</formula>
    </cfRule>
  </conditionalFormatting>
  <conditionalFormatting sqref="Q10">
    <cfRule type="expression" dxfId="688" priority="1">
      <formula>Q10&gt;0</formula>
    </cfRule>
    <cfRule type="expression" dxfId="6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80.599999999999994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80.599999999999994</v>
      </c>
      <c r="R4" s="475">
        <v>1.0200000000000001E-2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88.66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87.853999999999999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87.048000000000002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86.242000000000004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85.435999999999993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84.63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83.823999999999998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83.018000000000001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82.211999999999989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81.405999999999992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80.599999999999994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79.793999999999997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78.988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78.181999999999988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77.375999999999991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76.569999999999993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75.763999999999996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74.957999999999998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74.152000000000001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73.346000000000004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72.539999999999992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6" priority="39">
      <formula>Q12&gt;0</formula>
    </cfRule>
    <cfRule type="expression" dxfId="6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4" priority="33">
      <formula>F25&gt;0</formula>
    </cfRule>
    <cfRule type="expression" dxfId="683" priority="34">
      <formula>F25&lt;0</formula>
    </cfRule>
  </conditionalFormatting>
  <conditionalFormatting sqref="F30">
    <cfRule type="expression" dxfId="682" priority="31">
      <formula>F30&gt;0</formula>
    </cfRule>
    <cfRule type="expression" dxfId="681" priority="32">
      <formula>F30&lt;0</formula>
    </cfRule>
  </conditionalFormatting>
  <conditionalFormatting sqref="F31">
    <cfRule type="expression" dxfId="680" priority="29">
      <formula>F31&gt;0</formula>
    </cfRule>
    <cfRule type="expression" dxfId="679" priority="30">
      <formula>F31&lt;0</formula>
    </cfRule>
  </conditionalFormatting>
  <conditionalFormatting sqref="F32:F34">
    <cfRule type="expression" dxfId="678" priority="27">
      <formula>F32&gt;0</formula>
    </cfRule>
    <cfRule type="expression" dxfId="677" priority="28">
      <formula>F32&lt;0</formula>
    </cfRule>
  </conditionalFormatting>
  <conditionalFormatting sqref="H25:H29">
    <cfRule type="expression" dxfId="676" priority="25">
      <formula>H25&gt;0</formula>
    </cfRule>
    <cfRule type="expression" dxfId="675" priority="26">
      <formula>H25&lt;0</formula>
    </cfRule>
  </conditionalFormatting>
  <conditionalFormatting sqref="H30">
    <cfRule type="expression" dxfId="674" priority="23">
      <formula>H30&gt;0</formula>
    </cfRule>
    <cfRule type="expression" dxfId="673" priority="24">
      <formula>H30&lt;0</formula>
    </cfRule>
  </conditionalFormatting>
  <conditionalFormatting sqref="H31">
    <cfRule type="expression" dxfId="672" priority="21">
      <formula>H31&gt;0</formula>
    </cfRule>
    <cfRule type="expression" dxfId="671" priority="22">
      <formula>H31&lt;0</formula>
    </cfRule>
  </conditionalFormatting>
  <conditionalFormatting sqref="H32:H34">
    <cfRule type="expression" dxfId="670" priority="19">
      <formula>H32&gt;0</formula>
    </cfRule>
    <cfRule type="expression" dxfId="669" priority="20">
      <formula>H32&lt;0</formula>
    </cfRule>
  </conditionalFormatting>
  <conditionalFormatting sqref="F35">
    <cfRule type="expression" dxfId="668" priority="17">
      <formula>F35&gt;0</formula>
    </cfRule>
    <cfRule type="expression" dxfId="667" priority="18">
      <formula>F35&lt;0</formula>
    </cfRule>
  </conditionalFormatting>
  <conditionalFormatting sqref="H35">
    <cfRule type="expression" dxfId="666" priority="15">
      <formula>H35&gt;0</formula>
    </cfRule>
    <cfRule type="expression" dxfId="665" priority="16">
      <formula>H35&lt;0</formula>
    </cfRule>
  </conditionalFormatting>
  <conditionalFormatting sqref="F36">
    <cfRule type="expression" dxfId="664" priority="13">
      <formula>F36&gt;0</formula>
    </cfRule>
    <cfRule type="expression" dxfId="663" priority="14">
      <formula>F36&lt;0</formula>
    </cfRule>
  </conditionalFormatting>
  <conditionalFormatting sqref="H36">
    <cfRule type="expression" dxfId="662" priority="11">
      <formula>H36&gt;0</formula>
    </cfRule>
    <cfRule type="expression" dxfId="661" priority="12">
      <formula>H36&lt;0</formula>
    </cfRule>
  </conditionalFormatting>
  <conditionalFormatting sqref="H23:H24">
    <cfRule type="expression" dxfId="660" priority="5">
      <formula>H23&gt;0</formula>
    </cfRule>
    <cfRule type="expression" dxfId="659" priority="6">
      <formula>H23&lt;0</formula>
    </cfRule>
  </conditionalFormatting>
  <conditionalFormatting sqref="F23:F24">
    <cfRule type="expression" dxfId="658" priority="7">
      <formula>F23&gt;0</formula>
    </cfRule>
    <cfRule type="expression" dxfId="657" priority="8">
      <formula>F23&lt;0</formula>
    </cfRule>
  </conditionalFormatting>
  <conditionalFormatting sqref="Q7">
    <cfRule type="expression" dxfId="656" priority="3">
      <formula>Q7&gt;0</formula>
    </cfRule>
    <cfRule type="expression" dxfId="655" priority="4">
      <formula>Q7&lt;0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6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51.456350000000022</v>
      </c>
      <c r="T3" s="118"/>
      <c r="W3" s="2"/>
      <c r="X3" s="134"/>
      <c r="AG3" s="225"/>
    </row>
    <row r="4" spans="1:33" x14ac:dyDescent="0.25">
      <c r="B4" s="434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53.429900000000004</v>
      </c>
      <c r="R4" s="475">
        <v>-9.7999999999999997E-3</v>
      </c>
      <c r="T4" s="817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>
        <v>43272</v>
      </c>
      <c r="H5" s="726">
        <v>50</v>
      </c>
      <c r="I5" s="45">
        <v>54.6</v>
      </c>
      <c r="J5" s="45">
        <v>0.04</v>
      </c>
      <c r="K5" s="43">
        <f>H5*I5-J5</f>
        <v>2729.96</v>
      </c>
      <c r="L5" s="4"/>
      <c r="M5" s="4"/>
      <c r="O5" s="11" t="s">
        <v>67</v>
      </c>
      <c r="Q5" s="3">
        <f>Q4*Q2</f>
        <v>10685.980000000001</v>
      </c>
      <c r="U5" t="s">
        <v>1004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10291.270000000004</v>
      </c>
      <c r="W6" s="2"/>
      <c r="X6" s="134"/>
    </row>
    <row r="7" spans="1:33" x14ac:dyDescent="0.25">
      <c r="B7" s="72">
        <v>43237</v>
      </c>
      <c r="C7" s="7">
        <v>70</v>
      </c>
      <c r="D7" s="43">
        <v>54.05</v>
      </c>
      <c r="E7" s="43">
        <v>0</v>
      </c>
      <c r="F7" s="43">
        <f t="shared" ref="F7" si="1">C7*D7+E7</f>
        <v>3783.5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1999.2899999999991</v>
      </c>
      <c r="R7">
        <v>150</v>
      </c>
      <c r="T7" s="83">
        <v>43237</v>
      </c>
      <c r="U7" t="s">
        <v>1087</v>
      </c>
      <c r="W7" s="2"/>
      <c r="X7" s="134"/>
      <c r="AD7" s="225"/>
      <c r="AG7" s="225"/>
    </row>
    <row r="8" spans="1:33" x14ac:dyDescent="0.25">
      <c r="B8" s="72">
        <v>43244</v>
      </c>
      <c r="C8" s="4">
        <v>80</v>
      </c>
      <c r="D8" s="3">
        <v>54.48</v>
      </c>
      <c r="E8" s="3">
        <v>0</v>
      </c>
      <c r="F8" s="3">
        <f>C8*D8+E8</f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394.70999999999731</v>
      </c>
      <c r="W8" s="2"/>
      <c r="X8" s="134"/>
    </row>
    <row r="9" spans="1:33" x14ac:dyDescent="0.25">
      <c r="B9" s="474">
        <v>43249</v>
      </c>
      <c r="C9" s="7">
        <v>50</v>
      </c>
      <c r="D9" s="43">
        <v>53.08</v>
      </c>
      <c r="E9" s="43">
        <v>0</v>
      </c>
      <c r="F9" s="43">
        <f>C9*D9+E9</f>
        <v>2654</v>
      </c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3.835386691827123E-2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2.9197134937553691E-2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1126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11.820774336283188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6" t="s">
        <v>78</v>
      </c>
      <c r="Q16" s="81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58.772890000000011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250</v>
      </c>
      <c r="I18" s="18"/>
      <c r="J18" s="18"/>
      <c r="K18" s="18">
        <f>SUM(K2:K17)</f>
        <v>13833.129999999997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58.238591000000007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13370</v>
      </c>
      <c r="G19" s="343"/>
      <c r="H19" s="343">
        <f>SumByColor($A$19,H2:H17)</f>
        <v>250</v>
      </c>
      <c r="I19" s="343"/>
      <c r="J19" s="343"/>
      <c r="K19" s="344">
        <f>SumByColor($A$19,K2:K17)</f>
        <v>13833</v>
      </c>
      <c r="L19" s="343"/>
      <c r="M19" s="344">
        <f>SumByColor($A$19,M2:M17)</f>
        <v>156</v>
      </c>
      <c r="P19" s="81">
        <v>1.08</v>
      </c>
      <c r="Q19" s="81">
        <f t="shared" si="2"/>
        <v>57.704292000000009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57.169993000000005</v>
      </c>
      <c r="W20" s="2"/>
      <c r="X20" s="134"/>
    </row>
    <row r="21" spans="1:33" x14ac:dyDescent="0.25">
      <c r="P21" s="81">
        <v>1.06</v>
      </c>
      <c r="Q21" s="81">
        <f t="shared" si="2"/>
        <v>56.635694000000008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56.101395000000004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2"/>
        <v>55.567096000000006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3">C24*(E24-D24)</f>
        <v>71.999999999999886</v>
      </c>
      <c r="G24" s="39">
        <f t="shared" ref="G24" si="4">D24*C24</f>
        <v>2151.1999999999998</v>
      </c>
      <c r="H24" s="222">
        <f t="shared" ref="H24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55.032797000000002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6">C25*(E25-D25)</f>
        <v>14.796000000000049</v>
      </c>
      <c r="G25" s="39">
        <f t="shared" ref="G25" si="7">D25*C25</f>
        <v>6392.0039999999999</v>
      </c>
      <c r="H25" s="222">
        <f t="shared" ref="H25" si="8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54.498498000000005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9">C26*(E26-D26)</f>
        <v>197.19599999999957</v>
      </c>
      <c r="G26" s="39">
        <f t="shared" ref="G26" si="10">D26*C26</f>
        <v>6392.0039999999999</v>
      </c>
      <c r="H26" s="222">
        <f t="shared" ref="H26" si="11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53.964199000000001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2">C27*(E27-D27)</f>
        <v>481.64800000000014</v>
      </c>
      <c r="G27" s="39">
        <f t="shared" ref="G27" si="13">D27*C27</f>
        <v>4100.7520000000004</v>
      </c>
      <c r="H27" s="222">
        <f t="shared" ref="H27" si="14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53.429900000000004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5">C28*(E28-D28)</f>
        <v>441.952</v>
      </c>
      <c r="G28" s="39">
        <f t="shared" ref="G28" si="16">D28*C28</f>
        <v>4054.0480000000002</v>
      </c>
      <c r="H28" s="222">
        <f t="shared" ref="H28" si="17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2"/>
        <v>52.895601000000006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8">C29*(E29-D29)</f>
        <v>909.1519999999997</v>
      </c>
      <c r="G29" s="39">
        <f t="shared" ref="G29" si="19">D29*C29</f>
        <v>4054.0480000000002</v>
      </c>
      <c r="H29" s="222">
        <f t="shared" ref="H29" si="20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2"/>
        <v>52.361302000000002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1">C30*(E30-D30)</f>
        <v>1056.3519999999999</v>
      </c>
      <c r="G30" s="39">
        <f t="shared" ref="G30" si="22">D30*C30</f>
        <v>4054.0480000000002</v>
      </c>
      <c r="H30" s="222">
        <f t="shared" ref="H30" si="23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51.827003000000005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4">C31*(E31-D31)</f>
        <v>613.15199999999913</v>
      </c>
      <c r="G31" s="39">
        <f t="shared" ref="G31" si="25">D31*C31</f>
        <v>6366.0480000000007</v>
      </c>
      <c r="H31" s="222">
        <f t="shared" ref="H31" si="26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51.292704000000001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7">C32*(E32-D32)</f>
        <v>322.79999999999973</v>
      </c>
      <c r="G32" s="39">
        <f t="shared" ref="G32" si="28">D32*C32</f>
        <v>6334.8</v>
      </c>
      <c r="H32" s="222">
        <f t="shared" ref="H32" si="29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2"/>
        <v>50.758405000000003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30">C33*(E33-D33)</f>
        <v>-21.999999999999886</v>
      </c>
      <c r="G33" s="39">
        <f t="shared" ref="G33" si="31">D33*C33</f>
        <v>10574</v>
      </c>
      <c r="H33" s="222">
        <f t="shared" ref="H33" si="32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50.224105999999999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3">C34*(E34-D34)</f>
        <v>-116.85999999999979</v>
      </c>
      <c r="G34" s="39">
        <f t="shared" ref="G34" si="34">D34*C34</f>
        <v>10574.859999999999</v>
      </c>
      <c r="H34" s="222">
        <f t="shared" ref="H34" si="35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49.689807000000009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6">C35*(E35-D35)</f>
        <v>-354.85999999999933</v>
      </c>
      <c r="G35" s="39">
        <f t="shared" ref="G35" si="37">D35*C35</f>
        <v>10574.859999999999</v>
      </c>
      <c r="H35" s="222">
        <f t="shared" ref="H35" si="38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49.155508000000005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9">C36*(E36-D36)</f>
        <v>-128.00000000000011</v>
      </c>
      <c r="G36" s="39">
        <f t="shared" ref="G36" si="40">D36*C36</f>
        <v>10574</v>
      </c>
      <c r="H36" s="222">
        <f t="shared" ref="H36" si="41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48.621209000000007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2">C37*(E37-D37)</f>
        <v>-396.8599999999995</v>
      </c>
      <c r="G37" s="39">
        <f t="shared" ref="G37" si="43">D37*C37</f>
        <v>10574.859999999999</v>
      </c>
      <c r="H37" s="222">
        <f t="shared" ref="H37" si="44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48.086910000000003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5">C38*(E38-D38)</f>
        <v>-86.86000000000007</v>
      </c>
      <c r="G38" s="39">
        <f t="shared" ref="G38" si="46">D38*C38</f>
        <v>10574.859999999999</v>
      </c>
      <c r="H38" s="222">
        <f t="shared" ref="H38" si="47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8">C39*(E39-D39)</f>
        <v>357.44399999999956</v>
      </c>
      <c r="G39" s="39">
        <f t="shared" ref="G39" si="49">D39*C39</f>
        <v>6200.5560000000005</v>
      </c>
      <c r="H39" s="222">
        <f t="shared" ref="H39" si="50">(E39-D39)/D39</f>
        <v>5.7647088422393016E-2</v>
      </c>
      <c r="I39" s="834" t="s">
        <v>1085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1">C40*(E40-D40)</f>
        <v>319.44000000000017</v>
      </c>
      <c r="G40" s="39">
        <f t="shared" ref="G40" si="52">D40*C40</f>
        <v>10524.56</v>
      </c>
      <c r="H40" s="222">
        <f t="shared" ref="H40" si="53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4">C41*(E41-D41)</f>
        <v>544.36800000000005</v>
      </c>
      <c r="G41" s="39">
        <f t="shared" ref="G41" si="55">D41*C41</f>
        <v>6086.8319999999994</v>
      </c>
      <c r="H41" s="222">
        <f t="shared" ref="H41" si="56">(E41-D41)/D41</f>
        <v>8.9433715272575307E-2</v>
      </c>
      <c r="I41" s="834" t="s">
        <v>1098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7">C42*(E42-D42)</f>
        <v>488.76000000000062</v>
      </c>
      <c r="G42" s="39">
        <f t="shared" ref="G42" si="58">D42*C42</f>
        <v>10445.24</v>
      </c>
      <c r="H42" s="222">
        <f t="shared" ref="H42" si="59">(E42-D42)/D42</f>
        <v>4.6792606010010361E-2</v>
      </c>
      <c r="I42" s="834" t="s">
        <v>1102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60">C43*(E43-D43)</f>
        <v>138.27500000000015</v>
      </c>
      <c r="G43" s="39">
        <f t="shared" ref="G43" si="61">D43*C43</f>
        <v>13099.225</v>
      </c>
      <c r="H43" s="222">
        <f t="shared" ref="H43" si="62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3">C44*(E44-D44)</f>
        <v>651.27500000000009</v>
      </c>
      <c r="G44" s="39">
        <f t="shared" ref="G44" si="64">D44*C44</f>
        <v>13021.224999999999</v>
      </c>
      <c r="H44" s="222">
        <f t="shared" ref="H44" si="65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ref="F45" si="66">C45*(E45-D45)</f>
        <v>496.71999999999912</v>
      </c>
      <c r="G45" s="39">
        <f t="shared" ref="G45" si="67">D45*C45</f>
        <v>10291.280000000001</v>
      </c>
      <c r="H45" s="222">
        <f t="shared" ref="H45" si="68">(E45-D45)/D45</f>
        <v>4.8266104896572543E-2</v>
      </c>
      <c r="I45" s="39"/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9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9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70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9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70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9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70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9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70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9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70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9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70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9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70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9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71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71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71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71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71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71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2" priority="63">
      <formula>Q8&gt;0</formula>
    </cfRule>
    <cfRule type="expression" dxfId="651" priority="64">
      <formula>Q8&lt;0</formula>
    </cfRule>
  </conditionalFormatting>
  <conditionalFormatting sqref="Q7">
    <cfRule type="expression" dxfId="650" priority="65">
      <formula>Q7&gt;0</formula>
    </cfRule>
    <cfRule type="expression" dxfId="649" priority="66">
      <formula>Q7&lt;0</formula>
    </cfRule>
  </conditionalFormatting>
  <conditionalFormatting sqref="M57">
    <cfRule type="expression" dxfId="648" priority="53">
      <formula>M57&gt;0</formula>
    </cfRule>
    <cfRule type="expression" dxfId="647" priority="54">
      <formula>M57&lt;0</formula>
    </cfRule>
  </conditionalFormatting>
  <conditionalFormatting sqref="M57">
    <cfRule type="expression" dxfId="646" priority="55">
      <formula>M57&gt;0</formula>
    </cfRule>
    <cfRule type="expression" dxfId="645" priority="56">
      <formula>M57&lt;0</formula>
    </cfRule>
  </conditionalFormatting>
  <conditionalFormatting sqref="F24:F45">
    <cfRule type="expression" dxfId="644" priority="41">
      <formula>F24&gt;0</formula>
    </cfRule>
    <cfRule type="expression" dxfId="643" priority="42">
      <formula>F24&lt;0</formula>
    </cfRule>
  </conditionalFormatting>
  <conditionalFormatting sqref="F24:F45">
    <cfRule type="expression" dxfId="642" priority="43">
      <formula>F24&gt;0</formula>
    </cfRule>
    <cfRule type="expression" dxfId="641" priority="44">
      <formula>F24&lt;0</formula>
    </cfRule>
  </conditionalFormatting>
  <conditionalFormatting sqref="H24:H45">
    <cfRule type="expression" dxfId="640" priority="39">
      <formula>H24&gt;0</formula>
    </cfRule>
    <cfRule type="expression" dxfId="639" priority="40">
      <formula>H24&lt;0</formula>
    </cfRule>
  </conditionalFormatting>
  <conditionalFormatting sqref="J27:J38">
    <cfRule type="expression" dxfId="638" priority="9">
      <formula>J27&gt;0</formula>
    </cfRule>
    <cfRule type="expression" dxfId="637" priority="10">
      <formula>J27&lt;0</formula>
    </cfRule>
  </conditionalFormatting>
  <conditionalFormatting sqref="J27:J38">
    <cfRule type="expression" dxfId="636" priority="11">
      <formula>J27&gt;0</formula>
    </cfRule>
    <cfRule type="expression" dxfId="635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4" priority="5">
      <formula>J39&gt;0</formula>
    </cfRule>
    <cfRule type="expression" dxfId="633" priority="6">
      <formula>J39&lt;0</formula>
    </cfRule>
  </conditionalFormatting>
  <conditionalFormatting sqref="J39">
    <cfRule type="expression" dxfId="632" priority="7">
      <formula>J39&gt;0</formula>
    </cfRule>
    <cfRule type="expression" dxfId="631" priority="8">
      <formula>J39&lt;0</formula>
    </cfRule>
  </conditionalFormatting>
  <conditionalFormatting sqref="J40:J54">
    <cfRule type="expression" dxfId="630" priority="1">
      <formula>J40&gt;0</formula>
    </cfRule>
    <cfRule type="expression" dxfId="629" priority="2">
      <formula>J40&lt;0</formula>
    </cfRule>
  </conditionalFormatting>
  <conditionalFormatting sqref="J40:J54">
    <cfRule type="expression" dxfId="628" priority="3">
      <formula>J40&gt;0</formula>
    </cfRule>
    <cfRule type="expression" dxfId="627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45.56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45.56</v>
      </c>
      <c r="R4" s="475">
        <v>1.67E-2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50.116000000000007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49.660400000000003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49.204800000000006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48.749200000000002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48.293600000000005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47.838000000000001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47.382400000000004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46.9268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46.471200000000003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46.015599999999999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45.56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45.104400000000005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44.648800000000001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44.193200000000004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43.7376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43.282000000000004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42.8264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42.370800000000003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41.915200000000006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41.459600000000002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41.004000000000005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6" priority="66">
      <formula>F22&gt;0</formula>
    </cfRule>
    <cfRule type="expression" dxfId="62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4" priority="53">
      <formula>F41&gt;0</formula>
    </cfRule>
    <cfRule type="expression" dxfId="623" priority="54">
      <formula>F41&lt;0</formula>
    </cfRule>
  </conditionalFormatting>
  <conditionalFormatting sqref="F41">
    <cfRule type="expression" dxfId="622" priority="57">
      <formula>F41&gt;0</formula>
    </cfRule>
    <cfRule type="expression" dxfId="621" priority="58">
      <formula>F41&lt;0</formula>
    </cfRule>
  </conditionalFormatting>
  <conditionalFormatting sqref="H41">
    <cfRule type="expression" dxfId="620" priority="35">
      <formula>H41&gt;0</formula>
    </cfRule>
    <cfRule type="expression" dxfId="619" priority="36">
      <formula>H41&lt;0</formula>
    </cfRule>
  </conditionalFormatting>
  <conditionalFormatting sqref="F89:F95">
    <cfRule type="expression" dxfId="618" priority="29">
      <formula>F89&gt;0</formula>
    </cfRule>
    <cfRule type="expression" dxfId="617" priority="30">
      <formula>F89&lt;0</formula>
    </cfRule>
  </conditionalFormatting>
  <conditionalFormatting sqref="F96:F110">
    <cfRule type="expression" dxfId="616" priority="25">
      <formula>F96&gt;0</formula>
    </cfRule>
    <cfRule type="expression" dxfId="615" priority="26">
      <formula>F96&lt;0</formula>
    </cfRule>
  </conditionalFormatting>
  <conditionalFormatting sqref="F96:F110">
    <cfRule type="expression" dxfId="614" priority="27">
      <formula>F96&gt;0</formula>
    </cfRule>
    <cfRule type="expression" dxfId="613" priority="28">
      <formula>F96&lt;0</formula>
    </cfRule>
  </conditionalFormatting>
  <conditionalFormatting sqref="H89:H100">
    <cfRule type="expression" dxfId="612" priority="23">
      <formula>H89&gt;0</formula>
    </cfRule>
    <cfRule type="expression" dxfId="611" priority="24">
      <formula>H89&lt;0</formula>
    </cfRule>
  </conditionalFormatting>
  <conditionalFormatting sqref="H101">
    <cfRule type="expression" dxfId="610" priority="21">
      <formula>H101&gt;0</formula>
    </cfRule>
    <cfRule type="expression" dxfId="609" priority="22">
      <formula>H101&lt;0</formula>
    </cfRule>
  </conditionalFormatting>
  <conditionalFormatting sqref="F111:F116">
    <cfRule type="expression" dxfId="608" priority="19">
      <formula>F111&gt;0</formula>
    </cfRule>
    <cfRule type="expression" dxfId="607" priority="20">
      <formula>F111&lt;0</formula>
    </cfRule>
  </conditionalFormatting>
  <conditionalFormatting sqref="H103:H116">
    <cfRule type="expression" dxfId="606" priority="17">
      <formula>H103&gt;0</formula>
    </cfRule>
    <cfRule type="expression" dxfId="605" priority="18">
      <formula>H103&lt;0</formula>
    </cfRule>
  </conditionalFormatting>
  <conditionalFormatting sqref="H102">
    <cfRule type="expression" dxfId="604" priority="15">
      <formula>H102&gt;0</formula>
    </cfRule>
    <cfRule type="expression" dxfId="603" priority="16">
      <formula>H102&lt;0</formula>
    </cfRule>
  </conditionalFormatting>
  <conditionalFormatting sqref="M42">
    <cfRule type="expression" dxfId="602" priority="13">
      <formula>M42&gt;0</formula>
    </cfRule>
    <cfRule type="expression" dxfId="601" priority="14">
      <formula>M42&lt;0</formula>
    </cfRule>
  </conditionalFormatting>
  <conditionalFormatting sqref="Q7">
    <cfRule type="expression" dxfId="600" priority="9">
      <formula>Q7&gt;0</formula>
    </cfRule>
    <cfRule type="expression" dxfId="599" priority="10">
      <formula>Q7&lt;0</formula>
    </cfRule>
  </conditionalFormatting>
  <conditionalFormatting sqref="Q8">
    <cfRule type="expression" dxfId="598" priority="7">
      <formula>Q8&gt;0</formula>
    </cfRule>
    <cfRule type="expression" dxfId="597" priority="8">
      <formula>Q8&lt;0</formula>
    </cfRule>
  </conditionalFormatting>
  <conditionalFormatting sqref="F117:F130 H117:H130">
    <cfRule type="expression" dxfId="596" priority="1">
      <formula>F117&gt;0</formula>
    </cfRule>
    <cfRule type="expression" dxfId="59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45.3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45.3</v>
      </c>
      <c r="R4" s="493">
        <v>8.5000000000000006E-3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49.83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49.377000000000002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48.923999999999999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48.470999999999997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48.018000000000001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47.564999999999998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47.112000000000002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46.658999999999999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46.205999999999996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45.753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45.3</v>
      </c>
      <c r="W39" s="134"/>
    </row>
    <row r="40" spans="1:23" x14ac:dyDescent="0.25">
      <c r="O40" s="81">
        <v>0.99</v>
      </c>
      <c r="P40" s="81">
        <f t="shared" si="0"/>
        <v>44.846999999999994</v>
      </c>
      <c r="W40" s="134"/>
    </row>
    <row r="41" spans="1:23" x14ac:dyDescent="0.25">
      <c r="O41" s="81">
        <v>0.98</v>
      </c>
      <c r="P41" s="81">
        <f t="shared" si="0"/>
        <v>44.393999999999998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43.940999999999995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43.487999999999992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43.034999999999997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42.581999999999994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42.128999999999998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41.676000000000002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41.222999999999999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40.769999999999996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4" priority="84">
      <formula>F7&gt;0</formula>
    </cfRule>
    <cfRule type="expression" dxfId="593" priority="85">
      <formula>F7&lt;0</formula>
    </cfRule>
  </conditionalFormatting>
  <conditionalFormatting sqref="Q8">
    <cfRule type="expression" dxfId="592" priority="82">
      <formula>Q8&gt;0</formula>
    </cfRule>
    <cfRule type="expression" dxfId="591" priority="83">
      <formula>Q8&lt;0</formula>
    </cfRule>
  </conditionalFormatting>
  <conditionalFormatting sqref="F29:F36">
    <cfRule type="expression" dxfId="590" priority="62">
      <formula>F29&gt;0</formula>
    </cfRule>
    <cfRule type="expression" dxfId="589" priority="63">
      <formula>F29&lt;0</formula>
    </cfRule>
  </conditionalFormatting>
  <conditionalFormatting sqref="J32:J38">
    <cfRule type="expression" dxfId="588" priority="57">
      <formula>J32&gt;0</formula>
    </cfRule>
    <cfRule type="expression" dxfId="587" priority="58">
      <formula>J32&lt;0</formula>
    </cfRule>
  </conditionalFormatting>
  <conditionalFormatting sqref="M42">
    <cfRule type="expression" dxfId="586" priority="55">
      <formula>M42&gt;0</formula>
    </cfRule>
    <cfRule type="expression" dxfId="585" priority="56">
      <formula>M42&lt;0</formula>
    </cfRule>
  </conditionalFormatting>
  <conditionalFormatting sqref="F98:F134 H98:H134 H137:H142 F137:F142 F144:F153 H144:H153">
    <cfRule type="expression" dxfId="584" priority="53">
      <formula>F98&gt;0</formula>
    </cfRule>
    <cfRule type="expression" dxfId="583" priority="54">
      <formula>F98&lt;0</formula>
    </cfRule>
  </conditionalFormatting>
  <conditionalFormatting sqref="F90:F97">
    <cfRule type="expression" dxfId="582" priority="51">
      <formula>F90&gt;0</formula>
    </cfRule>
    <cfRule type="expression" dxfId="581" priority="52">
      <formula>F90&lt;0</formula>
    </cfRule>
  </conditionalFormatting>
  <conditionalFormatting sqref="H90:H97">
    <cfRule type="expression" dxfId="580" priority="49">
      <formula>H90&gt;0</formula>
    </cfRule>
    <cfRule type="expression" dxfId="579" priority="50">
      <formula>H90&lt;0</formula>
    </cfRule>
  </conditionalFormatting>
  <conditionalFormatting sqref="F135:F136 H135:H136">
    <cfRule type="expression" dxfId="578" priority="47">
      <formula>F135&gt;0</formula>
    </cfRule>
    <cfRule type="expression" dxfId="577" priority="48">
      <formula>F135&lt;0</formula>
    </cfRule>
  </conditionalFormatting>
  <conditionalFormatting sqref="H143 F143">
    <cfRule type="expression" dxfId="576" priority="45">
      <formula>F143&gt;0</formula>
    </cfRule>
    <cfRule type="expression" dxfId="575" priority="46">
      <formula>F143&lt;0</formula>
    </cfRule>
  </conditionalFormatting>
  <conditionalFormatting sqref="F154:F161">
    <cfRule type="expression" dxfId="574" priority="31">
      <formula>F154&gt;0</formula>
    </cfRule>
    <cfRule type="expression" dxfId="573" priority="32">
      <formula>F154&lt;0</formula>
    </cfRule>
  </conditionalFormatting>
  <conditionalFormatting sqref="H154:H161">
    <cfRule type="expression" dxfId="572" priority="29">
      <formula>H154&gt;0</formula>
    </cfRule>
    <cfRule type="expression" dxfId="571" priority="30">
      <formula>H154&lt;0</formula>
    </cfRule>
  </conditionalFormatting>
  <conditionalFormatting sqref="Q10">
    <cfRule type="expression" dxfId="570" priority="27">
      <formula>Q10&gt;0</formula>
    </cfRule>
    <cfRule type="expression" dxfId="569" priority="28">
      <formula>Q10&lt;0</formula>
    </cfRule>
  </conditionalFormatting>
  <conditionalFormatting sqref="F37:F38">
    <cfRule type="expression" dxfId="568" priority="25">
      <formula>F37&gt;0</formula>
    </cfRule>
    <cfRule type="expression" dxfId="567" priority="26">
      <formula>F37&lt;0</formula>
    </cfRule>
  </conditionalFormatting>
  <conditionalFormatting sqref="H37:H38">
    <cfRule type="expression" dxfId="566" priority="23">
      <formula>H37&gt;0</formula>
    </cfRule>
    <cfRule type="expression" dxfId="565" priority="24">
      <formula>H37&lt;0</formula>
    </cfRule>
  </conditionalFormatting>
  <conditionalFormatting sqref="F167">
    <cfRule type="expression" dxfId="564" priority="21">
      <formula>F167&gt;0</formula>
    </cfRule>
    <cfRule type="expression" dxfId="563" priority="22">
      <formula>F167&lt;0</formula>
    </cfRule>
  </conditionalFormatting>
  <conditionalFormatting sqref="F168:F179">
    <cfRule type="expression" dxfId="562" priority="19">
      <formula>F168&gt;0</formula>
    </cfRule>
    <cfRule type="expression" dxfId="561" priority="20">
      <formula>F168&lt;0</formula>
    </cfRule>
  </conditionalFormatting>
  <conditionalFormatting sqref="H167:H179">
    <cfRule type="expression" dxfId="560" priority="17">
      <formula>H167&gt;0</formula>
    </cfRule>
    <cfRule type="expression" dxfId="559" priority="18">
      <formula>H167&lt;0</formula>
    </cfRule>
  </conditionalFormatting>
  <conditionalFormatting sqref="J175:J197 J201">
    <cfRule type="expression" dxfId="558" priority="15">
      <formula>J175&gt;0</formula>
    </cfRule>
    <cfRule type="expression" dxfId="557" priority="16">
      <formula>J175&lt;0</formula>
    </cfRule>
  </conditionalFormatting>
  <conditionalFormatting sqref="F180:F197 F201">
    <cfRule type="expression" dxfId="556" priority="13">
      <formula>F180&gt;0</formula>
    </cfRule>
    <cfRule type="expression" dxfId="555" priority="14">
      <formula>F180&lt;0</formula>
    </cfRule>
  </conditionalFormatting>
  <conditionalFormatting sqref="H180:H197 H201">
    <cfRule type="expression" dxfId="554" priority="11">
      <formula>H180&gt;0</formula>
    </cfRule>
    <cfRule type="expression" dxfId="553" priority="12">
      <formula>H180&lt;0</formula>
    </cfRule>
  </conditionalFormatting>
  <conditionalFormatting sqref="I32:J35">
    <cfRule type="expression" dxfId="552" priority="9">
      <formula>I32&gt;0</formula>
    </cfRule>
    <cfRule type="expression" dxfId="551" priority="10">
      <formula>I32&lt;0</formula>
    </cfRule>
  </conditionalFormatting>
  <conditionalFormatting sqref="F198:F200">
    <cfRule type="expression" dxfId="550" priority="7">
      <formula>F198&gt;0</formula>
    </cfRule>
    <cfRule type="expression" dxfId="549" priority="8">
      <formula>F198&lt;0</formula>
    </cfRule>
  </conditionalFormatting>
  <conditionalFormatting sqref="H198:H200">
    <cfRule type="expression" dxfId="548" priority="5">
      <formula>H198&gt;0</formula>
    </cfRule>
    <cfRule type="expression" dxfId="547" priority="6">
      <formula>H198&lt;0</formula>
    </cfRule>
  </conditionalFormatting>
  <conditionalFormatting sqref="J198:J200">
    <cfRule type="expression" dxfId="546" priority="3">
      <formula>J198&gt;0</formula>
    </cfRule>
    <cfRule type="expression" dxfId="545" priority="4">
      <formula>J198&lt;0</formula>
    </cfRule>
  </conditionalFormatting>
  <conditionalFormatting sqref="F202:F211 H202:H211 J202:J211">
    <cfRule type="expression" dxfId="544" priority="1">
      <formula>F202&gt;0</formula>
    </cfRule>
    <cfRule type="expression" dxfId="54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1">
        <v>43165</v>
      </c>
      <c r="C2" s="819">
        <v>50</v>
      </c>
      <c r="D2" s="820">
        <v>70.28</v>
      </c>
      <c r="E2" s="820">
        <v>0</v>
      </c>
      <c r="F2" s="820">
        <f>C2*D2+E2</f>
        <v>3514</v>
      </c>
      <c r="G2" s="821">
        <v>43217</v>
      </c>
      <c r="H2" s="819">
        <v>50</v>
      </c>
      <c r="I2" s="820">
        <v>72.88</v>
      </c>
      <c r="J2" s="820">
        <v>0.08</v>
      </c>
      <c r="K2" s="820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76.040000000000006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76.040000000000006</v>
      </c>
      <c r="R4" s="493">
        <v>-1.2999999999999999E-3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14.483809523809525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9" t="s">
        <v>78</v>
      </c>
      <c r="P40" s="84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83.64400000000002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82.883600000000015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82.123200000000011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81.362800000000007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80.602400000000017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79.842000000000013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79.081600000000009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78.321200000000005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77.560800000000015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76.80040000000001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76.040000000000006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75.279600000000002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74.519199999999998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73.758800000000008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72.998400000000004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72.238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71.477599999999995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70.717200000000005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69.956800000000015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69.196400000000011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68.436000000000007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2" priority="80">
      <formula>Q7&gt;0</formula>
    </cfRule>
    <cfRule type="expression" dxfId="541" priority="81">
      <formula>Q7&lt;0</formula>
    </cfRule>
  </conditionalFormatting>
  <conditionalFormatting sqref="Q8">
    <cfRule type="expression" dxfId="540" priority="78">
      <formula>Q8&gt;0</formula>
    </cfRule>
    <cfRule type="expression" dxfId="539" priority="79">
      <formula>Q8&lt;0</formula>
    </cfRule>
  </conditionalFormatting>
  <conditionalFormatting sqref="F29:F43">
    <cfRule type="expression" dxfId="538" priority="62">
      <formula>F29&gt;0</formula>
    </cfRule>
    <cfRule type="expression" dxfId="537" priority="63">
      <formula>F29&lt;0</formula>
    </cfRule>
  </conditionalFormatting>
  <conditionalFormatting sqref="H45 H47:H48 H50:H51 H53 H29:H43">
    <cfRule type="expression" dxfId="536" priority="60">
      <formula>H29&gt;0</formula>
    </cfRule>
    <cfRule type="expression" dxfId="535" priority="61">
      <formula>H29&lt;0</formula>
    </cfRule>
  </conditionalFormatting>
  <conditionalFormatting sqref="J35">
    <cfRule type="expression" dxfId="534" priority="56">
      <formula>J35&gt;0</formula>
    </cfRule>
    <cfRule type="expression" dxfId="533" priority="57">
      <formula>J35&lt;0</formula>
    </cfRule>
  </conditionalFormatting>
  <conditionalFormatting sqref="J36:J37">
    <cfRule type="expression" dxfId="532" priority="54">
      <formula>J36&gt;0</formula>
    </cfRule>
    <cfRule type="expression" dxfId="531" priority="55">
      <formula>J36&lt;0</formula>
    </cfRule>
  </conditionalFormatting>
  <conditionalFormatting sqref="J38:J45 J48 J51">
    <cfRule type="expression" dxfId="530" priority="52">
      <formula>J38&gt;0</formula>
    </cfRule>
    <cfRule type="expression" dxfId="52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8" priority="49">
      <formula>M59&gt;0</formula>
    </cfRule>
    <cfRule type="expression" dxfId="527" priority="50">
      <formula>M59&lt;0</formula>
    </cfRule>
  </conditionalFormatting>
  <conditionalFormatting sqref="Q10">
    <cfRule type="expression" dxfId="526" priority="47">
      <formula>Q10&gt;0</formula>
    </cfRule>
    <cfRule type="expression" dxfId="525" priority="48">
      <formula>Q10&lt;0</formula>
    </cfRule>
  </conditionalFormatting>
  <conditionalFormatting sqref="F84:F103">
    <cfRule type="expression" dxfId="524" priority="45">
      <formula>F84&gt;0</formula>
    </cfRule>
    <cfRule type="expression" dxfId="523" priority="46">
      <formula>F84&lt;0</formula>
    </cfRule>
  </conditionalFormatting>
  <conditionalFormatting sqref="H107 H84:H103">
    <cfRule type="expression" dxfId="522" priority="43">
      <formula>H84&gt;0</formula>
    </cfRule>
    <cfRule type="expression" dxfId="521" priority="44">
      <formula>H84&lt;0</formula>
    </cfRule>
  </conditionalFormatting>
  <conditionalFormatting sqref="J89">
    <cfRule type="expression" dxfId="520" priority="41">
      <formula>J89&gt;0</formula>
    </cfRule>
    <cfRule type="expression" dxfId="519" priority="42">
      <formula>J89&lt;0</formula>
    </cfRule>
  </conditionalFormatting>
  <conditionalFormatting sqref="J90:J95">
    <cfRule type="expression" dxfId="518" priority="39">
      <formula>J90&gt;0</formula>
    </cfRule>
    <cfRule type="expression" dxfId="517" priority="40">
      <formula>J90&lt;0</formula>
    </cfRule>
  </conditionalFormatting>
  <conditionalFormatting sqref="J96:J97">
    <cfRule type="expression" dxfId="516" priority="37">
      <formula>J96&gt;0</formula>
    </cfRule>
    <cfRule type="expression" dxfId="515" priority="38">
      <formula>J96&lt;0</formula>
    </cfRule>
  </conditionalFormatting>
  <conditionalFormatting sqref="J98:J104">
    <cfRule type="expression" dxfId="514" priority="35">
      <formula>J98&gt;0</formula>
    </cfRule>
    <cfRule type="expression" dxfId="513" priority="36">
      <formula>J98&lt;0</formula>
    </cfRule>
  </conditionalFormatting>
  <conditionalFormatting sqref="J25">
    <cfRule type="expression" dxfId="512" priority="31">
      <formula>J25&gt;0</formula>
    </cfRule>
    <cfRule type="expression" dxfId="511" priority="32">
      <formula>J25&lt;0</formula>
    </cfRule>
  </conditionalFormatting>
  <conditionalFormatting sqref="F105:F106">
    <cfRule type="expression" dxfId="510" priority="29">
      <formula>F105&gt;0</formula>
    </cfRule>
    <cfRule type="expression" dxfId="509" priority="30">
      <formula>F105&lt;0</formula>
    </cfRule>
  </conditionalFormatting>
  <conditionalFormatting sqref="H105:H106">
    <cfRule type="expression" dxfId="508" priority="27">
      <formula>H105&gt;0</formula>
    </cfRule>
    <cfRule type="expression" dxfId="507" priority="28">
      <formula>H105&lt;0</formula>
    </cfRule>
  </conditionalFormatting>
  <conditionalFormatting sqref="J105">
    <cfRule type="expression" dxfId="506" priority="25">
      <formula>J105&gt;0</formula>
    </cfRule>
    <cfRule type="expression" dxfId="505" priority="26">
      <formula>J105&lt;0</formula>
    </cfRule>
  </conditionalFormatting>
  <conditionalFormatting sqref="J106">
    <cfRule type="expression" dxfId="504" priority="23">
      <formula>J106&gt;0</formula>
    </cfRule>
    <cfRule type="expression" dxfId="503" priority="24">
      <formula>J106&lt;0</formula>
    </cfRule>
  </conditionalFormatting>
  <conditionalFormatting sqref="F24 F27:F28">
    <cfRule type="expression" dxfId="502" priority="21">
      <formula>F24&gt;0</formula>
    </cfRule>
    <cfRule type="expression" dxfId="501" priority="22">
      <formula>F24&lt;0</formula>
    </cfRule>
  </conditionalFormatting>
  <conditionalFormatting sqref="H24:H28">
    <cfRule type="expression" dxfId="500" priority="19">
      <formula>H24&gt;0</formula>
    </cfRule>
    <cfRule type="expression" dxfId="499" priority="20">
      <formula>H24&lt;0</formula>
    </cfRule>
  </conditionalFormatting>
  <conditionalFormatting sqref="J26:J34">
    <cfRule type="expression" dxfId="498" priority="17">
      <formula>J26&gt;0</formula>
    </cfRule>
    <cfRule type="expression" dxfId="497" priority="18">
      <formula>J26&lt;0</formula>
    </cfRule>
  </conditionalFormatting>
  <conditionalFormatting sqref="F113">
    <cfRule type="expression" dxfId="496" priority="15">
      <formula>F113&gt;0</formula>
    </cfRule>
    <cfRule type="expression" dxfId="495" priority="16">
      <formula>F113&lt;0</formula>
    </cfRule>
  </conditionalFormatting>
  <conditionalFormatting sqref="H113">
    <cfRule type="expression" dxfId="494" priority="13">
      <formula>H113&gt;0</formula>
    </cfRule>
    <cfRule type="expression" dxfId="493" priority="14">
      <formula>H113&lt;0</formula>
    </cfRule>
  </conditionalFormatting>
  <conditionalFormatting sqref="J109">
    <cfRule type="expression" dxfId="492" priority="11">
      <formula>J109&gt;0</formula>
    </cfRule>
    <cfRule type="expression" dxfId="491" priority="12">
      <formula>J109&lt;0</formula>
    </cfRule>
  </conditionalFormatting>
  <conditionalFormatting sqref="F108:F112">
    <cfRule type="expression" dxfId="490" priority="9">
      <formula>F108&gt;0</formula>
    </cfRule>
    <cfRule type="expression" dxfId="489" priority="10">
      <formula>F108&lt;0</formula>
    </cfRule>
  </conditionalFormatting>
  <conditionalFormatting sqref="H108:H112">
    <cfRule type="expression" dxfId="488" priority="7">
      <formula>H108&gt;0</formula>
    </cfRule>
    <cfRule type="expression" dxfId="487" priority="8">
      <formula>H108&lt;0</formula>
    </cfRule>
  </conditionalFormatting>
  <conditionalFormatting sqref="J110:J113">
    <cfRule type="expression" dxfId="486" priority="5">
      <formula>J110&gt;0</formula>
    </cfRule>
    <cfRule type="expression" dxfId="485" priority="6">
      <formula>J110&lt;0</formula>
    </cfRule>
  </conditionalFormatting>
  <conditionalFormatting sqref="F25:F26">
    <cfRule type="expression" dxfId="484" priority="3">
      <formula>F25&gt;0</formula>
    </cfRule>
    <cfRule type="expression" dxfId="483" priority="4">
      <formula>F25&lt;0</formula>
    </cfRule>
  </conditionalFormatting>
  <conditionalFormatting sqref="Q9">
    <cfRule type="expression" dxfId="482" priority="1">
      <formula>Q9&gt;0</formula>
    </cfRule>
    <cfRule type="expression" dxfId="48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2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33.285684210526298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72">
        <v>43266</v>
      </c>
      <c r="M4" s="43">
        <v>115</v>
      </c>
      <c r="O4" s="11" t="s">
        <v>66</v>
      </c>
      <c r="Q4" s="192">
        <v>26.22</v>
      </c>
      <c r="R4" s="223">
        <v>7.7000000000000002E-3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9963.6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12648.559999999994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-2609.9399999999901</v>
      </c>
      <c r="R7">
        <v>260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-2684.95999999999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-0.2122739663645499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3.5087719298245619E-2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H13" s="176"/>
      <c r="I13" s="3"/>
      <c r="J13" s="3"/>
      <c r="K13" s="3"/>
      <c r="O13" s="11" t="s">
        <v>975</v>
      </c>
      <c r="Q13">
        <f>Q4/2.67</f>
        <v>9.8202247191011232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28.842000000000002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28.579800000000002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28.317600000000002</v>
      </c>
      <c r="U21" t="s">
        <v>915</v>
      </c>
    </row>
    <row r="22" spans="1:21" x14ac:dyDescent="0.25">
      <c r="O22" s="81">
        <v>1.07</v>
      </c>
      <c r="P22" s="81">
        <f t="shared" si="4"/>
        <v>28.055399999999999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SUM(M2:M22)</f>
        <v>294.39999999999998</v>
      </c>
      <c r="O23" s="81">
        <v>1.06</v>
      </c>
      <c r="P23" s="81">
        <f t="shared" si="4"/>
        <v>27.793199999999999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294</v>
      </c>
      <c r="O24" s="81">
        <v>1.05</v>
      </c>
      <c r="P24" s="81">
        <f t="shared" si="4"/>
        <v>27.530999999999999</v>
      </c>
    </row>
    <row r="25" spans="1:21" x14ac:dyDescent="0.25">
      <c r="O25" s="81">
        <v>1.04</v>
      </c>
      <c r="P25" s="81">
        <f t="shared" si="4"/>
        <v>27.268799999999999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27.006599999999999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26.744399999999999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26.482199999999999</v>
      </c>
      <c r="T28" s="770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26.22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25.957799999999999</v>
      </c>
      <c r="T30" s="1">
        <v>43175</v>
      </c>
      <c r="U30" t="s">
        <v>1121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25.695599999999999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25.433399999999999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25.171199999999999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24.908999999999999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24.646799999999999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24.384599999999999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24.122399999999999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23.860199999999999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23.597999999999999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3" si="32">C61*(E61-D61)</f>
        <v>-4285.1000000000004</v>
      </c>
      <c r="G61" s="39">
        <f t="shared" ref="G61:G63" si="33">D61*C61</f>
        <v>15845.1</v>
      </c>
      <c r="H61" s="223">
        <f t="shared" ref="H61:H63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32"/>
        <v>-2749.5659999999993</v>
      </c>
      <c r="G63" s="39">
        <f t="shared" si="33"/>
        <v>12648.565999999999</v>
      </c>
      <c r="H63" s="223">
        <f t="shared" si="34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469" priority="69">
      <formula>F31&gt;0</formula>
    </cfRule>
    <cfRule type="expression" dxfId="468" priority="70">
      <formula>F31&lt;0</formula>
    </cfRule>
  </conditionalFormatting>
  <conditionalFormatting sqref="H31:H33">
    <cfRule type="expression" dxfId="467" priority="67">
      <formula>H31&gt;0</formula>
    </cfRule>
    <cfRule type="expression" dxfId="466" priority="68">
      <formula>H31&lt;0</formula>
    </cfRule>
  </conditionalFormatting>
  <conditionalFormatting sqref="H34">
    <cfRule type="expression" dxfId="465" priority="65">
      <formula>H34&gt;0</formula>
    </cfRule>
    <cfRule type="expression" dxfId="464" priority="66">
      <formula>H34&lt;0</formula>
    </cfRule>
  </conditionalFormatting>
  <conditionalFormatting sqref="H35">
    <cfRule type="expression" dxfId="463" priority="63">
      <formula>H35&gt;0</formula>
    </cfRule>
    <cfRule type="expression" dxfId="462" priority="64">
      <formula>H35&lt;0</formula>
    </cfRule>
  </conditionalFormatting>
  <conditionalFormatting sqref="F27:F30">
    <cfRule type="expression" dxfId="461" priority="59">
      <formula>F27&gt;0</formula>
    </cfRule>
    <cfRule type="expression" dxfId="460" priority="60">
      <formula>F27&lt;0</formula>
    </cfRule>
  </conditionalFormatting>
  <conditionalFormatting sqref="H27:H30">
    <cfRule type="expression" dxfId="459" priority="57">
      <formula>H27&gt;0</formula>
    </cfRule>
    <cfRule type="expression" dxfId="458" priority="58">
      <formula>H27&lt;0</formula>
    </cfRule>
  </conditionalFormatting>
  <conditionalFormatting sqref="F36:F37">
    <cfRule type="expression" dxfId="457" priority="53">
      <formula>F36&gt;0</formula>
    </cfRule>
    <cfRule type="expression" dxfId="456" priority="54">
      <formula>F36&lt;0</formula>
    </cfRule>
  </conditionalFormatting>
  <conditionalFormatting sqref="I31:L33">
    <cfRule type="expression" dxfId="455" priority="51">
      <formula>I31&gt;0</formula>
    </cfRule>
    <cfRule type="expression" dxfId="454" priority="52">
      <formula>I31&lt;0</formula>
    </cfRule>
  </conditionalFormatting>
  <conditionalFormatting sqref="I40:I45 I37:L38">
    <cfRule type="expression" dxfId="453" priority="45">
      <formula>I37&gt;0</formula>
    </cfRule>
    <cfRule type="expression" dxfId="452" priority="46">
      <formula>I37&lt;0</formula>
    </cfRule>
  </conditionalFormatting>
  <conditionalFormatting sqref="I27:L30">
    <cfRule type="expression" dxfId="451" priority="43">
      <formula>I27&gt;0</formula>
    </cfRule>
    <cfRule type="expression" dxfId="450" priority="44">
      <formula>I27&lt;0</formula>
    </cfRule>
  </conditionalFormatting>
  <conditionalFormatting sqref="F38:F49">
    <cfRule type="expression" dxfId="449" priority="41">
      <formula>F38&gt;0</formula>
    </cfRule>
    <cfRule type="expression" dxfId="448" priority="42">
      <formula>F38&lt;0</formula>
    </cfRule>
  </conditionalFormatting>
  <conditionalFormatting sqref="Q8">
    <cfRule type="expression" dxfId="447" priority="37">
      <formula>Q8&gt;0</formula>
    </cfRule>
    <cfRule type="expression" dxfId="446" priority="38">
      <formula>Q8&lt;0</formula>
    </cfRule>
  </conditionalFormatting>
  <conditionalFormatting sqref="Q7">
    <cfRule type="expression" dxfId="445" priority="39">
      <formula>Q7&gt;0</formula>
    </cfRule>
    <cfRule type="expression" dxfId="444" priority="40">
      <formula>Q7&lt;0</formula>
    </cfRule>
  </conditionalFormatting>
  <conditionalFormatting sqref="F92:F96">
    <cfRule type="expression" dxfId="443" priority="35">
      <formula>F92&gt;0</formula>
    </cfRule>
    <cfRule type="expression" dxfId="442" priority="36">
      <formula>F92&lt;0</formula>
    </cfRule>
  </conditionalFormatting>
  <conditionalFormatting sqref="H92:H94">
    <cfRule type="expression" dxfId="441" priority="33">
      <formula>H92&gt;0</formula>
    </cfRule>
    <cfRule type="expression" dxfId="440" priority="34">
      <formula>H92&lt;0</formula>
    </cfRule>
  </conditionalFormatting>
  <conditionalFormatting sqref="H95">
    <cfRule type="expression" dxfId="439" priority="31">
      <formula>H95&gt;0</formula>
    </cfRule>
    <cfRule type="expression" dxfId="438" priority="32">
      <formula>H95&lt;0</formula>
    </cfRule>
  </conditionalFormatting>
  <conditionalFormatting sqref="H96">
    <cfRule type="expression" dxfId="437" priority="29">
      <formula>H96&gt;0</formula>
    </cfRule>
    <cfRule type="expression" dxfId="436" priority="30">
      <formula>H96&lt;0</formula>
    </cfRule>
  </conditionalFormatting>
  <conditionalFormatting sqref="H97:H106">
    <cfRule type="expression" dxfId="435" priority="27">
      <formula>H97&gt;0</formula>
    </cfRule>
    <cfRule type="expression" dxfId="434" priority="28">
      <formula>H97&lt;0</formula>
    </cfRule>
  </conditionalFormatting>
  <conditionalFormatting sqref="F88:F91">
    <cfRule type="expression" dxfId="433" priority="25">
      <formula>F88&gt;0</formula>
    </cfRule>
    <cfRule type="expression" dxfId="432" priority="26">
      <formula>F88&lt;0</formula>
    </cfRule>
  </conditionalFormatting>
  <conditionalFormatting sqref="H88:H91">
    <cfRule type="expression" dxfId="431" priority="23">
      <formula>H88&gt;0</formula>
    </cfRule>
    <cfRule type="expression" dxfId="430" priority="24">
      <formula>H88&lt;0</formula>
    </cfRule>
  </conditionalFormatting>
  <conditionalFormatting sqref="F97:F98">
    <cfRule type="expression" dxfId="429" priority="21">
      <formula>F97&gt;0</formula>
    </cfRule>
    <cfRule type="expression" dxfId="428" priority="22">
      <formula>F97&lt;0</formula>
    </cfRule>
  </conditionalFormatting>
  <conditionalFormatting sqref="I92:I94">
    <cfRule type="expression" dxfId="427" priority="19">
      <formula>I92&gt;0</formula>
    </cfRule>
    <cfRule type="expression" dxfId="426" priority="20">
      <formula>I92&lt;0</formula>
    </cfRule>
  </conditionalFormatting>
  <conditionalFormatting sqref="I95">
    <cfRule type="expression" dxfId="425" priority="17">
      <formula>I95&gt;0</formula>
    </cfRule>
    <cfRule type="expression" dxfId="424" priority="18">
      <formula>I95&lt;0</formula>
    </cfRule>
  </conditionalFormatting>
  <conditionalFormatting sqref="I96">
    <cfRule type="expression" dxfId="423" priority="15">
      <formula>I96&gt;0</formula>
    </cfRule>
    <cfRule type="expression" dxfId="422" priority="16">
      <formula>I96&lt;0</formula>
    </cfRule>
  </conditionalFormatting>
  <conditionalFormatting sqref="I97:I106">
    <cfRule type="expression" dxfId="421" priority="13">
      <formula>I97&gt;0</formula>
    </cfRule>
    <cfRule type="expression" dxfId="420" priority="14">
      <formula>I97&lt;0</formula>
    </cfRule>
  </conditionalFormatting>
  <conditionalFormatting sqref="I88:I91">
    <cfRule type="expression" dxfId="419" priority="11">
      <formula>I88&gt;0</formula>
    </cfRule>
    <cfRule type="expression" dxfId="418" priority="12">
      <formula>I88&lt;0</formula>
    </cfRule>
  </conditionalFormatting>
  <conditionalFormatting sqref="F99">
    <cfRule type="expression" dxfId="417" priority="9">
      <formula>F99&gt;0</formula>
    </cfRule>
    <cfRule type="expression" dxfId="416" priority="10">
      <formula>F99&lt;0</formula>
    </cfRule>
  </conditionalFormatting>
  <conditionalFormatting sqref="F52:F54 H53:H54 H52:L52">
    <cfRule type="expression" dxfId="415" priority="7">
      <formula>F52&gt;0</formula>
    </cfRule>
    <cfRule type="expression" dxfId="414" priority="8">
      <formula>F52&lt;0</formula>
    </cfRule>
  </conditionalFormatting>
  <conditionalFormatting sqref="R4">
    <cfRule type="expression" dxfId="413" priority="5">
      <formula>R4&gt;0</formula>
    </cfRule>
    <cfRule type="expression" dxfId="412" priority="6">
      <formula>R4&lt;0</formula>
    </cfRule>
  </conditionalFormatting>
  <conditionalFormatting sqref="F58:F61 H58:K61">
    <cfRule type="expression" dxfId="411" priority="3">
      <formula>F58&gt;0</formula>
    </cfRule>
    <cfRule type="expression" dxfId="410" priority="4">
      <formula>F58&lt;0</formula>
    </cfRule>
  </conditionalFormatting>
  <conditionalFormatting sqref="F63:F65 H63:K65">
    <cfRule type="expression" dxfId="409" priority="1">
      <formula>F63&gt;0</formula>
    </cfRule>
    <cfRule type="expression" dxfId="408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66.63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66.63</v>
      </c>
      <c r="R4" s="475">
        <v>-9.1999999999999998E-3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73.293000000000006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72.6267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71.960399999999993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71.2941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70.627799999999993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69.961500000000001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69.295199999999994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68.628900000000002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67.962599999999995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67.296300000000002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66.63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65.963699999999989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65.297399999999996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64.631099999999989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63.964799999999997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63.29849999999999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62.63219999999999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61.965899999999998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61.299599999999998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60.633299999999998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59.966999999999999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92.24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92.24</v>
      </c>
      <c r="R4" s="475">
        <v>1E-4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9" t="s">
        <v>78</v>
      </c>
      <c r="P35" s="8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101.464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100.5416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99.619200000000006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98.696799999999996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97.7744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96.852000000000004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95.929599999999994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95.007199999999997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94.084800000000001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93.162399999999991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92.24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91.317599999999999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90.395199999999988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89.472799999999992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88.550399999999996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87.627999999999986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86.70559999999999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85.783199999999994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84.860799999999998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83.938400000000001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83.015999999999991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151.82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151.82</v>
      </c>
      <c r="R4" s="475">
        <v>1.2200000000000001E-2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167.00200000000001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165.4838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163.96559999999999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162.44740000000002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160.92920000000001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159.411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157.89279999999999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156.37459999999999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154.85640000000001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153.3382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151.82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150.30179999999999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148.78359999999998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147.2654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145.74719999999999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144.22899999999998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142.71079999999998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141.1926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139.67439999999999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138.15620000000001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136.63800000000001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259.70999999999998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259.70999999999998</v>
      </c>
      <c r="R4" s="475">
        <v>2.0000000000000001E-4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9" t="s">
        <v>78</v>
      </c>
      <c r="P41" s="8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285.68099999999998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283.08389999999997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280.48680000000002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277.8897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275.29259999999999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272.69549999999998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270.09839999999997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267.50129999999996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264.9042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262.30709999999999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259.70999999999998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257.11289999999997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254.51579999999998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251.91869999999997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249.32159999999996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246.72449999999998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244.12739999999997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241.53029999999998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238.9332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236.33609999999999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233.73899999999998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72.94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72.94</v>
      </c>
      <c r="R4" s="475">
        <v>-1.9900000000000001E-2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9" t="s">
        <v>78</v>
      </c>
      <c r="P40" s="8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80.234000000000009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79.504599999999996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78.775199999999998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78.0458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77.316400000000002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76.587000000000003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75.857600000000005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75.128199999999993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74.398799999999994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73.669399999999996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72.94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72.210599999999999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71.481200000000001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70.751800000000003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70.02239999999999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69.292999999999992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68.563599999999994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67.834199999999996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67.104799999999997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66.375399999999999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65.646000000000001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53.98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53.98</v>
      </c>
      <c r="R4" s="492">
        <v>8.6E-3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59.378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58.838200000000001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58.298400000000001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57.758600000000001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57.218800000000002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56.679000000000002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56.139199999999995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55.599399999999996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55.059599999999996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54.519799999999996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53.98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53.440199999999997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52.900399999999998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52.360599999999998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51.820799999999998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51.280999999999992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50.741199999999992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50.2014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49.6616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49.1218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48.582000000000001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51.07</v>
      </c>
      <c r="R4" s="494">
        <v>-4.7000000000000002E-3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5107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1831.339999999997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632.86999999999989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0.1414509636510338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2.3888780105737223E-2</v>
      </c>
      <c r="R11">
        <f>0.305</f>
        <v>0.30499999999999999</v>
      </c>
      <c r="T11" s="29">
        <v>43257</v>
      </c>
      <c r="U11" t="s">
        <v>1124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8.1842948717948723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43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3"/>
        <v>657.36999999999955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3"/>
        <v>967.9000000000002</v>
      </c>
      <c r="G42" s="39">
        <f t="shared" ref="G42:G43" si="6">D42*C42</f>
        <v>4474.1000000000004</v>
      </c>
      <c r="H42" s="222">
        <f t="shared" ref="H42:H43" si="7">(E42-D42)/D42</f>
        <v>0.21633401130953717</v>
      </c>
      <c r="I42" s="39"/>
      <c r="J42" s="39">
        <v>2166</v>
      </c>
      <c r="O42" s="849" t="s">
        <v>78</v>
      </c>
      <c r="P42" s="849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3"/>
        <v>655.99999999999955</v>
      </c>
      <c r="G43" s="39">
        <f t="shared" si="6"/>
        <v>4474</v>
      </c>
      <c r="H43" s="222">
        <f t="shared" si="7"/>
        <v>0.1466249441215913</v>
      </c>
      <c r="I43" s="39"/>
      <c r="J43" s="39">
        <v>1855</v>
      </c>
      <c r="O43" s="81">
        <v>1.1000000000000001</v>
      </c>
      <c r="P43" s="81">
        <f>O43*$Q$4</f>
        <v>56.177000000000007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55.666300000000007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55.155600000000007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54.644900000000007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54.1342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53.6235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53.1128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52.6021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52.0914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51.5807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51.07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50.5593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50.0486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49.5379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49.027200000000001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48.516500000000001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48.005800000000001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47.495100000000001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46.984400000000001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46.473700000000001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45.963000000000001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61">
      <formula>F45&gt;0</formula>
    </cfRule>
    <cfRule type="expression" dxfId="304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03" priority="63">
      <formula>F44&gt;0</formula>
    </cfRule>
    <cfRule type="expression" dxfId="302" priority="64">
      <formula>F44&lt;0</formula>
    </cfRule>
  </conditionalFormatting>
  <conditionalFormatting sqref="F45:F59 F61:F91 F93:F102">
    <cfRule type="expression" dxfId="301" priority="59">
      <formula>F45&gt;0</formula>
    </cfRule>
    <cfRule type="expression" dxfId="300" priority="60">
      <formula>F45&lt;0</formula>
    </cfRule>
  </conditionalFormatting>
  <conditionalFormatting sqref="H43:H59 H61:H91 H93:H102">
    <cfRule type="expression" dxfId="299" priority="57">
      <formula>H43&gt;0</formula>
    </cfRule>
    <cfRule type="expression" dxfId="298" priority="58">
      <formula>H43&lt;0</formula>
    </cfRule>
  </conditionalFormatting>
  <conditionalFormatting sqref="F36:F43">
    <cfRule type="expression" dxfId="297" priority="55">
      <formula>F36&gt;0</formula>
    </cfRule>
    <cfRule type="expression" dxfId="296" priority="56">
      <formula>F36&lt;0</formula>
    </cfRule>
  </conditionalFormatting>
  <conditionalFormatting sqref="H36:H42">
    <cfRule type="expression" dxfId="295" priority="53">
      <formula>H36&gt;0</formula>
    </cfRule>
    <cfRule type="expression" dxfId="294" priority="54">
      <formula>H36&lt;0</formula>
    </cfRule>
  </conditionalFormatting>
  <conditionalFormatting sqref="Q7">
    <cfRule type="expression" dxfId="293" priority="47">
      <formula>Q7&gt;0</formula>
    </cfRule>
    <cfRule type="expression" dxfId="292" priority="48">
      <formula>Q7&lt;0</formula>
    </cfRule>
  </conditionalFormatting>
  <conditionalFormatting sqref="Q8">
    <cfRule type="expression" dxfId="291" priority="45">
      <formula>Q8&gt;0</formula>
    </cfRule>
    <cfRule type="expression" dxfId="290" priority="46">
      <formula>Q8&lt;0</formula>
    </cfRule>
  </conditionalFormatting>
  <conditionalFormatting sqref="Q10">
    <cfRule type="expression" dxfId="289" priority="43">
      <formula>Q10&gt;0</formula>
    </cfRule>
    <cfRule type="expression" dxfId="288" priority="44">
      <formula>Q10&lt;0</formula>
    </cfRule>
  </conditionalFormatting>
  <conditionalFormatting sqref="F60">
    <cfRule type="expression" dxfId="287" priority="41">
      <formula>F60&gt;0</formula>
    </cfRule>
    <cfRule type="expression" dxfId="286" priority="42">
      <formula>F60&lt;0</formula>
    </cfRule>
  </conditionalFormatting>
  <conditionalFormatting sqref="F60">
    <cfRule type="expression" dxfId="285" priority="39">
      <formula>F60&gt;0</formula>
    </cfRule>
    <cfRule type="expression" dxfId="284" priority="40">
      <formula>F60&lt;0</formula>
    </cfRule>
  </conditionalFormatting>
  <conditionalFormatting sqref="H60">
    <cfRule type="expression" dxfId="283" priority="37">
      <formula>H60&gt;0</formula>
    </cfRule>
    <cfRule type="expression" dxfId="282" priority="38">
      <formula>H60&lt;0</formula>
    </cfRule>
  </conditionalFormatting>
  <conditionalFormatting sqref="F92">
    <cfRule type="expression" dxfId="281" priority="35">
      <formula>F92&gt;0</formula>
    </cfRule>
    <cfRule type="expression" dxfId="280" priority="36">
      <formula>F92&lt;0</formula>
    </cfRule>
  </conditionalFormatting>
  <conditionalFormatting sqref="F92">
    <cfRule type="expression" dxfId="279" priority="33">
      <formula>F92&gt;0</formula>
    </cfRule>
    <cfRule type="expression" dxfId="278" priority="34">
      <formula>F92&lt;0</formula>
    </cfRule>
  </conditionalFormatting>
  <conditionalFormatting sqref="H92">
    <cfRule type="expression" dxfId="277" priority="31">
      <formula>H92&gt;0</formula>
    </cfRule>
    <cfRule type="expression" dxfId="276" priority="32">
      <formula>H92&lt;0</formula>
    </cfRule>
  </conditionalFormatting>
  <conditionalFormatting sqref="F169:F183 F185:F215 F217:F226">
    <cfRule type="expression" dxfId="275" priority="27">
      <formula>F169&gt;0</formula>
    </cfRule>
    <cfRule type="expression" dxfId="274" priority="28">
      <formula>F169&lt;0</formula>
    </cfRule>
  </conditionalFormatting>
  <conditionalFormatting sqref="F164:F168">
    <cfRule type="expression" dxfId="273" priority="29">
      <formula>F164&gt;0</formula>
    </cfRule>
    <cfRule type="expression" dxfId="272" priority="30">
      <formula>F164&lt;0</formula>
    </cfRule>
  </conditionalFormatting>
  <conditionalFormatting sqref="F169:F183 F185:F215 F217:F226">
    <cfRule type="expression" dxfId="271" priority="25">
      <formula>F169&gt;0</formula>
    </cfRule>
    <cfRule type="expression" dxfId="270" priority="26">
      <formula>F169&lt;0</formula>
    </cfRule>
  </conditionalFormatting>
  <conditionalFormatting sqref="H164:H183 H185:H215 H217:H226">
    <cfRule type="expression" dxfId="269" priority="23">
      <formula>H164&gt;0</formula>
    </cfRule>
    <cfRule type="expression" dxfId="268" priority="24">
      <formula>H164&lt;0</formula>
    </cfRule>
  </conditionalFormatting>
  <conditionalFormatting sqref="F160:F163">
    <cfRule type="expression" dxfId="267" priority="21">
      <formula>F160&gt;0</formula>
    </cfRule>
    <cfRule type="expression" dxfId="266" priority="22">
      <formula>F160&lt;0</formula>
    </cfRule>
  </conditionalFormatting>
  <conditionalFormatting sqref="H160:H163">
    <cfRule type="expression" dxfId="265" priority="19">
      <formula>H160&gt;0</formula>
    </cfRule>
    <cfRule type="expression" dxfId="264" priority="20">
      <formula>H160&lt;0</formula>
    </cfRule>
  </conditionalFormatting>
  <conditionalFormatting sqref="F184">
    <cfRule type="expression" dxfId="263" priority="17">
      <formula>F184&gt;0</formula>
    </cfRule>
    <cfRule type="expression" dxfId="262" priority="18">
      <formula>F184&lt;0</formula>
    </cfRule>
  </conditionalFormatting>
  <conditionalFormatting sqref="F184">
    <cfRule type="expression" dxfId="261" priority="15">
      <formula>F184&gt;0</formula>
    </cfRule>
    <cfRule type="expression" dxfId="260" priority="16">
      <formula>F184&lt;0</formula>
    </cfRule>
  </conditionalFormatting>
  <conditionalFormatting sqref="H184">
    <cfRule type="expression" dxfId="259" priority="13">
      <formula>H184&gt;0</formula>
    </cfRule>
    <cfRule type="expression" dxfId="258" priority="14">
      <formula>H184&lt;0</formula>
    </cfRule>
  </conditionalFormatting>
  <conditionalFormatting sqref="F216">
    <cfRule type="expression" dxfId="257" priority="11">
      <formula>F216&gt;0</formula>
    </cfRule>
    <cfRule type="expression" dxfId="256" priority="12">
      <formula>F216&lt;0</formula>
    </cfRule>
  </conditionalFormatting>
  <conditionalFormatting sqref="F216">
    <cfRule type="expression" dxfId="255" priority="9">
      <formula>F216&gt;0</formula>
    </cfRule>
    <cfRule type="expression" dxfId="254" priority="10">
      <formula>F216&lt;0</formula>
    </cfRule>
  </conditionalFormatting>
  <conditionalFormatting sqref="H216">
    <cfRule type="expression" dxfId="253" priority="7">
      <formula>H216&gt;0</formula>
    </cfRule>
    <cfRule type="expression" dxfId="252" priority="8">
      <formula>H216&lt;0</formula>
    </cfRule>
  </conditionalFormatting>
  <conditionalFormatting sqref="J38:J39">
    <cfRule type="expression" dxfId="251" priority="5">
      <formula>J38&gt;0</formula>
    </cfRule>
    <cfRule type="expression" dxfId="250" priority="6">
      <formula>J38&lt;0</formula>
    </cfRule>
  </conditionalFormatting>
  <conditionalFormatting sqref="J41:J51">
    <cfRule type="expression" dxfId="249" priority="3">
      <formula>J41&gt;0</formula>
    </cfRule>
    <cfRule type="expression" dxfId="248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23.99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23.99</v>
      </c>
      <c r="R4" s="475">
        <v>-8.0000000000000004E-4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9.7918367346938755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26.388999999999999</v>
      </c>
      <c r="T17" s="1">
        <v>43235</v>
      </c>
      <c r="U17" t="s">
        <v>1082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26.149100000000001</v>
      </c>
      <c r="U18" t="s">
        <v>1083</v>
      </c>
    </row>
    <row r="19" spans="1:21" x14ac:dyDescent="0.25">
      <c r="O19" s="81">
        <v>1.08</v>
      </c>
      <c r="P19" s="81">
        <f t="shared" si="0"/>
        <v>25.909199999999998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25.6693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25.429400000000001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25.189499999999999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24.9496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24.709699999999998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24.469799999999999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24.229899999999997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23.7501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23.510199999999998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23.270299999999999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23.030399999999997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22.790499999999998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22.550599999999996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22.310700000000001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22.070799999999998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21.8309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21.590999999999998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230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361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5">C87*(E87-D87)</f>
        <v>-53.688000000000216</v>
      </c>
      <c r="G87" s="758">
        <f t="shared" ref="G87:G106" si="16">D87*C87</f>
        <v>2532.8879999999999</v>
      </c>
      <c r="H87" s="759">
        <f t="shared" ref="H87:H106" si="17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5"/>
        <v>-150.49599999999998</v>
      </c>
      <c r="G88" s="758">
        <f t="shared" si="16"/>
        <v>4907.2960000000003</v>
      </c>
      <c r="H88" s="760">
        <f t="shared" si="17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5"/>
        <v>31.056000000000097</v>
      </c>
      <c r="G89" s="758">
        <f t="shared" si="16"/>
        <v>2403.3440000000001</v>
      </c>
      <c r="H89" s="760">
        <f t="shared" si="17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5"/>
        <v>300.49599999999998</v>
      </c>
      <c r="G90" s="758">
        <f t="shared" si="16"/>
        <v>2357.1039999999998</v>
      </c>
      <c r="H90" s="760">
        <f t="shared" si="17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5"/>
        <v>-990.89999999999986</v>
      </c>
      <c r="G91" s="758">
        <f t="shared" si="16"/>
        <v>4085.1</v>
      </c>
      <c r="H91" s="760">
        <f t="shared" si="17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5"/>
        <v>-1311.3</v>
      </c>
      <c r="G92" s="758">
        <f t="shared" si="16"/>
        <v>4085.1</v>
      </c>
      <c r="H92" s="760">
        <f t="shared" si="17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5"/>
        <v>-749.14400000000001</v>
      </c>
      <c r="G93" s="758">
        <f t="shared" si="16"/>
        <v>2229.1440000000002</v>
      </c>
      <c r="H93" s="760">
        <f t="shared" si="17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5"/>
        <v>-925.93800000000033</v>
      </c>
      <c r="G94" s="758">
        <f t="shared" si="16"/>
        <v>3984.1379999999999</v>
      </c>
      <c r="H94" s="760">
        <f t="shared" si="17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5"/>
        <v>-642.77000000000021</v>
      </c>
      <c r="G95" s="758">
        <f t="shared" si="16"/>
        <v>2489.77</v>
      </c>
      <c r="H95" s="760">
        <f t="shared" si="17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5"/>
        <v>-538.16399999999976</v>
      </c>
      <c r="G96" s="758">
        <f t="shared" si="16"/>
        <v>3925.7639999999997</v>
      </c>
      <c r="H96" s="760">
        <f t="shared" si="17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5"/>
        <v>-1031.4000000000001</v>
      </c>
      <c r="G97" s="758">
        <f t="shared" si="16"/>
        <v>3925.7999999999997</v>
      </c>
      <c r="H97" s="760">
        <f t="shared" si="17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5"/>
        <v>-1115.3799999999999</v>
      </c>
      <c r="G98" s="758">
        <f t="shared" si="16"/>
        <v>5505.78</v>
      </c>
      <c r="H98" s="760">
        <f t="shared" si="17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5"/>
        <v>-1434.58</v>
      </c>
      <c r="G99" s="758">
        <f t="shared" si="16"/>
        <v>5505.78</v>
      </c>
      <c r="H99" s="760">
        <f t="shared" si="17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5"/>
        <v>-2289.6000000000008</v>
      </c>
      <c r="G100" s="758">
        <f t="shared" si="16"/>
        <v>7761.6</v>
      </c>
      <c r="H100" s="760">
        <f t="shared" si="17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5"/>
        <v>-1871.0440000000003</v>
      </c>
      <c r="G101" s="758">
        <f t="shared" si="16"/>
        <v>5345.8440000000001</v>
      </c>
      <c r="H101" s="760">
        <f t="shared" si="17"/>
        <v>-0.34999973811431839</v>
      </c>
      <c r="I101" s="761" t="s">
        <v>764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5"/>
        <v>-1072.2600000000004</v>
      </c>
      <c r="G102" s="758">
        <f t="shared" si="16"/>
        <v>4124.26</v>
      </c>
      <c r="H102" s="760">
        <f t="shared" si="17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5"/>
        <v>-912.00000000000045</v>
      </c>
      <c r="G103" s="758">
        <f t="shared" si="16"/>
        <v>4124</v>
      </c>
      <c r="H103" s="760">
        <f t="shared" si="17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5"/>
        <v>-964</v>
      </c>
      <c r="G104" s="758">
        <f t="shared" si="16"/>
        <v>4104</v>
      </c>
      <c r="H104" s="760">
        <f t="shared" si="17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5"/>
        <v>-260.04000000000008</v>
      </c>
      <c r="G105" s="758">
        <f t="shared" si="16"/>
        <v>4104.04</v>
      </c>
      <c r="H105" s="760">
        <f t="shared" si="17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5"/>
        <v>200.9999999999998</v>
      </c>
      <c r="G106" s="758">
        <f t="shared" si="16"/>
        <v>1973</v>
      </c>
      <c r="H106" s="760">
        <f t="shared" si="17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106.34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106.34</v>
      </c>
      <c r="R4" s="475">
        <v>4.1999999999999997E-3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9" t="s">
        <v>78</v>
      </c>
      <c r="P40" s="8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116.97400000000002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115.91060000000002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114.84720000000002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113.78380000000001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112.72040000000001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111.65700000000001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110.59360000000001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109.53020000000001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108.46680000000001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107.4034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106.34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105.2766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104.2132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103.1498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102.0864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101.023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99.959599999999995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98.896200000000007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97.832800000000006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96.769400000000005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95.706000000000003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6.54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6.54</v>
      </c>
      <c r="R4" s="475">
        <v>-2.3900000000000001E-2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9" t="s">
        <v>78</v>
      </c>
      <c r="P40" s="849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7.1940000000000008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7.1286000000000005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7.0632000000000001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6.9978000000000007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6.9324000000000003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6.867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6.8016000000000005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6.7362000000000002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6.6707999999999998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6.6054000000000004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6.54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6.4745999999999997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6.4092000000000002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6.3437999999999999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6.2783999999999995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6.2130000000000001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6.1475999999999997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6.0822000000000003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6.0167999999999999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5.9514000000000005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5.8860000000000001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0">
        <v>43133</v>
      </c>
    </row>
    <row r="2" spans="1:40" x14ac:dyDescent="0.25">
      <c r="A2" s="6" t="s">
        <v>55</v>
      </c>
      <c r="B2" s="76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3"/>
      <c r="O3" s="11" t="s">
        <v>58</v>
      </c>
      <c r="Q3" s="221">
        <f>(F24-K24-M24)/Q2</f>
        <v>71.080000000000013</v>
      </c>
      <c r="U3" t="s">
        <v>811</v>
      </c>
      <c r="X3" s="739" t="s">
        <v>793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70.25</v>
      </c>
      <c r="R4" s="475">
        <v>-1.2500000000000001E-2</v>
      </c>
      <c r="U4" t="s">
        <v>812</v>
      </c>
      <c r="X4" s="739" t="s">
        <v>794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3512.5</v>
      </c>
      <c r="T5" s="1"/>
      <c r="X5" s="739" t="s">
        <v>795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819</v>
      </c>
      <c r="AF5" s="738" t="s">
        <v>819</v>
      </c>
      <c r="AG5" s="738" t="s">
        <v>819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822</v>
      </c>
      <c r="X6" s="739" t="s">
        <v>796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768.62999999998965</v>
      </c>
      <c r="R7">
        <v>50</v>
      </c>
      <c r="X7" s="739" t="s">
        <v>797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-41.500000000000455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-1.1676983680360284E-2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2.9608540925266904E-2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10.874613003095975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3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:F34" si="23">C33*(E33-D33)</f>
        <v>-282.99999999999983</v>
      </c>
      <c r="G33" s="39">
        <f t="shared" ref="G33:G34" si="24">D33*C33</f>
        <v>3554</v>
      </c>
      <c r="H33" s="222">
        <f t="shared" ref="H33:H34" si="25">(E33-D33)/D33</f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23"/>
        <v>3.0000000000001137</v>
      </c>
      <c r="G34" s="39">
        <f t="shared" si="24"/>
        <v>3554</v>
      </c>
      <c r="H34" s="223">
        <f t="shared" si="25"/>
        <v>8.4411930219474216E-4</v>
      </c>
      <c r="I34" s="39"/>
      <c r="J34" s="10"/>
      <c r="K34" s="39">
        <v>813</v>
      </c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9" t="s">
        <v>78</v>
      </c>
      <c r="P42" s="849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77.275000000000006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76.572500000000005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75.87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75.167500000000004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74.465000000000003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73.762500000000003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73.06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72.357500000000002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71.655000000000001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70.952500000000001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70.25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69.547499999999999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68.844999999999999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68.142499999999998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67.44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66.737499999999997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66.034999999999997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65.33250000000001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64.63000000000001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63.927500000000002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63.225000000000001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2"/>
      <c r="B205" s="802"/>
      <c r="C205" s="802"/>
      <c r="D205" s="803"/>
      <c r="E205" s="803"/>
      <c r="F205" s="803"/>
      <c r="G205" s="803"/>
      <c r="H205" s="804"/>
      <c r="I205" s="805"/>
      <c r="J205" s="802"/>
      <c r="K205" s="802"/>
      <c r="L205" s="802"/>
    </row>
    <row r="206" spans="1:12" x14ac:dyDescent="0.25">
      <c r="A206" s="802"/>
      <c r="B206" s="802"/>
      <c r="C206" s="802"/>
      <c r="D206" s="803"/>
      <c r="E206" s="803"/>
      <c r="F206" s="803"/>
      <c r="G206" s="803"/>
      <c r="H206" s="804"/>
      <c r="I206" s="805"/>
      <c r="J206" s="802"/>
      <c r="K206" s="802"/>
      <c r="L206" s="802"/>
    </row>
    <row r="207" spans="1:12" x14ac:dyDescent="0.25">
      <c r="A207" s="802"/>
      <c r="B207" s="806">
        <v>42984</v>
      </c>
      <c r="C207" s="802">
        <v>50</v>
      </c>
      <c r="D207" s="803">
        <v>81.88</v>
      </c>
      <c r="E207" s="803">
        <v>82.66</v>
      </c>
      <c r="F207" s="803">
        <f t="shared" ref="F207:F225" si="39">C207*(E207-D207)</f>
        <v>39.000000000000057</v>
      </c>
      <c r="G207" s="803">
        <f t="shared" ref="G207:G225" si="40">D207*C207</f>
        <v>4094</v>
      </c>
      <c r="H207" s="807">
        <f t="shared" ref="H207:H225" si="41">(E207-D207)/D207</f>
        <v>9.5261358085002579E-3</v>
      </c>
      <c r="I207" s="808"/>
      <c r="J207" s="802"/>
      <c r="K207" s="802"/>
      <c r="L207" s="802"/>
    </row>
    <row r="208" spans="1:12" x14ac:dyDescent="0.25">
      <c r="A208" s="802"/>
      <c r="B208" s="806">
        <v>42988</v>
      </c>
      <c r="C208" s="802">
        <v>50</v>
      </c>
      <c r="D208" s="803">
        <v>81.88</v>
      </c>
      <c r="E208" s="803">
        <v>85.1</v>
      </c>
      <c r="F208" s="803">
        <f t="shared" si="39"/>
        <v>160.99999999999994</v>
      </c>
      <c r="G208" s="803">
        <f t="shared" si="40"/>
        <v>4094</v>
      </c>
      <c r="H208" s="807">
        <f t="shared" si="41"/>
        <v>3.9325842696629199E-2</v>
      </c>
      <c r="I208" s="805"/>
      <c r="J208" s="802"/>
      <c r="K208" s="802"/>
      <c r="L208" s="802"/>
    </row>
    <row r="209" spans="1:12" x14ac:dyDescent="0.25">
      <c r="A209" s="802"/>
      <c r="B209" s="806">
        <v>42992</v>
      </c>
      <c r="C209" s="802">
        <v>100</v>
      </c>
      <c r="D209" s="803">
        <v>81.844999999999999</v>
      </c>
      <c r="E209" s="803">
        <v>82.28</v>
      </c>
      <c r="F209" s="803">
        <f t="shared" si="39"/>
        <v>43.500000000000227</v>
      </c>
      <c r="G209" s="803">
        <f t="shared" si="40"/>
        <v>8184.5</v>
      </c>
      <c r="H209" s="807">
        <f t="shared" si="41"/>
        <v>5.3149245525078168E-3</v>
      </c>
      <c r="I209" s="805"/>
      <c r="J209" s="802"/>
      <c r="K209" s="802"/>
      <c r="L209" s="802"/>
    </row>
    <row r="210" spans="1:12" x14ac:dyDescent="0.25">
      <c r="A210" s="802">
        <v>0</v>
      </c>
      <c r="B210" s="806">
        <v>43018</v>
      </c>
      <c r="C210" s="802">
        <v>50</v>
      </c>
      <c r="D210" s="803">
        <v>80.102000000000004</v>
      </c>
      <c r="E210" s="803">
        <v>81.98</v>
      </c>
      <c r="F210" s="803">
        <f t="shared" si="39"/>
        <v>93.9</v>
      </c>
      <c r="G210" s="803">
        <f t="shared" si="40"/>
        <v>4005.1000000000004</v>
      </c>
      <c r="H210" s="807">
        <f t="shared" si="41"/>
        <v>2.3445107487952862E-2</v>
      </c>
      <c r="I210" s="803">
        <v>75.5</v>
      </c>
      <c r="J210" s="802"/>
      <c r="K210" s="803">
        <v>805.57</v>
      </c>
      <c r="L210" s="802"/>
    </row>
    <row r="211" spans="1:12" x14ac:dyDescent="0.25">
      <c r="A211" s="802">
        <v>0</v>
      </c>
      <c r="B211" s="806">
        <v>43020</v>
      </c>
      <c r="C211" s="802">
        <v>100</v>
      </c>
      <c r="D211" s="803">
        <v>80.891000000000005</v>
      </c>
      <c r="E211" s="803">
        <v>81.680000000000007</v>
      </c>
      <c r="F211" s="803">
        <f t="shared" si="39"/>
        <v>78.900000000000148</v>
      </c>
      <c r="G211" s="803">
        <f t="shared" si="40"/>
        <v>8089.1</v>
      </c>
      <c r="H211" s="804">
        <f t="shared" si="41"/>
        <v>9.7538663139286382E-3</v>
      </c>
      <c r="I211" s="803">
        <v>80</v>
      </c>
      <c r="J211" s="802"/>
      <c r="K211" s="803">
        <v>757</v>
      </c>
      <c r="L211" s="802"/>
    </row>
    <row r="212" spans="1:12" x14ac:dyDescent="0.25">
      <c r="A212" s="802">
        <v>50</v>
      </c>
      <c r="B212" s="806">
        <v>43035</v>
      </c>
      <c r="C212" s="802">
        <v>150</v>
      </c>
      <c r="D212" s="803">
        <v>78.554000000000002</v>
      </c>
      <c r="E212" s="803">
        <v>73.28</v>
      </c>
      <c r="F212" s="803">
        <f t="shared" si="39"/>
        <v>-791.10000000000014</v>
      </c>
      <c r="G212" s="803">
        <f t="shared" si="40"/>
        <v>11783.1</v>
      </c>
      <c r="H212" s="804">
        <f t="shared" si="41"/>
        <v>-6.713852891004915E-2</v>
      </c>
      <c r="I212" s="805"/>
      <c r="J212" s="802"/>
      <c r="K212" s="803">
        <v>-132</v>
      </c>
      <c r="L212" s="802"/>
    </row>
    <row r="213" spans="1:12" x14ac:dyDescent="0.25">
      <c r="A213" s="802"/>
      <c r="B213" s="806">
        <v>43035</v>
      </c>
      <c r="C213" s="802">
        <v>100</v>
      </c>
      <c r="D213" s="803">
        <v>79.691900000000004</v>
      </c>
      <c r="E213" s="803">
        <v>76.28</v>
      </c>
      <c r="F213" s="803">
        <f t="shared" si="39"/>
        <v>-341.19000000000028</v>
      </c>
      <c r="G213" s="803">
        <f t="shared" si="40"/>
        <v>7969.1900000000005</v>
      </c>
      <c r="H213" s="804">
        <f t="shared" si="41"/>
        <v>-4.2813636015705522E-2</v>
      </c>
      <c r="I213" s="809" t="s">
        <v>757</v>
      </c>
      <c r="J213" s="802"/>
      <c r="K213" s="803">
        <v>317</v>
      </c>
      <c r="L213" s="802"/>
    </row>
    <row r="214" spans="1:12" x14ac:dyDescent="0.25">
      <c r="A214" s="802"/>
      <c r="B214" s="806">
        <v>43044</v>
      </c>
      <c r="C214" s="802">
        <v>100</v>
      </c>
      <c r="D214" s="803">
        <v>79.69</v>
      </c>
      <c r="E214" s="803">
        <v>73.459999999999994</v>
      </c>
      <c r="F214" s="803">
        <f t="shared" si="39"/>
        <v>-623.00000000000045</v>
      </c>
      <c r="G214" s="803">
        <f t="shared" si="40"/>
        <v>7969</v>
      </c>
      <c r="H214" s="804">
        <f t="shared" si="41"/>
        <v>-7.8177939515623088E-2</v>
      </c>
      <c r="I214" s="805"/>
      <c r="J214" s="802">
        <v>23.71</v>
      </c>
      <c r="K214" s="803">
        <v>35</v>
      </c>
      <c r="L214" s="802"/>
    </row>
    <row r="215" spans="1:12" x14ac:dyDescent="0.25">
      <c r="A215" s="810">
        <v>50</v>
      </c>
      <c r="B215" s="806">
        <v>43053</v>
      </c>
      <c r="C215" s="802">
        <v>150</v>
      </c>
      <c r="D215" s="803">
        <v>76.989999999999995</v>
      </c>
      <c r="E215" s="803">
        <v>71.150000000000006</v>
      </c>
      <c r="F215" s="803">
        <f t="shared" si="39"/>
        <v>-875.99999999999841</v>
      </c>
      <c r="G215" s="803">
        <f t="shared" si="40"/>
        <v>11548.5</v>
      </c>
      <c r="H215" s="804">
        <f t="shared" si="41"/>
        <v>-7.5854007013897773E-2</v>
      </c>
      <c r="I215" s="803">
        <v>76.5</v>
      </c>
      <c r="J215" s="802"/>
      <c r="K215" s="803">
        <v>-217</v>
      </c>
      <c r="L215" s="802"/>
    </row>
    <row r="216" spans="1:12" x14ac:dyDescent="0.25">
      <c r="A216" s="810">
        <v>50</v>
      </c>
      <c r="B216" s="806">
        <v>43068</v>
      </c>
      <c r="C216" s="802">
        <v>100</v>
      </c>
      <c r="D216" s="803">
        <v>78.392799999999994</v>
      </c>
      <c r="E216" s="803">
        <v>73.67</v>
      </c>
      <c r="F216" s="803">
        <f t="shared" si="39"/>
        <v>-472.27999999999923</v>
      </c>
      <c r="G216" s="803">
        <f t="shared" si="40"/>
        <v>7839.28</v>
      </c>
      <c r="H216" s="804">
        <f t="shared" si="41"/>
        <v>-6.0245328652631269E-2</v>
      </c>
      <c r="I216" s="809" t="s">
        <v>767</v>
      </c>
      <c r="J216" s="802"/>
      <c r="K216" s="803">
        <v>186</v>
      </c>
      <c r="L216" s="802"/>
    </row>
    <row r="217" spans="1:12" x14ac:dyDescent="0.25">
      <c r="A217" s="810">
        <v>100</v>
      </c>
      <c r="B217" s="806">
        <v>43090</v>
      </c>
      <c r="C217" s="802">
        <v>150</v>
      </c>
      <c r="D217" s="803">
        <v>76.688500000000005</v>
      </c>
      <c r="E217" s="803">
        <v>73.02</v>
      </c>
      <c r="F217" s="803">
        <f t="shared" si="39"/>
        <v>-550.27500000000134</v>
      </c>
      <c r="G217" s="803">
        <f t="shared" si="40"/>
        <v>11503.275000000001</v>
      </c>
      <c r="H217" s="804">
        <f t="shared" si="41"/>
        <v>-4.7836377031758456E-2</v>
      </c>
      <c r="I217" s="805"/>
      <c r="J217" s="802">
        <v>43.77</v>
      </c>
      <c r="K217" s="803">
        <v>108</v>
      </c>
      <c r="L217" s="802"/>
    </row>
    <row r="218" spans="1:12" x14ac:dyDescent="0.25">
      <c r="A218" s="810">
        <v>100</v>
      </c>
      <c r="B218" s="806">
        <v>43098</v>
      </c>
      <c r="C218" s="802">
        <v>150</v>
      </c>
      <c r="D218" s="803">
        <v>76.341999999999999</v>
      </c>
      <c r="E218" s="803">
        <v>72</v>
      </c>
      <c r="F218" s="803">
        <f t="shared" si="39"/>
        <v>-651.29999999999984</v>
      </c>
      <c r="G218" s="803">
        <f t="shared" si="40"/>
        <v>11451.3</v>
      </c>
      <c r="H218" s="804">
        <f t="shared" si="41"/>
        <v>-5.6875638573786365E-2</v>
      </c>
      <c r="I218" s="805" t="s">
        <v>823</v>
      </c>
      <c r="J218" s="802"/>
      <c r="K218" s="803">
        <v>7</v>
      </c>
      <c r="L218" s="802"/>
    </row>
    <row r="219" spans="1:12" x14ac:dyDescent="0.25">
      <c r="A219" s="810">
        <v>100</v>
      </c>
      <c r="B219" s="806">
        <v>43098</v>
      </c>
      <c r="C219" s="802">
        <v>200</v>
      </c>
      <c r="D219" s="803">
        <v>75.17</v>
      </c>
      <c r="E219" s="803">
        <v>71.64</v>
      </c>
      <c r="F219" s="803">
        <f t="shared" si="39"/>
        <v>-706.00000000000023</v>
      </c>
      <c r="G219" s="803">
        <f t="shared" si="40"/>
        <v>15034</v>
      </c>
      <c r="H219" s="804">
        <f t="shared" si="41"/>
        <v>-4.6960223493414943E-2</v>
      </c>
      <c r="I219" s="809">
        <v>75</v>
      </c>
      <c r="J219" s="802"/>
      <c r="K219" s="803">
        <v>-47</v>
      </c>
      <c r="L219" s="802"/>
    </row>
    <row r="220" spans="1:12" x14ac:dyDescent="0.25">
      <c r="A220" s="810">
        <v>50</v>
      </c>
      <c r="B220" s="806">
        <v>43102</v>
      </c>
      <c r="C220" s="802">
        <v>150</v>
      </c>
      <c r="D220" s="803">
        <v>75.698999999999998</v>
      </c>
      <c r="E220" s="803">
        <v>74.099999999999994</v>
      </c>
      <c r="F220" s="803">
        <f t="shared" si="39"/>
        <v>-239.85000000000056</v>
      </c>
      <c r="G220" s="803">
        <f t="shared" si="40"/>
        <v>11354.85</v>
      </c>
      <c r="H220" s="807">
        <f t="shared" si="41"/>
        <v>-2.1123132405976353E-2</v>
      </c>
      <c r="I220" s="809" t="s">
        <v>828</v>
      </c>
      <c r="J220" s="802"/>
      <c r="K220" s="803">
        <v>419</v>
      </c>
      <c r="L220" s="802"/>
    </row>
    <row r="221" spans="1:12" x14ac:dyDescent="0.25">
      <c r="A221" s="810">
        <v>0</v>
      </c>
      <c r="B221" s="806">
        <v>43105</v>
      </c>
      <c r="C221" s="802">
        <v>100</v>
      </c>
      <c r="D221" s="803">
        <v>76.293999999999997</v>
      </c>
      <c r="E221" s="803">
        <v>74.52</v>
      </c>
      <c r="F221" s="803">
        <f t="shared" si="39"/>
        <v>-177.40000000000009</v>
      </c>
      <c r="G221" s="803">
        <f t="shared" si="40"/>
        <v>7629.4</v>
      </c>
      <c r="H221" s="804">
        <f t="shared" si="41"/>
        <v>-2.3252156132854498E-2</v>
      </c>
      <c r="I221" s="809" t="s">
        <v>854</v>
      </c>
      <c r="J221" s="802"/>
      <c r="K221" s="803">
        <v>481</v>
      </c>
      <c r="L221" s="802"/>
    </row>
    <row r="222" spans="1:12" x14ac:dyDescent="0.25">
      <c r="A222" s="810">
        <v>0</v>
      </c>
      <c r="B222" s="806">
        <v>43109</v>
      </c>
      <c r="C222" s="802">
        <v>100</v>
      </c>
      <c r="D222" s="803">
        <v>76.290000000000006</v>
      </c>
      <c r="E222" s="803">
        <v>78.099999999999994</v>
      </c>
      <c r="F222" s="803">
        <f t="shared" si="39"/>
        <v>180.99999999999881</v>
      </c>
      <c r="G222" s="803">
        <f t="shared" si="40"/>
        <v>7629.0000000000009</v>
      </c>
      <c r="H222" s="804">
        <f t="shared" si="41"/>
        <v>2.3725258880587075E-2</v>
      </c>
      <c r="I222" s="805"/>
      <c r="J222" s="802"/>
      <c r="K222" s="803">
        <v>839</v>
      </c>
      <c r="L222" s="802"/>
    </row>
    <row r="223" spans="1:12" x14ac:dyDescent="0.25">
      <c r="A223" s="810">
        <v>0</v>
      </c>
      <c r="B223" s="806">
        <v>43110</v>
      </c>
      <c r="C223" s="802">
        <v>100</v>
      </c>
      <c r="D223" s="803">
        <v>76.290000000000006</v>
      </c>
      <c r="E223" s="803">
        <v>78.709999999999994</v>
      </c>
      <c r="F223" s="803">
        <f t="shared" si="39"/>
        <v>241.99999999999875</v>
      </c>
      <c r="G223" s="803">
        <f t="shared" si="40"/>
        <v>7629.0000000000009</v>
      </c>
      <c r="H223" s="804">
        <f t="shared" si="41"/>
        <v>3.1721064359680001E-2</v>
      </c>
      <c r="I223" s="809">
        <v>76</v>
      </c>
      <c r="J223" s="809">
        <v>67.739999999999995</v>
      </c>
      <c r="K223" s="803">
        <v>900.23</v>
      </c>
      <c r="L223" s="802"/>
    </row>
    <row r="224" spans="1:12" x14ac:dyDescent="0.25">
      <c r="A224" s="810">
        <v>0</v>
      </c>
      <c r="B224" s="806">
        <v>43117</v>
      </c>
      <c r="C224" s="802">
        <v>100</v>
      </c>
      <c r="D224" s="803">
        <v>76.290000000000006</v>
      </c>
      <c r="E224" s="803">
        <v>81.739999999999995</v>
      </c>
      <c r="F224" s="803">
        <f t="shared" si="39"/>
        <v>544.99999999999886</v>
      </c>
      <c r="G224" s="803">
        <f t="shared" si="40"/>
        <v>7629.0000000000009</v>
      </c>
      <c r="H224" s="804">
        <f t="shared" si="41"/>
        <v>7.143793419845311E-2</v>
      </c>
      <c r="I224" s="809">
        <v>76</v>
      </c>
      <c r="J224" s="809"/>
      <c r="K224" s="803">
        <v>1203</v>
      </c>
      <c r="L224" s="802"/>
    </row>
    <row r="225" spans="1:12" x14ac:dyDescent="0.25">
      <c r="A225" s="810">
        <v>0</v>
      </c>
      <c r="B225" s="806">
        <v>43126</v>
      </c>
      <c r="C225" s="802">
        <v>50</v>
      </c>
      <c r="D225" s="803">
        <v>68.62</v>
      </c>
      <c r="E225" s="803">
        <v>83.97</v>
      </c>
      <c r="F225" s="803">
        <f t="shared" si="39"/>
        <v>767.49999999999977</v>
      </c>
      <c r="G225" s="803">
        <f t="shared" si="40"/>
        <v>3431</v>
      </c>
      <c r="H225" s="804">
        <f t="shared" si="41"/>
        <v>0.22369571553482939</v>
      </c>
      <c r="I225" s="805"/>
      <c r="J225" s="802"/>
      <c r="K225" s="803">
        <v>1426</v>
      </c>
      <c r="L225" s="802"/>
    </row>
    <row r="226" spans="1:12" x14ac:dyDescent="0.25">
      <c r="A226" s="802"/>
      <c r="B226" s="802"/>
      <c r="C226" s="802"/>
      <c r="D226" s="803"/>
      <c r="E226" s="803"/>
      <c r="F226" s="803"/>
      <c r="G226" s="802"/>
      <c r="H226" s="802"/>
      <c r="I226" s="802"/>
      <c r="J226" s="802"/>
      <c r="K226" s="802"/>
      <c r="L226" s="802"/>
    </row>
    <row r="227" spans="1:12" x14ac:dyDescent="0.25">
      <c r="A227" s="802"/>
      <c r="B227" s="802"/>
      <c r="C227" s="802"/>
      <c r="D227" s="803"/>
      <c r="E227" s="803"/>
      <c r="F227" s="803"/>
      <c r="G227" s="802"/>
      <c r="H227" s="802"/>
      <c r="I227" s="802"/>
      <c r="J227" s="802"/>
      <c r="K227" s="802"/>
      <c r="L227" s="802"/>
    </row>
    <row r="228" spans="1:12" x14ac:dyDescent="0.25">
      <c r="A228" s="802"/>
      <c r="B228" s="802"/>
      <c r="C228" s="802"/>
      <c r="D228" s="803"/>
      <c r="E228" s="803"/>
      <c r="F228" s="803"/>
      <c r="G228" s="802"/>
      <c r="H228" s="802"/>
      <c r="I228" s="802"/>
      <c r="J228" s="802"/>
      <c r="K228" s="802"/>
      <c r="L228" s="802"/>
    </row>
    <row r="229" spans="1:12" x14ac:dyDescent="0.25">
      <c r="A229" s="802"/>
      <c r="B229" s="802"/>
      <c r="C229" s="802"/>
      <c r="D229" s="803"/>
      <c r="E229" s="803"/>
      <c r="F229" s="803"/>
      <c r="G229" s="802"/>
      <c r="H229" s="802"/>
      <c r="I229" s="802"/>
      <c r="J229" s="802"/>
      <c r="K229" s="802"/>
      <c r="L229" s="802"/>
    </row>
    <row r="230" spans="1:12" x14ac:dyDescent="0.25">
      <c r="A230" s="802"/>
      <c r="B230" s="802"/>
      <c r="C230" s="802"/>
      <c r="D230" s="803"/>
      <c r="E230" s="803"/>
      <c r="F230" s="803"/>
      <c r="G230" s="802"/>
      <c r="H230" s="802"/>
      <c r="I230" s="802"/>
      <c r="J230" s="802"/>
      <c r="K230" s="802"/>
      <c r="L230" s="802"/>
    </row>
    <row r="231" spans="1:12" x14ac:dyDescent="0.25">
      <c r="A231" s="802"/>
      <c r="B231" s="802"/>
      <c r="C231" s="802"/>
      <c r="D231" s="803"/>
      <c r="E231" s="803"/>
      <c r="F231" s="803"/>
      <c r="G231" s="802"/>
      <c r="H231" s="802"/>
      <c r="I231" s="802"/>
      <c r="J231" s="802"/>
      <c r="K231" s="802"/>
      <c r="L231" s="802"/>
    </row>
    <row r="232" spans="1:12" x14ac:dyDescent="0.25">
      <c r="A232" s="802"/>
      <c r="B232" s="802"/>
      <c r="C232" s="802"/>
      <c r="D232" s="803"/>
      <c r="E232" s="803"/>
      <c r="F232" s="803"/>
      <c r="G232" s="802"/>
      <c r="H232" s="802"/>
      <c r="I232" s="802"/>
      <c r="J232" s="802"/>
      <c r="K232" s="802"/>
      <c r="L232" s="802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77.75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77.75</v>
      </c>
      <c r="R4" s="475">
        <v>1.1999999999999999E-3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9" t="s">
        <v>78</v>
      </c>
      <c r="P42" s="8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85.525000000000006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84.747500000000002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83.97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83.19250000000001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82.415000000000006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81.637500000000003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80.86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80.082499999999996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79.305000000000007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78.527500000000003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77.75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76.972499999999997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76.194999999999993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75.417500000000004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74.64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73.862499999999997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73.084999999999994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72.307500000000005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71.53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70.752499999999998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69.975000000000009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46.059899999999999</v>
      </c>
      <c r="R4" s="475">
        <v>1.1000000000000001E-3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6908.9849999999997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-894.02499999999964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-943.97499999999945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-0.12020626617224579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4.2553283875996259E-2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1128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14.954512987012986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9" t="s">
        <v>78</v>
      </c>
      <c r="P17" s="849"/>
    </row>
    <row r="18" spans="1:16" ht="15.75" thickTop="1" x14ac:dyDescent="0.25">
      <c r="H18" s="70"/>
      <c r="O18" s="81">
        <v>1.1000000000000001</v>
      </c>
      <c r="P18" s="81">
        <f>O18*$Q$4</f>
        <v>50.665890000000005</v>
      </c>
    </row>
    <row r="19" spans="1:16" x14ac:dyDescent="0.25">
      <c r="H19" s="70"/>
      <c r="O19" s="81">
        <v>1.0900000000000001</v>
      </c>
      <c r="P19" s="81">
        <f t="shared" ref="P19:P38" si="2">O19*$Q$4</f>
        <v>50.205291000000003</v>
      </c>
    </row>
    <row r="20" spans="1:16" x14ac:dyDescent="0.25">
      <c r="H20" s="70"/>
      <c r="O20" s="81">
        <v>1.08</v>
      </c>
      <c r="P20" s="81">
        <f t="shared" si="2"/>
        <v>49.744692000000001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49.284092999999999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48.823494000000004</v>
      </c>
    </row>
    <row r="23" spans="1:16" x14ac:dyDescent="0.25">
      <c r="O23" s="81">
        <v>1.05</v>
      </c>
      <c r="P23" s="81">
        <f t="shared" si="2"/>
        <v>48.362895000000002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47.902296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47.441696999999998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46.981098000000003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46.520499000000001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46.059899999999999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45.599300999999997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45.138701999999995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44.678103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44.217503999999998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43.756904999999996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43.296305999999994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42.835706999999999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42.375107999999997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41.914509000000002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41.45391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41.25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41.25</v>
      </c>
      <c r="R4" s="475">
        <v>3.2000000000000002E-3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9" t="s">
        <v>78</v>
      </c>
      <c r="P41" s="8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45.375000000000007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44.962500000000006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44.550000000000004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44.137500000000003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43.725000000000001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43.3125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42.487500000000004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42.075000000000003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41.662500000000001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41.25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40.837499999999999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40.424999999999997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40.012499999999996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39.6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39.1875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38.774999999999999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38.362500000000004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37.950000000000003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37.537500000000001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37.125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208.75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208.75</v>
      </c>
      <c r="R4" s="475">
        <v>1.06E-2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9" t="s">
        <v>78</v>
      </c>
      <c r="P45" s="849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229.62500000000003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227.53750000000002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225.45000000000002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223.36250000000001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221.27500000000001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219.1875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217.1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215.01250000000002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212.92500000000001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210.83750000000001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208.75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206.66249999999999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204.57499999999999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202.48749999999998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200.4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198.3125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196.22499999999999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194.13750000000002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192.05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189.96250000000001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187.875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44.6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44.6</v>
      </c>
      <c r="R4" s="475">
        <v>3.8999999999999998E-3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49.06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48.614000000000004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48.168000000000006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47.722000000000001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47.276000000000003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46.830000000000005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46.384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45.938000000000002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45.492000000000004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45.045999999999999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44.6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44.154000000000003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43.707999999999998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43.262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42.816000000000003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42.37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41.923999999999999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41.478000000000002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41.032000000000004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40.586000000000006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40.14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124.87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124.87</v>
      </c>
      <c r="R4" s="475">
        <v>1.14E-2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9" t="s">
        <v>78</v>
      </c>
      <c r="Q39" s="8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137.35700000000003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136.10830000000001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134.8596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133.61090000000002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132.3622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131.11350000000002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129.8648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128.61610000000002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127.3674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126.1187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124.87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123.62130000000001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122.37260000000001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121.12390000000001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119.87520000000001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118.62649999999999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117.37779999999999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116.12910000000001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114.88040000000001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113.63170000000001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112.38300000000001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254.37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254.37</v>
      </c>
      <c r="R4" s="475">
        <v>9.2999999999999992E-3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9" t="s">
        <v>78</v>
      </c>
      <c r="P41" s="8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279.80700000000002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277.26330000000002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274.71960000000001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272.17590000000001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269.63220000000001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267.08850000000001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264.54480000000001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262.00110000000001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259.45740000000001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256.91370000000001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254.37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251.8263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249.2826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246.7389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244.1952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241.6515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239.1078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236.56410000000002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234.02040000000002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231.47670000000002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228.93300000000002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76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2018-06-27T01:05:24Z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