
<file path=[Content_Types].xml><?xml version="1.0" encoding="utf-8"?>
<Types xmlns="http://schemas.openxmlformats.org/package/2006/content-type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defaultThemeVersion="166925"/>
  <mc:AlternateContent xmlns:mc="http://schemas.openxmlformats.org/markup-compatibility/2006">
    <mc:Choice Requires="x15">
      <x15ac:absPath xmlns:x15ac="http://schemas.microsoft.com/office/spreadsheetml/2010/11/ac" url="/Users/minttu/det_hiv_hpv/instructions/"/>
    </mc:Choice>
  </mc:AlternateContent>
  <xr:revisionPtr revIDLastSave="0" documentId="13_ncr:1_{4967D73D-57C3-A34D-89B6-4A7BE2394E62}" xr6:coauthVersionLast="47" xr6:coauthVersionMax="47" xr10:uidLastSave="{00000000-0000-0000-0000-000000000000}"/>
  <bookViews>
    <workbookView xWindow="39680" yWindow="-4440" windowWidth="23820" windowHeight="21080" xr2:uid="{5C9F4B65-4018-FC43-9555-8DE6A76072AE}"/>
  </bookViews>
  <sheets>
    <sheet name="Demo" sheetId="36" r:id="rId1"/>
    <sheet name="Behav_params" sheetId="37" r:id="rId2"/>
    <sheet name="HIV_params" sheetId="38" r:id="rId3"/>
    <sheet name="HPV_params" sheetId="39" r:id="rId4"/>
    <sheet name="Calib_Demogr" sheetId="7" r:id="rId5"/>
    <sheet name="Calib_AllDeaths" sheetId="11" r:id="rId6"/>
    <sheet name="UnderReport" sheetId="17" r:id="rId7"/>
    <sheet name="Calib_HIV_deaths" sheetId="35" r:id="rId8"/>
    <sheet name="Calib_HIV_PrevInc" sheetId="6" r:id="rId9"/>
    <sheet name="HIV_FSW" sheetId="15" r:id="rId10"/>
    <sheet name="Calib_ARTcoverage" sheetId="14" r:id="rId1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21" i="39" l="1"/>
  <c r="E35" i="36" l="1"/>
  <c r="L19" i="38" l="1"/>
  <c r="M19" i="38"/>
  <c r="G21" i="39"/>
  <c r="I23" i="38"/>
  <c r="I19" i="38"/>
  <c r="J7" i="38"/>
  <c r="J4" i="38"/>
  <c r="J2" i="38"/>
  <c r="I2" i="38"/>
  <c r="M5" i="35" l="1"/>
  <c r="I21" i="39" l="1"/>
  <c r="L2" i="38" l="1"/>
  <c r="L23" i="38"/>
  <c r="M7" i="38"/>
  <c r="M4" i="38"/>
  <c r="M2" i="38"/>
  <c r="F23" i="38" l="1"/>
  <c r="F19" i="38"/>
  <c r="G7" i="38"/>
  <c r="G4" i="38"/>
  <c r="G2" i="38"/>
  <c r="F2" i="38"/>
  <c r="G69" i="37"/>
  <c r="G63" i="37"/>
  <c r="G62" i="37"/>
  <c r="H53" i="37"/>
  <c r="H52" i="37"/>
  <c r="H50" i="37"/>
  <c r="G48" i="37"/>
  <c r="G47" i="37"/>
  <c r="H46" i="37"/>
  <c r="H48" i="37" s="1"/>
  <c r="H37" i="37"/>
  <c r="H34" i="37"/>
  <c r="H31" i="37"/>
  <c r="G31" i="37"/>
  <c r="H30" i="37"/>
  <c r="G30" i="37"/>
  <c r="H29" i="37"/>
  <c r="G29" i="37"/>
  <c r="G27" i="37"/>
  <c r="H26" i="37"/>
  <c r="G26" i="37"/>
  <c r="H25" i="37"/>
  <c r="H24" i="37"/>
  <c r="G23" i="37"/>
  <c r="H20" i="37"/>
  <c r="G20" i="37"/>
  <c r="G19" i="37"/>
  <c r="G18" i="37"/>
  <c r="H17" i="37"/>
  <c r="G17" i="37"/>
  <c r="G14" i="37"/>
  <c r="H5" i="37"/>
  <c r="G5" i="37"/>
  <c r="H2" i="37"/>
  <c r="G2" i="37"/>
  <c r="H47" i="37" l="1"/>
  <c r="E11" i="36"/>
  <c r="E10" i="36"/>
  <c r="L59" i="35" l="1"/>
  <c r="M59" i="35"/>
  <c r="M30" i="35"/>
  <c r="M33" i="35"/>
  <c r="M34" i="35"/>
  <c r="M35" i="35"/>
  <c r="M36" i="35"/>
  <c r="M37" i="35"/>
  <c r="M38" i="35"/>
  <c r="M39" i="35"/>
  <c r="M40" i="35"/>
  <c r="M41" i="35"/>
  <c r="M42" i="35"/>
  <c r="M43" i="35"/>
  <c r="M44" i="35"/>
  <c r="M45" i="35"/>
  <c r="M46" i="35"/>
  <c r="M47" i="35"/>
  <c r="M48" i="35"/>
  <c r="M49" i="35"/>
  <c r="M50" i="35"/>
  <c r="M51" i="35"/>
  <c r="M52" i="35"/>
  <c r="M53" i="35"/>
  <c r="M54" i="35"/>
  <c r="M55" i="35"/>
  <c r="M56" i="35"/>
  <c r="M57" i="35"/>
  <c r="M58" i="35"/>
  <c r="M6" i="35"/>
  <c r="M7" i="35"/>
  <c r="M8" i="35"/>
  <c r="M9" i="35"/>
  <c r="M10" i="35"/>
  <c r="M11" i="35"/>
  <c r="M12" i="35"/>
  <c r="M13" i="35"/>
  <c r="M14" i="35"/>
  <c r="M15" i="35"/>
  <c r="M16" i="35"/>
  <c r="M17" i="35"/>
  <c r="M18" i="35"/>
  <c r="M19" i="35"/>
  <c r="M20" i="35"/>
  <c r="M21" i="35"/>
  <c r="M22" i="35"/>
  <c r="M23" i="35"/>
  <c r="M24" i="35"/>
  <c r="M25" i="35"/>
  <c r="M26" i="35"/>
  <c r="M27" i="35"/>
  <c r="M28" i="35"/>
  <c r="M29" i="35"/>
  <c r="M4" i="35"/>
  <c r="L30" i="35"/>
  <c r="L35" i="35"/>
  <c r="L36" i="35"/>
  <c r="L37" i="35"/>
  <c r="L38" i="35"/>
  <c r="L39" i="35"/>
  <c r="L40" i="35"/>
  <c r="L41" i="35"/>
  <c r="L42" i="35"/>
  <c r="L43" i="35"/>
  <c r="L44" i="35"/>
  <c r="L45" i="35"/>
  <c r="L46" i="35"/>
  <c r="L47" i="35"/>
  <c r="L48" i="35"/>
  <c r="L49" i="35"/>
  <c r="L50" i="35"/>
  <c r="L51" i="35"/>
  <c r="L52" i="35"/>
  <c r="L53" i="35"/>
  <c r="L54" i="35"/>
  <c r="L55" i="35"/>
  <c r="L56" i="35"/>
  <c r="L57" i="35"/>
  <c r="L58" i="35"/>
  <c r="L29" i="35"/>
  <c r="L7" i="35"/>
  <c r="L8" i="35"/>
  <c r="L9" i="35"/>
  <c r="L10" i="35"/>
  <c r="L11" i="35"/>
  <c r="L12" i="35"/>
  <c r="L13" i="35"/>
  <c r="L14" i="35"/>
  <c r="L15" i="35"/>
  <c r="L16" i="35"/>
  <c r="L17" i="35"/>
  <c r="L18" i="35"/>
  <c r="L19" i="35"/>
  <c r="L20" i="35"/>
  <c r="L21" i="35"/>
  <c r="L22" i="35"/>
  <c r="L23" i="35"/>
  <c r="L24" i="35"/>
  <c r="L25" i="35"/>
  <c r="L26" i="35"/>
  <c r="L27" i="35"/>
  <c r="L28" i="35"/>
  <c r="L6" i="35"/>
  <c r="X2" i="7" l="1"/>
  <c r="V2" i="7"/>
  <c r="W2" i="7"/>
  <c r="U3" i="7"/>
  <c r="U4" i="7"/>
  <c r="U5" i="7"/>
  <c r="U6" i="7"/>
  <c r="U7" i="7"/>
  <c r="U8" i="7"/>
  <c r="U9" i="7"/>
  <c r="U10" i="7"/>
  <c r="U11" i="7"/>
  <c r="U12" i="7"/>
  <c r="U13" i="7"/>
  <c r="U14" i="7"/>
  <c r="U15" i="7"/>
  <c r="U16" i="7"/>
  <c r="U17" i="7"/>
  <c r="U18" i="7"/>
  <c r="U19" i="7"/>
  <c r="U20" i="7"/>
  <c r="U21" i="7"/>
  <c r="U22" i="7"/>
  <c r="U23" i="7"/>
  <c r="U24" i="7"/>
  <c r="U25" i="7"/>
  <c r="U26" i="7"/>
  <c r="U27" i="7"/>
  <c r="U28" i="7"/>
  <c r="U29" i="7"/>
  <c r="U30" i="7"/>
  <c r="U31" i="7"/>
  <c r="U32" i="7"/>
  <c r="U33" i="7"/>
  <c r="U34" i="7"/>
  <c r="U35" i="7"/>
  <c r="U36" i="7"/>
  <c r="U37" i="7"/>
  <c r="U38" i="7"/>
  <c r="U39" i="7"/>
  <c r="U40" i="7"/>
  <c r="U41" i="7"/>
  <c r="U42" i="7"/>
  <c r="U43" i="7"/>
  <c r="U44" i="7"/>
  <c r="U45" i="7"/>
  <c r="U46" i="7"/>
  <c r="U47" i="7"/>
  <c r="U48" i="7"/>
  <c r="U49" i="7"/>
  <c r="U50" i="7"/>
  <c r="U51" i="7"/>
  <c r="U52" i="7"/>
  <c r="U53" i="7"/>
  <c r="U54" i="7"/>
  <c r="U55" i="7"/>
  <c r="U56" i="7"/>
  <c r="U57" i="7"/>
  <c r="U58" i="7"/>
  <c r="U59" i="7"/>
  <c r="U60" i="7"/>
  <c r="U61" i="7"/>
  <c r="U62" i="7"/>
  <c r="U63" i="7"/>
  <c r="U64" i="7"/>
  <c r="U65" i="7"/>
  <c r="U66" i="7"/>
  <c r="U67" i="7"/>
  <c r="U68" i="7"/>
  <c r="U69" i="7"/>
  <c r="U70" i="7"/>
  <c r="U71" i="7"/>
  <c r="U72" i="7"/>
  <c r="U73" i="7"/>
  <c r="U74" i="7"/>
  <c r="U75" i="7"/>
  <c r="U76" i="7"/>
  <c r="U77" i="7"/>
  <c r="U78" i="7"/>
  <c r="U79" i="7"/>
  <c r="U80" i="7"/>
  <c r="U81" i="7"/>
  <c r="U82" i="7"/>
  <c r="U83" i="7"/>
  <c r="U84" i="7"/>
  <c r="U85" i="7"/>
  <c r="U86" i="7"/>
  <c r="U87" i="7"/>
  <c r="U88" i="7"/>
  <c r="U89" i="7"/>
  <c r="U90" i="7"/>
  <c r="U91" i="7"/>
  <c r="U92" i="7"/>
  <c r="U93" i="7"/>
  <c r="U94" i="7"/>
  <c r="U95" i="7"/>
  <c r="U96" i="7"/>
  <c r="U97" i="7"/>
  <c r="U98" i="7"/>
  <c r="U99" i="7"/>
  <c r="U100" i="7"/>
  <c r="U101" i="7"/>
  <c r="U102" i="7"/>
  <c r="U103" i="7"/>
  <c r="U104" i="7"/>
  <c r="U105" i="7"/>
  <c r="U106" i="7"/>
  <c r="U107" i="7"/>
  <c r="U108" i="7"/>
  <c r="U109" i="7"/>
  <c r="U110" i="7"/>
  <c r="U111" i="7"/>
  <c r="U112" i="7"/>
  <c r="U113" i="7"/>
  <c r="U114" i="7"/>
  <c r="U115" i="7"/>
  <c r="U116" i="7"/>
  <c r="U117" i="7"/>
  <c r="U118" i="7"/>
  <c r="U119" i="7"/>
  <c r="U120" i="7"/>
  <c r="U121" i="7"/>
  <c r="U122" i="7"/>
  <c r="U123" i="7"/>
  <c r="U124" i="7"/>
  <c r="U125" i="7"/>
  <c r="U126" i="7"/>
  <c r="U127" i="7"/>
  <c r="U128" i="7"/>
  <c r="U129" i="7"/>
  <c r="U130" i="7"/>
  <c r="U131" i="7"/>
  <c r="U132" i="7"/>
  <c r="U133" i="7"/>
  <c r="U134" i="7"/>
  <c r="U135" i="7"/>
  <c r="U136" i="7"/>
  <c r="U137" i="7"/>
  <c r="U138" i="7"/>
  <c r="U139" i="7"/>
  <c r="U140" i="7"/>
  <c r="U141" i="7"/>
  <c r="U142" i="7"/>
  <c r="U2" i="7"/>
  <c r="T2" i="7"/>
  <c r="S2" i="7"/>
  <c r="X3" i="7"/>
  <c r="X4" i="7"/>
  <c r="X5" i="7"/>
  <c r="X6" i="7"/>
  <c r="X7" i="7"/>
  <c r="X8" i="7"/>
  <c r="X9" i="7"/>
  <c r="X10" i="7"/>
  <c r="X11" i="7"/>
  <c r="X12" i="7"/>
  <c r="X13" i="7"/>
  <c r="X14" i="7"/>
  <c r="X15" i="7"/>
  <c r="X16" i="7"/>
  <c r="X17" i="7"/>
  <c r="X18" i="7"/>
  <c r="X19" i="7"/>
  <c r="X20" i="7"/>
  <c r="X21" i="7"/>
  <c r="X22" i="7"/>
  <c r="X23" i="7"/>
  <c r="X24" i="7"/>
  <c r="X25" i="7"/>
  <c r="X26" i="7"/>
  <c r="X27" i="7"/>
  <c r="X28" i="7"/>
  <c r="X29" i="7"/>
  <c r="X30" i="7"/>
  <c r="X31" i="7"/>
  <c r="X32" i="7"/>
  <c r="X33" i="7"/>
  <c r="X34" i="7"/>
  <c r="X35" i="7"/>
  <c r="X36" i="7"/>
  <c r="X37" i="7"/>
  <c r="X38" i="7"/>
  <c r="X39" i="7"/>
  <c r="X40" i="7"/>
  <c r="X41" i="7"/>
  <c r="X42" i="7"/>
  <c r="X43" i="7"/>
  <c r="X44" i="7"/>
  <c r="X45" i="7"/>
  <c r="X46" i="7"/>
  <c r="X47" i="7"/>
  <c r="X48" i="7"/>
  <c r="X49" i="7"/>
  <c r="X50" i="7"/>
  <c r="X51" i="7"/>
  <c r="X52" i="7"/>
  <c r="X53" i="7"/>
  <c r="X54" i="7"/>
  <c r="X55" i="7"/>
  <c r="X56" i="7"/>
  <c r="X57" i="7"/>
  <c r="X58" i="7"/>
  <c r="X59" i="7"/>
  <c r="X60" i="7"/>
  <c r="X61" i="7"/>
  <c r="X62" i="7"/>
  <c r="X63" i="7"/>
  <c r="X64" i="7"/>
  <c r="X65" i="7"/>
  <c r="X66" i="7"/>
  <c r="X67" i="7"/>
  <c r="X68" i="7"/>
  <c r="X69" i="7"/>
  <c r="X70" i="7"/>
  <c r="X71" i="7"/>
  <c r="X72" i="7"/>
  <c r="X73" i="7"/>
  <c r="X74" i="7"/>
  <c r="X75" i="7"/>
  <c r="X76" i="7"/>
  <c r="X77" i="7"/>
  <c r="X78" i="7"/>
  <c r="X79" i="7"/>
  <c r="X80" i="7"/>
  <c r="X81" i="7"/>
  <c r="X82" i="7"/>
  <c r="X83" i="7"/>
  <c r="X84" i="7"/>
  <c r="X85" i="7"/>
  <c r="X86" i="7"/>
  <c r="X87" i="7"/>
  <c r="X88" i="7"/>
  <c r="X89" i="7"/>
  <c r="X90" i="7"/>
  <c r="X91" i="7"/>
  <c r="X92" i="7"/>
  <c r="X93" i="7"/>
  <c r="X94" i="7"/>
  <c r="X95" i="7"/>
  <c r="X96" i="7"/>
  <c r="X97" i="7"/>
  <c r="X98" i="7"/>
  <c r="X99" i="7"/>
  <c r="X100" i="7"/>
  <c r="X101" i="7"/>
  <c r="X102" i="7"/>
  <c r="X103" i="7"/>
  <c r="X104" i="7"/>
  <c r="X105" i="7"/>
  <c r="X106" i="7"/>
  <c r="X107" i="7"/>
  <c r="X108" i="7"/>
  <c r="X109" i="7"/>
  <c r="X110" i="7"/>
  <c r="X111" i="7"/>
  <c r="X112" i="7"/>
  <c r="X113" i="7"/>
  <c r="X114" i="7"/>
  <c r="X115" i="7"/>
  <c r="X116" i="7"/>
  <c r="X117" i="7"/>
  <c r="X118" i="7"/>
  <c r="X119" i="7"/>
  <c r="X120" i="7"/>
  <c r="X121" i="7"/>
  <c r="X122" i="7"/>
  <c r="X123" i="7"/>
  <c r="X124" i="7"/>
  <c r="X125" i="7"/>
  <c r="X126" i="7"/>
  <c r="X127" i="7"/>
  <c r="X128" i="7"/>
  <c r="X129" i="7"/>
  <c r="X130" i="7"/>
  <c r="X131" i="7"/>
  <c r="X132" i="7"/>
  <c r="X133" i="7"/>
  <c r="X134" i="7"/>
  <c r="X135" i="7"/>
  <c r="X136" i="7"/>
  <c r="X137" i="7"/>
  <c r="X138" i="7"/>
  <c r="X139" i="7"/>
  <c r="X140" i="7"/>
  <c r="X141" i="7"/>
  <c r="X142" i="7"/>
  <c r="W3" i="7"/>
  <c r="W4" i="7"/>
  <c r="W5" i="7"/>
  <c r="W6" i="7"/>
  <c r="W7" i="7"/>
  <c r="W8" i="7"/>
  <c r="W9" i="7"/>
  <c r="W10" i="7"/>
  <c r="W11" i="7"/>
  <c r="W12" i="7"/>
  <c r="W13" i="7"/>
  <c r="W14" i="7"/>
  <c r="W15" i="7"/>
  <c r="W16" i="7"/>
  <c r="W17" i="7"/>
  <c r="W18" i="7"/>
  <c r="W19" i="7"/>
  <c r="W20" i="7"/>
  <c r="W21" i="7"/>
  <c r="W22" i="7"/>
  <c r="W23" i="7"/>
  <c r="W24" i="7"/>
  <c r="W25" i="7"/>
  <c r="W26" i="7"/>
  <c r="W27" i="7"/>
  <c r="W28" i="7"/>
  <c r="W29" i="7"/>
  <c r="W30" i="7"/>
  <c r="W31" i="7"/>
  <c r="W32" i="7"/>
  <c r="W33" i="7"/>
  <c r="W34" i="7"/>
  <c r="W35" i="7"/>
  <c r="W36" i="7"/>
  <c r="W37" i="7"/>
  <c r="W38" i="7"/>
  <c r="W39" i="7"/>
  <c r="W40" i="7"/>
  <c r="W41" i="7"/>
  <c r="W42" i="7"/>
  <c r="W43" i="7"/>
  <c r="W44" i="7"/>
  <c r="W45" i="7"/>
  <c r="W46" i="7"/>
  <c r="W47" i="7"/>
  <c r="W48" i="7"/>
  <c r="W49" i="7"/>
  <c r="W50" i="7"/>
  <c r="W51" i="7"/>
  <c r="W52" i="7"/>
  <c r="W53" i="7"/>
  <c r="W54" i="7"/>
  <c r="W55" i="7"/>
  <c r="W56" i="7"/>
  <c r="W57" i="7"/>
  <c r="W58" i="7"/>
  <c r="W59" i="7"/>
  <c r="W60" i="7"/>
  <c r="W61" i="7"/>
  <c r="W62" i="7"/>
  <c r="W63" i="7"/>
  <c r="W64" i="7"/>
  <c r="W65" i="7"/>
  <c r="W66" i="7"/>
  <c r="W67" i="7"/>
  <c r="W68" i="7"/>
  <c r="W69" i="7"/>
  <c r="W70" i="7"/>
  <c r="W71" i="7"/>
  <c r="W72" i="7"/>
  <c r="W73" i="7"/>
  <c r="W74" i="7"/>
  <c r="W75" i="7"/>
  <c r="W76" i="7"/>
  <c r="W77" i="7"/>
  <c r="W78" i="7"/>
  <c r="W79" i="7"/>
  <c r="W80" i="7"/>
  <c r="W81" i="7"/>
  <c r="W82" i="7"/>
  <c r="W83" i="7"/>
  <c r="W84" i="7"/>
  <c r="W85" i="7"/>
  <c r="W86" i="7"/>
  <c r="W87" i="7"/>
  <c r="W88" i="7"/>
  <c r="W89" i="7"/>
  <c r="W90" i="7"/>
  <c r="W91" i="7"/>
  <c r="W92" i="7"/>
  <c r="W93" i="7"/>
  <c r="W94" i="7"/>
  <c r="W95" i="7"/>
  <c r="W96" i="7"/>
  <c r="W97" i="7"/>
  <c r="W98" i="7"/>
  <c r="W99" i="7"/>
  <c r="W100" i="7"/>
  <c r="W101" i="7"/>
  <c r="W102" i="7"/>
  <c r="W103" i="7"/>
  <c r="W104" i="7"/>
  <c r="W105" i="7"/>
  <c r="W106" i="7"/>
  <c r="W107" i="7"/>
  <c r="W108" i="7"/>
  <c r="W109" i="7"/>
  <c r="W110" i="7"/>
  <c r="W111" i="7"/>
  <c r="W112" i="7"/>
  <c r="W113" i="7"/>
  <c r="W114" i="7"/>
  <c r="W115" i="7"/>
  <c r="W116" i="7"/>
  <c r="W117" i="7"/>
  <c r="W118" i="7"/>
  <c r="W119" i="7"/>
  <c r="W120" i="7"/>
  <c r="W121" i="7"/>
  <c r="W122" i="7"/>
  <c r="W123" i="7"/>
  <c r="W124" i="7"/>
  <c r="W125" i="7"/>
  <c r="W126" i="7"/>
  <c r="W127" i="7"/>
  <c r="W128" i="7"/>
  <c r="W129" i="7"/>
  <c r="W130" i="7"/>
  <c r="W131" i="7"/>
  <c r="W132" i="7"/>
  <c r="W133" i="7"/>
  <c r="W134" i="7"/>
  <c r="W135" i="7"/>
  <c r="W136" i="7"/>
  <c r="W137" i="7"/>
  <c r="W138" i="7"/>
  <c r="W139" i="7"/>
  <c r="W140" i="7"/>
  <c r="W141" i="7"/>
  <c r="W142" i="7"/>
  <c r="V3" i="7"/>
  <c r="V4" i="7"/>
  <c r="V5" i="7"/>
  <c r="V6" i="7"/>
  <c r="V7" i="7"/>
  <c r="V8" i="7"/>
  <c r="V9" i="7"/>
  <c r="V10" i="7"/>
  <c r="V11" i="7"/>
  <c r="V12" i="7"/>
  <c r="V13" i="7"/>
  <c r="V14" i="7"/>
  <c r="V15" i="7"/>
  <c r="V16" i="7"/>
  <c r="V17" i="7"/>
  <c r="V18" i="7"/>
  <c r="V19" i="7"/>
  <c r="V20" i="7"/>
  <c r="V21" i="7"/>
  <c r="V22" i="7"/>
  <c r="V23" i="7"/>
  <c r="V24" i="7"/>
  <c r="V25" i="7"/>
  <c r="V26" i="7"/>
  <c r="V27" i="7"/>
  <c r="V28" i="7"/>
  <c r="V29" i="7"/>
  <c r="V30" i="7"/>
  <c r="V31" i="7"/>
  <c r="V32" i="7"/>
  <c r="V33" i="7"/>
  <c r="V34" i="7"/>
  <c r="V35" i="7"/>
  <c r="V36" i="7"/>
  <c r="V37" i="7"/>
  <c r="V38" i="7"/>
  <c r="V39" i="7"/>
  <c r="V40" i="7"/>
  <c r="V41" i="7"/>
  <c r="V42" i="7"/>
  <c r="V43" i="7"/>
  <c r="V44" i="7"/>
  <c r="V45" i="7"/>
  <c r="V46" i="7"/>
  <c r="V47" i="7"/>
  <c r="V48" i="7"/>
  <c r="V49" i="7"/>
  <c r="V50" i="7"/>
  <c r="V51" i="7"/>
  <c r="V52" i="7"/>
  <c r="V53" i="7"/>
  <c r="V54" i="7"/>
  <c r="V55" i="7"/>
  <c r="V56" i="7"/>
  <c r="V57" i="7"/>
  <c r="V58" i="7"/>
  <c r="V59" i="7"/>
  <c r="V60" i="7"/>
  <c r="V61" i="7"/>
  <c r="V62" i="7"/>
  <c r="V63" i="7"/>
  <c r="V64" i="7"/>
  <c r="V65" i="7"/>
  <c r="V66" i="7"/>
  <c r="V67" i="7"/>
  <c r="V68" i="7"/>
  <c r="V69" i="7"/>
  <c r="V70" i="7"/>
  <c r="V71" i="7"/>
  <c r="V72" i="7"/>
  <c r="V73" i="7"/>
  <c r="V74" i="7"/>
  <c r="V75" i="7"/>
  <c r="V76" i="7"/>
  <c r="V77" i="7"/>
  <c r="V78" i="7"/>
  <c r="V79" i="7"/>
  <c r="V80" i="7"/>
  <c r="V81" i="7"/>
  <c r="V82" i="7"/>
  <c r="V83" i="7"/>
  <c r="V84" i="7"/>
  <c r="V85" i="7"/>
  <c r="V86" i="7"/>
  <c r="V87" i="7"/>
  <c r="V88" i="7"/>
  <c r="V89" i="7"/>
  <c r="V90" i="7"/>
  <c r="V91" i="7"/>
  <c r="V92" i="7"/>
  <c r="V93" i="7"/>
  <c r="V94" i="7"/>
  <c r="V95" i="7"/>
  <c r="V96" i="7"/>
  <c r="V97" i="7"/>
  <c r="V98" i="7"/>
  <c r="V99" i="7"/>
  <c r="V100" i="7"/>
  <c r="V101" i="7"/>
  <c r="V102" i="7"/>
  <c r="V103" i="7"/>
  <c r="V104" i="7"/>
  <c r="V105" i="7"/>
  <c r="V106" i="7"/>
  <c r="V107" i="7"/>
  <c r="V108" i="7"/>
  <c r="V109" i="7"/>
  <c r="V110" i="7"/>
  <c r="V111" i="7"/>
  <c r="V112" i="7"/>
  <c r="V113" i="7"/>
  <c r="V114" i="7"/>
  <c r="V115" i="7"/>
  <c r="V116" i="7"/>
  <c r="V117" i="7"/>
  <c r="V118" i="7"/>
  <c r="V119" i="7"/>
  <c r="V120" i="7"/>
  <c r="V121" i="7"/>
  <c r="V122" i="7"/>
  <c r="V123" i="7"/>
  <c r="V124" i="7"/>
  <c r="V125" i="7"/>
  <c r="V126" i="7"/>
  <c r="V127" i="7"/>
  <c r="V128" i="7"/>
  <c r="V129" i="7"/>
  <c r="V130" i="7"/>
  <c r="V131" i="7"/>
  <c r="V132" i="7"/>
  <c r="V133" i="7"/>
  <c r="V134" i="7"/>
  <c r="V135" i="7"/>
  <c r="V136" i="7"/>
  <c r="V137" i="7"/>
  <c r="V138" i="7"/>
  <c r="V139" i="7"/>
  <c r="V140" i="7"/>
  <c r="V141" i="7"/>
  <c r="V142" i="7"/>
  <c r="G2" i="15" l="1"/>
  <c r="F20" i="15" l="1"/>
  <c r="H2" i="15"/>
  <c r="F2" i="17"/>
  <c r="D16" i="7"/>
  <c r="Y16" i="7" s="1"/>
  <c r="G9" i="15"/>
  <c r="I9" i="15" s="1"/>
  <c r="G3" i="15"/>
  <c r="I3" i="15" s="1"/>
  <c r="G4" i="15"/>
  <c r="I4" i="15" s="1"/>
  <c r="G5" i="15"/>
  <c r="H5" i="15" s="1"/>
  <c r="G6" i="15"/>
  <c r="H6" i="15" s="1"/>
  <c r="G7" i="15"/>
  <c r="I7" i="15" s="1"/>
  <c r="G8" i="15"/>
  <c r="I8" i="15" s="1"/>
  <c r="I2" i="15"/>
  <c r="C7" i="17"/>
  <c r="C8" i="17"/>
  <c r="C9" i="17"/>
  <c r="C10" i="17"/>
  <c r="C11" i="17"/>
  <c r="C12" i="17"/>
  <c r="C13" i="17"/>
  <c r="F3" i="17"/>
  <c r="F4" i="17"/>
  <c r="C6" i="17"/>
  <c r="Y33" i="11"/>
  <c r="AA33" i="11" s="1"/>
  <c r="Y41" i="11"/>
  <c r="X3" i="11"/>
  <c r="X4" i="11"/>
  <c r="X5" i="11"/>
  <c r="X6" i="11"/>
  <c r="X7" i="11"/>
  <c r="X8" i="11"/>
  <c r="X9" i="11"/>
  <c r="X10" i="11"/>
  <c r="X11" i="11"/>
  <c r="X12" i="11"/>
  <c r="X13" i="11"/>
  <c r="X14" i="11"/>
  <c r="X15" i="11"/>
  <c r="X16" i="11"/>
  <c r="X17" i="11"/>
  <c r="X18" i="11"/>
  <c r="X19" i="11"/>
  <c r="X20" i="11"/>
  <c r="X21" i="11"/>
  <c r="X22" i="11"/>
  <c r="X23" i="11"/>
  <c r="X24" i="11"/>
  <c r="X25" i="11"/>
  <c r="X26" i="11"/>
  <c r="X27" i="11"/>
  <c r="X28" i="11"/>
  <c r="X29" i="11"/>
  <c r="X30" i="11"/>
  <c r="X31" i="11"/>
  <c r="X32" i="11"/>
  <c r="X33" i="11"/>
  <c r="X34" i="11"/>
  <c r="X35" i="11"/>
  <c r="X36" i="11"/>
  <c r="X37" i="11"/>
  <c r="X38" i="11"/>
  <c r="X39" i="11"/>
  <c r="X40" i="11"/>
  <c r="X41" i="11"/>
  <c r="X42" i="11"/>
  <c r="X43" i="11"/>
  <c r="X44" i="11"/>
  <c r="X45" i="11"/>
  <c r="X46" i="11"/>
  <c r="X47" i="11"/>
  <c r="X48" i="11"/>
  <c r="X49" i="11"/>
  <c r="X50" i="11"/>
  <c r="X51" i="11"/>
  <c r="X52" i="11"/>
  <c r="X53" i="11"/>
  <c r="X54" i="11"/>
  <c r="X55" i="11"/>
  <c r="X56" i="11"/>
  <c r="X57" i="11"/>
  <c r="X58" i="11"/>
  <c r="X59" i="11"/>
  <c r="X60" i="11"/>
  <c r="X61" i="11"/>
  <c r="X62" i="11"/>
  <c r="X63" i="11"/>
  <c r="X64" i="11"/>
  <c r="X65" i="11"/>
  <c r="X66" i="11"/>
  <c r="X67" i="11"/>
  <c r="X68" i="11"/>
  <c r="X69" i="11"/>
  <c r="X70" i="11"/>
  <c r="X71" i="11"/>
  <c r="X72" i="11"/>
  <c r="X73" i="11"/>
  <c r="X74" i="11"/>
  <c r="X75" i="11"/>
  <c r="X76" i="11"/>
  <c r="X77" i="11"/>
  <c r="X78" i="11"/>
  <c r="X79" i="11"/>
  <c r="X80" i="11"/>
  <c r="X81" i="11"/>
  <c r="X82" i="11"/>
  <c r="X83" i="11"/>
  <c r="X84" i="11"/>
  <c r="X85" i="11"/>
  <c r="X86" i="11"/>
  <c r="X87" i="11"/>
  <c r="X88" i="11"/>
  <c r="X89" i="11"/>
  <c r="X90" i="11"/>
  <c r="X91" i="11"/>
  <c r="X92" i="11"/>
  <c r="X93" i="11"/>
  <c r="X94" i="11"/>
  <c r="X95" i="11"/>
  <c r="X96" i="11"/>
  <c r="X97" i="11"/>
  <c r="W3" i="11"/>
  <c r="W4" i="11"/>
  <c r="W5" i="11"/>
  <c r="W6" i="11"/>
  <c r="W7" i="11"/>
  <c r="W8" i="11"/>
  <c r="W9" i="11"/>
  <c r="W10" i="11"/>
  <c r="W11" i="11"/>
  <c r="W12" i="11"/>
  <c r="W13" i="11"/>
  <c r="W14" i="11"/>
  <c r="W15" i="11"/>
  <c r="W16" i="11"/>
  <c r="W17" i="11"/>
  <c r="W18" i="11"/>
  <c r="W19" i="11"/>
  <c r="W20" i="11"/>
  <c r="W21" i="11"/>
  <c r="W22" i="11"/>
  <c r="W23" i="11"/>
  <c r="W24" i="11"/>
  <c r="W25" i="11"/>
  <c r="W26" i="11"/>
  <c r="W27" i="11"/>
  <c r="W28" i="11"/>
  <c r="W29" i="11"/>
  <c r="W30" i="11"/>
  <c r="W31" i="11"/>
  <c r="W32" i="11"/>
  <c r="W33" i="11"/>
  <c r="W34" i="11"/>
  <c r="W35" i="11"/>
  <c r="W36" i="11"/>
  <c r="W37" i="11"/>
  <c r="W38" i="11"/>
  <c r="W39" i="11"/>
  <c r="W40" i="11"/>
  <c r="W41" i="11"/>
  <c r="W42" i="11"/>
  <c r="W43" i="11"/>
  <c r="W44" i="11"/>
  <c r="W45" i="11"/>
  <c r="W46" i="11"/>
  <c r="W47" i="11"/>
  <c r="W48" i="11"/>
  <c r="W49" i="11"/>
  <c r="W50" i="11"/>
  <c r="W51" i="11"/>
  <c r="W52" i="11"/>
  <c r="W53" i="11"/>
  <c r="W54" i="11"/>
  <c r="W55" i="11"/>
  <c r="W56" i="11"/>
  <c r="W57" i="11"/>
  <c r="W58" i="11"/>
  <c r="W59" i="11"/>
  <c r="W60" i="11"/>
  <c r="W61" i="11"/>
  <c r="W62" i="11"/>
  <c r="W63" i="11"/>
  <c r="W64" i="11"/>
  <c r="W65" i="11"/>
  <c r="W66" i="11"/>
  <c r="W67" i="11"/>
  <c r="W68" i="11"/>
  <c r="W69" i="11"/>
  <c r="W70" i="11"/>
  <c r="W71" i="11"/>
  <c r="W72" i="11"/>
  <c r="W73" i="11"/>
  <c r="W74" i="11"/>
  <c r="W75" i="11"/>
  <c r="W76" i="11"/>
  <c r="W77" i="11"/>
  <c r="W78" i="11"/>
  <c r="W79" i="11"/>
  <c r="W80" i="11"/>
  <c r="W81" i="11"/>
  <c r="W82" i="11"/>
  <c r="W83" i="11"/>
  <c r="W84" i="11"/>
  <c r="W85" i="11"/>
  <c r="W86" i="11"/>
  <c r="W87" i="11"/>
  <c r="W88" i="11"/>
  <c r="W89" i="11"/>
  <c r="W90" i="11"/>
  <c r="W91" i="11"/>
  <c r="W92" i="11"/>
  <c r="W93" i="11"/>
  <c r="W94" i="11"/>
  <c r="W95" i="11"/>
  <c r="W96" i="11"/>
  <c r="W97" i="11"/>
  <c r="V3" i="11"/>
  <c r="V4" i="11"/>
  <c r="V5" i="11"/>
  <c r="V6" i="11"/>
  <c r="V7" i="11"/>
  <c r="V8" i="11"/>
  <c r="V9" i="11"/>
  <c r="V10" i="11"/>
  <c r="V11" i="11"/>
  <c r="V12" i="11"/>
  <c r="V13" i="11"/>
  <c r="V14" i="11"/>
  <c r="V15" i="11"/>
  <c r="V16" i="11"/>
  <c r="V17" i="11"/>
  <c r="V18" i="11"/>
  <c r="V19" i="11"/>
  <c r="V20" i="11"/>
  <c r="V21" i="11"/>
  <c r="V22" i="11"/>
  <c r="V23" i="11"/>
  <c r="V24" i="11"/>
  <c r="V25" i="11"/>
  <c r="V26" i="11"/>
  <c r="V27" i="11"/>
  <c r="V28" i="11"/>
  <c r="V29" i="11"/>
  <c r="V30" i="11"/>
  <c r="V31" i="11"/>
  <c r="V32" i="11"/>
  <c r="V33" i="11"/>
  <c r="V34" i="11"/>
  <c r="V35" i="11"/>
  <c r="V36" i="11"/>
  <c r="V37" i="11"/>
  <c r="V38" i="11"/>
  <c r="V39" i="11"/>
  <c r="V40" i="11"/>
  <c r="V41" i="11"/>
  <c r="V42" i="11"/>
  <c r="V43" i="11"/>
  <c r="V44" i="11"/>
  <c r="V45" i="11"/>
  <c r="V46" i="11"/>
  <c r="V47" i="11"/>
  <c r="V48" i="11"/>
  <c r="V49" i="11"/>
  <c r="V50" i="11"/>
  <c r="V51" i="11"/>
  <c r="V52" i="11"/>
  <c r="V53" i="11"/>
  <c r="V54" i="11"/>
  <c r="V55" i="11"/>
  <c r="V56" i="11"/>
  <c r="V57" i="11"/>
  <c r="V58" i="11"/>
  <c r="V59" i="11"/>
  <c r="V60" i="11"/>
  <c r="V61" i="11"/>
  <c r="V62" i="11"/>
  <c r="V63" i="11"/>
  <c r="V64" i="11"/>
  <c r="V65" i="11"/>
  <c r="V66" i="11"/>
  <c r="V67" i="11"/>
  <c r="V68" i="11"/>
  <c r="V69" i="11"/>
  <c r="V70" i="11"/>
  <c r="V71" i="11"/>
  <c r="V72" i="11"/>
  <c r="V73" i="11"/>
  <c r="V74" i="11"/>
  <c r="V75" i="11"/>
  <c r="V76" i="11"/>
  <c r="V77" i="11"/>
  <c r="V78" i="11"/>
  <c r="V79" i="11"/>
  <c r="V80" i="11"/>
  <c r="V81" i="11"/>
  <c r="V82" i="11"/>
  <c r="V83" i="11"/>
  <c r="V84" i="11"/>
  <c r="V85" i="11"/>
  <c r="V86" i="11"/>
  <c r="V87" i="11"/>
  <c r="V88" i="11"/>
  <c r="V89" i="11"/>
  <c r="V90" i="11"/>
  <c r="V91" i="11"/>
  <c r="V92" i="11"/>
  <c r="V93" i="11"/>
  <c r="V94" i="11"/>
  <c r="V95" i="11"/>
  <c r="V96" i="11"/>
  <c r="V97" i="11"/>
  <c r="U3" i="11"/>
  <c r="U4" i="11"/>
  <c r="U5" i="11"/>
  <c r="U6" i="11"/>
  <c r="U7" i="11"/>
  <c r="U8" i="11"/>
  <c r="U9" i="11"/>
  <c r="U10" i="11"/>
  <c r="U11" i="11"/>
  <c r="U12" i="11"/>
  <c r="U13" i="11"/>
  <c r="U14" i="11"/>
  <c r="U15" i="11"/>
  <c r="U16" i="11"/>
  <c r="U17" i="11"/>
  <c r="U18" i="11"/>
  <c r="U19" i="11"/>
  <c r="U20" i="11"/>
  <c r="U21" i="11"/>
  <c r="U22" i="11"/>
  <c r="U23" i="11"/>
  <c r="U24" i="11"/>
  <c r="U25" i="11"/>
  <c r="U26" i="11"/>
  <c r="U27" i="11"/>
  <c r="U28" i="11"/>
  <c r="U29" i="11"/>
  <c r="U30" i="11"/>
  <c r="U31" i="11"/>
  <c r="U32" i="11"/>
  <c r="U33" i="11"/>
  <c r="U34" i="11"/>
  <c r="U35" i="11"/>
  <c r="U36" i="11"/>
  <c r="U37" i="11"/>
  <c r="U38" i="11"/>
  <c r="U39" i="11"/>
  <c r="U40" i="11"/>
  <c r="U41" i="11"/>
  <c r="U42" i="11"/>
  <c r="U43" i="11"/>
  <c r="U44" i="11"/>
  <c r="U45" i="11"/>
  <c r="U46" i="11"/>
  <c r="U47" i="11"/>
  <c r="U48" i="11"/>
  <c r="U49" i="11"/>
  <c r="U50" i="11"/>
  <c r="U51" i="11"/>
  <c r="U52" i="11"/>
  <c r="U53" i="11"/>
  <c r="U54" i="11"/>
  <c r="U55" i="11"/>
  <c r="U56" i="11"/>
  <c r="U57" i="11"/>
  <c r="U58" i="11"/>
  <c r="U59" i="11"/>
  <c r="U60" i="11"/>
  <c r="U61" i="11"/>
  <c r="U62" i="11"/>
  <c r="U63" i="11"/>
  <c r="U64" i="11"/>
  <c r="U65" i="11"/>
  <c r="U66" i="11"/>
  <c r="U67" i="11"/>
  <c r="U68" i="11"/>
  <c r="U69" i="11"/>
  <c r="U70" i="11"/>
  <c r="U71" i="11"/>
  <c r="U72" i="11"/>
  <c r="U73" i="11"/>
  <c r="U74" i="11"/>
  <c r="U75" i="11"/>
  <c r="U76" i="11"/>
  <c r="U77" i="11"/>
  <c r="U78" i="11"/>
  <c r="U79" i="11"/>
  <c r="U80" i="11"/>
  <c r="U81" i="11"/>
  <c r="U82" i="11"/>
  <c r="U83" i="11"/>
  <c r="U84" i="11"/>
  <c r="U85" i="11"/>
  <c r="U86" i="11"/>
  <c r="U87" i="11"/>
  <c r="U88" i="11"/>
  <c r="U89" i="11"/>
  <c r="U90" i="11"/>
  <c r="U91" i="11"/>
  <c r="U92" i="11"/>
  <c r="U93" i="11"/>
  <c r="U94" i="11"/>
  <c r="U95" i="11"/>
  <c r="U96" i="11"/>
  <c r="U97" i="11"/>
  <c r="T6" i="11"/>
  <c r="T7" i="11"/>
  <c r="T15" i="11"/>
  <c r="T22" i="11"/>
  <c r="T23" i="11"/>
  <c r="T30" i="11"/>
  <c r="T31" i="11"/>
  <c r="T39" i="11"/>
  <c r="T46" i="11"/>
  <c r="T54" i="11"/>
  <c r="T55" i="11"/>
  <c r="T62" i="11"/>
  <c r="T70" i="11"/>
  <c r="T78" i="11"/>
  <c r="T81" i="11"/>
  <c r="T87" i="11"/>
  <c r="T95" i="11"/>
  <c r="T96" i="11"/>
  <c r="T97" i="11"/>
  <c r="X2" i="11"/>
  <c r="W2" i="11"/>
  <c r="V2" i="11"/>
  <c r="U2" i="11"/>
  <c r="D3" i="11"/>
  <c r="D4" i="11"/>
  <c r="D5" i="11"/>
  <c r="Y5" i="11" s="1"/>
  <c r="AA5" i="11" s="1"/>
  <c r="D6" i="11"/>
  <c r="Y6" i="11" s="1"/>
  <c r="AA6" i="11" s="1"/>
  <c r="D7" i="11"/>
  <c r="Y7" i="11" s="1"/>
  <c r="AA7" i="11" s="1"/>
  <c r="D8" i="11"/>
  <c r="Y8" i="11" s="1"/>
  <c r="AA8" i="11" s="1"/>
  <c r="D9" i="11"/>
  <c r="T9" i="11" s="1"/>
  <c r="D10" i="11"/>
  <c r="D11" i="11"/>
  <c r="D12" i="11"/>
  <c r="D13" i="11"/>
  <c r="Y13" i="11" s="1"/>
  <c r="AA13" i="11" s="1"/>
  <c r="D14" i="11"/>
  <c r="Y14" i="11" s="1"/>
  <c r="AA14" i="11" s="1"/>
  <c r="D15" i="11"/>
  <c r="Y15" i="11" s="1"/>
  <c r="AA15" i="11" s="1"/>
  <c r="D16" i="11"/>
  <c r="Y16" i="11" s="1"/>
  <c r="AA16" i="11" s="1"/>
  <c r="D17" i="11"/>
  <c r="T17" i="11" s="1"/>
  <c r="D18" i="11"/>
  <c r="D19" i="11"/>
  <c r="D20" i="11"/>
  <c r="D21" i="11"/>
  <c r="Y21" i="11" s="1"/>
  <c r="AA21" i="11" s="1"/>
  <c r="D22" i="11"/>
  <c r="Y22" i="11" s="1"/>
  <c r="AA22" i="11" s="1"/>
  <c r="D23" i="11"/>
  <c r="Y23" i="11" s="1"/>
  <c r="AA23" i="11" s="1"/>
  <c r="D24" i="11"/>
  <c r="Y24" i="11" s="1"/>
  <c r="AA24" i="11" s="1"/>
  <c r="D25" i="11"/>
  <c r="T25" i="11" s="1"/>
  <c r="D26" i="11"/>
  <c r="D27" i="11"/>
  <c r="D28" i="11"/>
  <c r="D29" i="11"/>
  <c r="Y29" i="11" s="1"/>
  <c r="AA29" i="11" s="1"/>
  <c r="D30" i="11"/>
  <c r="Y30" i="11" s="1"/>
  <c r="AA30" i="11" s="1"/>
  <c r="D31" i="11"/>
  <c r="Y31" i="11" s="1"/>
  <c r="AA31" i="11" s="1"/>
  <c r="D32" i="11"/>
  <c r="Y32" i="11" s="1"/>
  <c r="AA32" i="11" s="1"/>
  <c r="D33" i="11"/>
  <c r="T33" i="11" s="1"/>
  <c r="D34" i="11"/>
  <c r="D35" i="11"/>
  <c r="D36" i="11"/>
  <c r="D37" i="11"/>
  <c r="Y37" i="11" s="1"/>
  <c r="D38" i="11"/>
  <c r="Y38" i="11" s="1"/>
  <c r="D39" i="11"/>
  <c r="Y39" i="11" s="1"/>
  <c r="D40" i="11"/>
  <c r="Y40" i="11" s="1"/>
  <c r="D41" i="11"/>
  <c r="T41" i="11" s="1"/>
  <c r="D42" i="11"/>
  <c r="D43" i="11"/>
  <c r="D44" i="11"/>
  <c r="D45" i="11"/>
  <c r="Y45" i="11" s="1"/>
  <c r="D46" i="11"/>
  <c r="Y46" i="11" s="1"/>
  <c r="D47" i="11"/>
  <c r="Y47" i="11" s="1"/>
  <c r="D48" i="11"/>
  <c r="Y48" i="11" s="1"/>
  <c r="D49" i="11"/>
  <c r="T49" i="11" s="1"/>
  <c r="D50" i="11"/>
  <c r="T50" i="11" s="1"/>
  <c r="D51" i="11"/>
  <c r="D52" i="11"/>
  <c r="D53" i="11"/>
  <c r="Y53" i="11" s="1"/>
  <c r="D54" i="11"/>
  <c r="Y54" i="11" s="1"/>
  <c r="D55" i="11"/>
  <c r="Y55" i="11" s="1"/>
  <c r="D56" i="11"/>
  <c r="Y56" i="11" s="1"/>
  <c r="D57" i="11"/>
  <c r="Y57" i="11" s="1"/>
  <c r="D58" i="11"/>
  <c r="T58" i="11" s="1"/>
  <c r="D59" i="11"/>
  <c r="D60" i="11"/>
  <c r="D61" i="11"/>
  <c r="Y61" i="11" s="1"/>
  <c r="D62" i="11"/>
  <c r="Y62" i="11" s="1"/>
  <c r="D63" i="11"/>
  <c r="Y63" i="11" s="1"/>
  <c r="D64" i="11"/>
  <c r="Y64" i="11" s="1"/>
  <c r="D65" i="11"/>
  <c r="T65" i="11" s="1"/>
  <c r="D66" i="11"/>
  <c r="T66" i="11" s="1"/>
  <c r="D67" i="11"/>
  <c r="D68" i="11"/>
  <c r="D69" i="11"/>
  <c r="Y69" i="11" s="1"/>
  <c r="D70" i="11"/>
  <c r="Y70" i="11" s="1"/>
  <c r="D71" i="11"/>
  <c r="Y71" i="11" s="1"/>
  <c r="D72" i="11"/>
  <c r="Y72" i="11" s="1"/>
  <c r="D73" i="11"/>
  <c r="T73" i="11" s="1"/>
  <c r="D74" i="11"/>
  <c r="T74" i="11" s="1"/>
  <c r="D75" i="11"/>
  <c r="D76" i="11"/>
  <c r="D77" i="11"/>
  <c r="Y77" i="11" s="1"/>
  <c r="D78" i="11"/>
  <c r="Y78" i="11" s="1"/>
  <c r="D79" i="11"/>
  <c r="Y79" i="11" s="1"/>
  <c r="D80" i="11"/>
  <c r="Y80" i="11" s="1"/>
  <c r="D81" i="11"/>
  <c r="Y81" i="11" s="1"/>
  <c r="D82" i="11"/>
  <c r="T82" i="11" s="1"/>
  <c r="D83" i="11"/>
  <c r="D84" i="11"/>
  <c r="D85" i="11"/>
  <c r="Y85" i="11" s="1"/>
  <c r="D86" i="11"/>
  <c r="Y86" i="11" s="1"/>
  <c r="D87" i="11"/>
  <c r="Y87" i="11" s="1"/>
  <c r="D88" i="11"/>
  <c r="Y88" i="11" s="1"/>
  <c r="D89" i="11"/>
  <c r="Y89" i="11" s="1"/>
  <c r="D90" i="11"/>
  <c r="T90" i="11" s="1"/>
  <c r="D91" i="11"/>
  <c r="D92" i="11"/>
  <c r="D93" i="11"/>
  <c r="Y93" i="11" s="1"/>
  <c r="D94" i="11"/>
  <c r="Y94" i="11" s="1"/>
  <c r="D95" i="11"/>
  <c r="Y95" i="11" s="1"/>
  <c r="D96" i="11"/>
  <c r="Y96" i="11" s="1"/>
  <c r="D97" i="11"/>
  <c r="Y97" i="11" s="1"/>
  <c r="D2" i="11"/>
  <c r="T2" i="11" s="1"/>
  <c r="T3" i="7"/>
  <c r="T4" i="7"/>
  <c r="T5" i="7"/>
  <c r="T6" i="7"/>
  <c r="T7" i="7"/>
  <c r="T8" i="7"/>
  <c r="T9" i="7"/>
  <c r="T10" i="7"/>
  <c r="T11" i="7"/>
  <c r="T12" i="7"/>
  <c r="T13" i="7"/>
  <c r="T14" i="7"/>
  <c r="T15" i="7"/>
  <c r="T16" i="7"/>
  <c r="T17" i="7"/>
  <c r="T18" i="7"/>
  <c r="T19" i="7"/>
  <c r="T20" i="7"/>
  <c r="T21" i="7"/>
  <c r="T22" i="7"/>
  <c r="T23" i="7"/>
  <c r="T24" i="7"/>
  <c r="T25" i="7"/>
  <c r="T26" i="7"/>
  <c r="T27" i="7"/>
  <c r="T28" i="7"/>
  <c r="T29" i="7"/>
  <c r="T30" i="7"/>
  <c r="T31" i="7"/>
  <c r="T32" i="7"/>
  <c r="T33" i="7"/>
  <c r="T34" i="7"/>
  <c r="T35" i="7"/>
  <c r="T36" i="7"/>
  <c r="T37" i="7"/>
  <c r="T38" i="7"/>
  <c r="T39" i="7"/>
  <c r="T40" i="7"/>
  <c r="T41" i="7"/>
  <c r="T42" i="7"/>
  <c r="T43" i="7"/>
  <c r="T44" i="7"/>
  <c r="T45" i="7"/>
  <c r="T46" i="7"/>
  <c r="T47" i="7"/>
  <c r="T48" i="7"/>
  <c r="T49" i="7"/>
  <c r="T50" i="7"/>
  <c r="T51" i="7"/>
  <c r="T52" i="7"/>
  <c r="T53" i="7"/>
  <c r="T54" i="7"/>
  <c r="T55" i="7"/>
  <c r="T56" i="7"/>
  <c r="T57" i="7"/>
  <c r="T58" i="7"/>
  <c r="T59" i="7"/>
  <c r="T60" i="7"/>
  <c r="T61" i="7"/>
  <c r="T62" i="7"/>
  <c r="T63" i="7"/>
  <c r="T64" i="7"/>
  <c r="T65" i="7"/>
  <c r="T66" i="7"/>
  <c r="T67" i="7"/>
  <c r="T68" i="7"/>
  <c r="T69" i="7"/>
  <c r="T70" i="7"/>
  <c r="T71" i="7"/>
  <c r="T72" i="7"/>
  <c r="T73" i="7"/>
  <c r="T74" i="7"/>
  <c r="T75" i="7"/>
  <c r="T76" i="7"/>
  <c r="T77" i="7"/>
  <c r="T78" i="7"/>
  <c r="T79" i="7"/>
  <c r="T80" i="7"/>
  <c r="T81" i="7"/>
  <c r="T82" i="7"/>
  <c r="T83" i="7"/>
  <c r="T84" i="7"/>
  <c r="T85" i="7"/>
  <c r="T86" i="7"/>
  <c r="T87" i="7"/>
  <c r="T88" i="7"/>
  <c r="T89" i="7"/>
  <c r="T90" i="7"/>
  <c r="T91" i="7"/>
  <c r="T92" i="7"/>
  <c r="T93" i="7"/>
  <c r="T94" i="7"/>
  <c r="T95" i="7"/>
  <c r="T96" i="7"/>
  <c r="T97" i="7"/>
  <c r="T98" i="7"/>
  <c r="T99" i="7"/>
  <c r="T100" i="7"/>
  <c r="T101" i="7"/>
  <c r="T102" i="7"/>
  <c r="T103" i="7"/>
  <c r="T104" i="7"/>
  <c r="T105" i="7"/>
  <c r="T106" i="7"/>
  <c r="T107" i="7"/>
  <c r="T108" i="7"/>
  <c r="T109" i="7"/>
  <c r="T110" i="7"/>
  <c r="T111" i="7"/>
  <c r="T112" i="7"/>
  <c r="T113" i="7"/>
  <c r="T114" i="7"/>
  <c r="T115" i="7"/>
  <c r="T116" i="7"/>
  <c r="T117" i="7"/>
  <c r="T118" i="7"/>
  <c r="T119" i="7"/>
  <c r="T120" i="7"/>
  <c r="T121" i="7"/>
  <c r="T122" i="7"/>
  <c r="T123" i="7"/>
  <c r="T124" i="7"/>
  <c r="T125" i="7"/>
  <c r="T126" i="7"/>
  <c r="T127" i="7"/>
  <c r="T128" i="7"/>
  <c r="T129" i="7"/>
  <c r="T130" i="7"/>
  <c r="T131" i="7"/>
  <c r="T132" i="7"/>
  <c r="T133" i="7"/>
  <c r="T134" i="7"/>
  <c r="T135" i="7"/>
  <c r="T136" i="7"/>
  <c r="T137" i="7"/>
  <c r="T138" i="7"/>
  <c r="T139" i="7"/>
  <c r="T140" i="7"/>
  <c r="T141" i="7"/>
  <c r="T142" i="7"/>
  <c r="S3" i="7"/>
  <c r="S4" i="7"/>
  <c r="S5" i="7"/>
  <c r="S6" i="7"/>
  <c r="S7" i="7"/>
  <c r="S8" i="7"/>
  <c r="S9" i="7"/>
  <c r="S10" i="7"/>
  <c r="S11" i="7"/>
  <c r="S12" i="7"/>
  <c r="S13" i="7"/>
  <c r="S14" i="7"/>
  <c r="S15" i="7"/>
  <c r="S16" i="7"/>
  <c r="S17" i="7"/>
  <c r="S18" i="7"/>
  <c r="S19" i="7"/>
  <c r="S20" i="7"/>
  <c r="S21" i="7"/>
  <c r="S22" i="7"/>
  <c r="S23" i="7"/>
  <c r="S24" i="7"/>
  <c r="S25" i="7"/>
  <c r="S26" i="7"/>
  <c r="S27" i="7"/>
  <c r="S28" i="7"/>
  <c r="S29" i="7"/>
  <c r="S30" i="7"/>
  <c r="S31" i="7"/>
  <c r="S32" i="7"/>
  <c r="S33" i="7"/>
  <c r="S34" i="7"/>
  <c r="S35" i="7"/>
  <c r="S36" i="7"/>
  <c r="S37" i="7"/>
  <c r="S38" i="7"/>
  <c r="S39" i="7"/>
  <c r="S40" i="7"/>
  <c r="S41" i="7"/>
  <c r="S42" i="7"/>
  <c r="S43" i="7"/>
  <c r="S44" i="7"/>
  <c r="S45" i="7"/>
  <c r="S46" i="7"/>
  <c r="S47" i="7"/>
  <c r="S48" i="7"/>
  <c r="S49" i="7"/>
  <c r="S50" i="7"/>
  <c r="S51" i="7"/>
  <c r="S52" i="7"/>
  <c r="S53" i="7"/>
  <c r="S54" i="7"/>
  <c r="S55" i="7"/>
  <c r="S56" i="7"/>
  <c r="S57" i="7"/>
  <c r="S58" i="7"/>
  <c r="S59" i="7"/>
  <c r="S60" i="7"/>
  <c r="S61" i="7"/>
  <c r="S62" i="7"/>
  <c r="S63" i="7"/>
  <c r="S64" i="7"/>
  <c r="S65" i="7"/>
  <c r="S66" i="7"/>
  <c r="S67" i="7"/>
  <c r="S68" i="7"/>
  <c r="S69" i="7"/>
  <c r="S70" i="7"/>
  <c r="S71" i="7"/>
  <c r="S72" i="7"/>
  <c r="S73" i="7"/>
  <c r="S74" i="7"/>
  <c r="S75" i="7"/>
  <c r="S76" i="7"/>
  <c r="S77" i="7"/>
  <c r="S78" i="7"/>
  <c r="S79" i="7"/>
  <c r="S80" i="7"/>
  <c r="S81" i="7"/>
  <c r="S82" i="7"/>
  <c r="S83" i="7"/>
  <c r="S84" i="7"/>
  <c r="S85" i="7"/>
  <c r="S86" i="7"/>
  <c r="S87" i="7"/>
  <c r="S88" i="7"/>
  <c r="S89" i="7"/>
  <c r="S90" i="7"/>
  <c r="S91" i="7"/>
  <c r="S92" i="7"/>
  <c r="S93" i="7"/>
  <c r="S94" i="7"/>
  <c r="S95" i="7"/>
  <c r="S96" i="7"/>
  <c r="S97" i="7"/>
  <c r="S98" i="7"/>
  <c r="S99" i="7"/>
  <c r="S100" i="7"/>
  <c r="S101" i="7"/>
  <c r="S102" i="7"/>
  <c r="S103" i="7"/>
  <c r="S104" i="7"/>
  <c r="S105" i="7"/>
  <c r="S106" i="7"/>
  <c r="S107" i="7"/>
  <c r="S108" i="7"/>
  <c r="S109" i="7"/>
  <c r="S110" i="7"/>
  <c r="S111" i="7"/>
  <c r="S112" i="7"/>
  <c r="S113" i="7"/>
  <c r="S114" i="7"/>
  <c r="S115" i="7"/>
  <c r="S116" i="7"/>
  <c r="S117" i="7"/>
  <c r="S118" i="7"/>
  <c r="S119" i="7"/>
  <c r="S120" i="7"/>
  <c r="S121" i="7"/>
  <c r="S122" i="7"/>
  <c r="S123" i="7"/>
  <c r="S124" i="7"/>
  <c r="S125" i="7"/>
  <c r="S126" i="7"/>
  <c r="S127" i="7"/>
  <c r="S128" i="7"/>
  <c r="S129" i="7"/>
  <c r="S130" i="7"/>
  <c r="S131" i="7"/>
  <c r="S132" i="7"/>
  <c r="S133" i="7"/>
  <c r="S134" i="7"/>
  <c r="S135" i="7"/>
  <c r="S136" i="7"/>
  <c r="S137" i="7"/>
  <c r="S138" i="7"/>
  <c r="S139" i="7"/>
  <c r="S140" i="7"/>
  <c r="S141" i="7"/>
  <c r="S142" i="7"/>
  <c r="I6" i="15"/>
  <c r="H4" i="15"/>
  <c r="H8" i="15"/>
  <c r="D2" i="7"/>
  <c r="D78" i="7"/>
  <c r="Y78" i="7" s="1"/>
  <c r="D79" i="7"/>
  <c r="Y79" i="7" s="1"/>
  <c r="D80" i="7"/>
  <c r="Y80" i="7" s="1"/>
  <c r="D81" i="7"/>
  <c r="Y81" i="7" s="1"/>
  <c r="D82" i="7"/>
  <c r="Y82" i="7" s="1"/>
  <c r="D83" i="7"/>
  <c r="Y83" i="7" s="1"/>
  <c r="D84" i="7"/>
  <c r="Y84" i="7" s="1"/>
  <c r="D85" i="7"/>
  <c r="Y85" i="7" s="1"/>
  <c r="D86" i="7"/>
  <c r="Y86" i="7" s="1"/>
  <c r="D87" i="7"/>
  <c r="Y87" i="7" s="1"/>
  <c r="D88" i="7"/>
  <c r="Y88" i="7" s="1"/>
  <c r="D89" i="7"/>
  <c r="Y89" i="7" s="1"/>
  <c r="D90" i="7"/>
  <c r="Y90" i="7" s="1"/>
  <c r="D91" i="7"/>
  <c r="Y91" i="7" s="1"/>
  <c r="D92" i="7"/>
  <c r="Y92" i="7" s="1"/>
  <c r="D93" i="7"/>
  <c r="Y93" i="7" s="1"/>
  <c r="R93" i="7"/>
  <c r="D94" i="7"/>
  <c r="Y94" i="7" s="1"/>
  <c r="D95" i="7"/>
  <c r="Y95" i="7" s="1"/>
  <c r="D96" i="7"/>
  <c r="Y96" i="7" s="1"/>
  <c r="D97" i="7"/>
  <c r="Y97" i="7" s="1"/>
  <c r="D98" i="7"/>
  <c r="Y98" i="7" s="1"/>
  <c r="D99" i="7"/>
  <c r="Y99" i="7" s="1"/>
  <c r="D100" i="7"/>
  <c r="Y100" i="7" s="1"/>
  <c r="D101" i="7"/>
  <c r="Y101" i="7" s="1"/>
  <c r="D102" i="7"/>
  <c r="Y102" i="7" s="1"/>
  <c r="D103" i="7"/>
  <c r="Y103" i="7" s="1"/>
  <c r="D104" i="7"/>
  <c r="Y104" i="7" s="1"/>
  <c r="D105" i="7"/>
  <c r="Y105" i="7" s="1"/>
  <c r="D106" i="7"/>
  <c r="Y106" i="7" s="1"/>
  <c r="D107" i="7"/>
  <c r="Y107" i="7" s="1"/>
  <c r="D108" i="7"/>
  <c r="Y108" i="7" s="1"/>
  <c r="D109" i="7"/>
  <c r="Y109" i="7" s="1"/>
  <c r="D110" i="7"/>
  <c r="Y110" i="7" s="1"/>
  <c r="D111" i="7"/>
  <c r="Y111" i="7" s="1"/>
  <c r="D112" i="7"/>
  <c r="Y112" i="7" s="1"/>
  <c r="D113" i="7"/>
  <c r="Y113" i="7" s="1"/>
  <c r="D114" i="7"/>
  <c r="Y114" i="7" s="1"/>
  <c r="D115" i="7"/>
  <c r="Y115" i="7" s="1"/>
  <c r="D116" i="7"/>
  <c r="Y116" i="7" s="1"/>
  <c r="D117" i="7"/>
  <c r="Y117" i="7" s="1"/>
  <c r="D118" i="7"/>
  <c r="Y118" i="7" s="1"/>
  <c r="D119" i="7"/>
  <c r="Y119" i="7" s="1"/>
  <c r="D120" i="7"/>
  <c r="Y120" i="7" s="1"/>
  <c r="D121" i="7"/>
  <c r="Y121" i="7" s="1"/>
  <c r="D122" i="7"/>
  <c r="Y122" i="7" s="1"/>
  <c r="D123" i="7"/>
  <c r="Y123" i="7" s="1"/>
  <c r="D124" i="7"/>
  <c r="Y124" i="7" s="1"/>
  <c r="D125" i="7"/>
  <c r="Y125" i="7" s="1"/>
  <c r="D126" i="7"/>
  <c r="Y126" i="7" s="1"/>
  <c r="D127" i="7"/>
  <c r="Y127" i="7" s="1"/>
  <c r="D128" i="7"/>
  <c r="Y128" i="7" s="1"/>
  <c r="D129" i="7"/>
  <c r="Y129" i="7" s="1"/>
  <c r="D130" i="7"/>
  <c r="Y130" i="7" s="1"/>
  <c r="D131" i="7"/>
  <c r="Y131" i="7" s="1"/>
  <c r="D132" i="7"/>
  <c r="Y132" i="7" s="1"/>
  <c r="D133" i="7"/>
  <c r="Y133" i="7" s="1"/>
  <c r="D134" i="7"/>
  <c r="Y134" i="7" s="1"/>
  <c r="D135" i="7"/>
  <c r="Y135" i="7" s="1"/>
  <c r="D136" i="7"/>
  <c r="Y136" i="7" s="1"/>
  <c r="D137" i="7"/>
  <c r="Y137" i="7" s="1"/>
  <c r="D138" i="7"/>
  <c r="Y138" i="7" s="1"/>
  <c r="D139" i="7"/>
  <c r="Y139" i="7" s="1"/>
  <c r="D140" i="7"/>
  <c r="Y140" i="7" s="1"/>
  <c r="D141" i="7"/>
  <c r="Y141" i="7" s="1"/>
  <c r="D142" i="7"/>
  <c r="Y142" i="7" s="1"/>
  <c r="D50" i="7"/>
  <c r="Y50" i="7" s="1"/>
  <c r="D51" i="7"/>
  <c r="Y51" i="7" s="1"/>
  <c r="D52" i="7"/>
  <c r="Y52" i="7" s="1"/>
  <c r="D53" i="7"/>
  <c r="Y53" i="7" s="1"/>
  <c r="D54" i="7"/>
  <c r="Y54" i="7" s="1"/>
  <c r="D55" i="7"/>
  <c r="Y55" i="7" s="1"/>
  <c r="D56" i="7"/>
  <c r="Y56" i="7" s="1"/>
  <c r="R56" i="7"/>
  <c r="D57" i="7"/>
  <c r="Y57" i="7" s="1"/>
  <c r="D58" i="7"/>
  <c r="Y58" i="7" s="1"/>
  <c r="D59" i="7"/>
  <c r="Y59" i="7" s="1"/>
  <c r="D60" i="7"/>
  <c r="Y60" i="7" s="1"/>
  <c r="D61" i="7"/>
  <c r="Y61" i="7" s="1"/>
  <c r="D62" i="7"/>
  <c r="Y62" i="7" s="1"/>
  <c r="D63" i="7"/>
  <c r="Y63" i="7" s="1"/>
  <c r="D64" i="7"/>
  <c r="Y64" i="7" s="1"/>
  <c r="D65" i="7"/>
  <c r="Y65" i="7" s="1"/>
  <c r="D66" i="7"/>
  <c r="Y66" i="7" s="1"/>
  <c r="D67" i="7"/>
  <c r="Y67" i="7" s="1"/>
  <c r="D68" i="7"/>
  <c r="Y68" i="7" s="1"/>
  <c r="D69" i="7"/>
  <c r="Y69" i="7" s="1"/>
  <c r="D70" i="7"/>
  <c r="Y70" i="7" s="1"/>
  <c r="D71" i="7"/>
  <c r="Y71" i="7" s="1"/>
  <c r="D72" i="7"/>
  <c r="Y72" i="7" s="1"/>
  <c r="D73" i="7"/>
  <c r="Y73" i="7" s="1"/>
  <c r="D74" i="7"/>
  <c r="Y74" i="7" s="1"/>
  <c r="D75" i="7"/>
  <c r="Y75" i="7" s="1"/>
  <c r="D76" i="7"/>
  <c r="Y76" i="7" s="1"/>
  <c r="D77" i="7"/>
  <c r="Y77" i="7" s="1"/>
  <c r="D49" i="7"/>
  <c r="Y49" i="7" s="1"/>
  <c r="D31" i="7"/>
  <c r="Y31" i="7" s="1"/>
  <c r="D32" i="7"/>
  <c r="Y32" i="7" s="1"/>
  <c r="D33" i="7"/>
  <c r="Y33" i="7" s="1"/>
  <c r="D34" i="7"/>
  <c r="Y34" i="7" s="1"/>
  <c r="D35" i="7"/>
  <c r="Y35" i="7" s="1"/>
  <c r="D36" i="7"/>
  <c r="Y36" i="7" s="1"/>
  <c r="D37" i="7"/>
  <c r="Y37" i="7" s="1"/>
  <c r="D38" i="7"/>
  <c r="Y38" i="7" s="1"/>
  <c r="D39" i="7"/>
  <c r="Y39" i="7" s="1"/>
  <c r="D40" i="7"/>
  <c r="Y40" i="7" s="1"/>
  <c r="D41" i="7"/>
  <c r="Y41" i="7" s="1"/>
  <c r="D42" i="7"/>
  <c r="Y42" i="7" s="1"/>
  <c r="D43" i="7"/>
  <c r="Y43" i="7" s="1"/>
  <c r="D44" i="7"/>
  <c r="Y44" i="7" s="1"/>
  <c r="D45" i="7"/>
  <c r="Y45" i="7" s="1"/>
  <c r="D46" i="7"/>
  <c r="Y46" i="7" s="1"/>
  <c r="D47" i="7"/>
  <c r="Y47" i="7" s="1"/>
  <c r="D48" i="7"/>
  <c r="Y48" i="7" s="1"/>
  <c r="D30" i="7"/>
  <c r="Y30" i="7" s="1"/>
  <c r="D3" i="7"/>
  <c r="Y3" i="7" s="1"/>
  <c r="D4" i="7"/>
  <c r="Y4" i="7" s="1"/>
  <c r="D5" i="7"/>
  <c r="Y5" i="7" s="1"/>
  <c r="D6" i="7"/>
  <c r="Y6" i="7" s="1"/>
  <c r="D7" i="7"/>
  <c r="Y7" i="7" s="1"/>
  <c r="D8" i="7"/>
  <c r="Y8" i="7" s="1"/>
  <c r="D9" i="7"/>
  <c r="Y9" i="7" s="1"/>
  <c r="D10" i="7"/>
  <c r="Y10" i="7" s="1"/>
  <c r="D11" i="7"/>
  <c r="Y11" i="7" s="1"/>
  <c r="D12" i="7"/>
  <c r="Y12" i="7" s="1"/>
  <c r="D13" i="7"/>
  <c r="Y13" i="7" s="1"/>
  <c r="R13" i="7"/>
  <c r="D14" i="7"/>
  <c r="Y14" i="7" s="1"/>
  <c r="D15" i="7"/>
  <c r="Y15" i="7" s="1"/>
  <c r="R16" i="7"/>
  <c r="D17" i="7"/>
  <c r="Y17" i="7" s="1"/>
  <c r="D18" i="7"/>
  <c r="Y18" i="7" s="1"/>
  <c r="D19" i="7"/>
  <c r="Y19" i="7" s="1"/>
  <c r="D20" i="7"/>
  <c r="Y20" i="7" s="1"/>
  <c r="D21" i="7"/>
  <c r="Y21" i="7" s="1"/>
  <c r="D22" i="7"/>
  <c r="Y22" i="7" s="1"/>
  <c r="D23" i="7"/>
  <c r="Y23" i="7" s="1"/>
  <c r="D24" i="7"/>
  <c r="Y24" i="7" s="1"/>
  <c r="D25" i="7"/>
  <c r="Y25" i="7" s="1"/>
  <c r="D26" i="7"/>
  <c r="Y26" i="7" s="1"/>
  <c r="D27" i="7"/>
  <c r="Y27" i="7" s="1"/>
  <c r="D28" i="7"/>
  <c r="Y28" i="7" s="1"/>
  <c r="D29" i="7"/>
  <c r="Y29" i="7" s="1"/>
  <c r="T72" i="11" l="1"/>
  <c r="T24" i="11"/>
  <c r="R18" i="7"/>
  <c r="T94" i="11"/>
  <c r="T71" i="11"/>
  <c r="T47" i="11"/>
  <c r="R23" i="7"/>
  <c r="T86" i="11"/>
  <c r="T63" i="11"/>
  <c r="T40" i="11"/>
  <c r="T16" i="11"/>
  <c r="T80" i="11"/>
  <c r="T57" i="11"/>
  <c r="T38" i="11"/>
  <c r="T14" i="11"/>
  <c r="Y74" i="11"/>
  <c r="Y2" i="7"/>
  <c r="R2" i="7"/>
  <c r="T79" i="11"/>
  <c r="T56" i="11"/>
  <c r="T8" i="11"/>
  <c r="Y73" i="11"/>
  <c r="H9" i="15"/>
  <c r="AD27" i="7"/>
  <c r="AE27" i="7"/>
  <c r="AF27" i="7"/>
  <c r="R21" i="7"/>
  <c r="R15" i="7"/>
  <c r="R8" i="7"/>
  <c r="R47" i="7"/>
  <c r="R39" i="7"/>
  <c r="R31" i="7"/>
  <c r="R72" i="7"/>
  <c r="R64" i="7"/>
  <c r="R142" i="7"/>
  <c r="R134" i="7"/>
  <c r="R126" i="7"/>
  <c r="R118" i="7"/>
  <c r="R110" i="7"/>
  <c r="Z110" i="7" s="1"/>
  <c r="R102" i="7"/>
  <c r="Z102" i="7" s="1"/>
  <c r="R94" i="7"/>
  <c r="R87" i="7"/>
  <c r="R79" i="7"/>
  <c r="R26" i="7"/>
  <c r="R20" i="7"/>
  <c r="R14" i="7"/>
  <c r="R7" i="7"/>
  <c r="Z7" i="7" s="1"/>
  <c r="R46" i="7"/>
  <c r="Z46" i="7" s="1"/>
  <c r="R38" i="7"/>
  <c r="R49" i="7"/>
  <c r="R71" i="7"/>
  <c r="R63" i="7"/>
  <c r="Z63" i="7" s="1"/>
  <c r="AE56" i="7"/>
  <c r="AF56" i="7"/>
  <c r="AD56" i="7"/>
  <c r="R141" i="7"/>
  <c r="R133" i="7"/>
  <c r="R125" i="7"/>
  <c r="R117" i="7"/>
  <c r="R109" i="7"/>
  <c r="R101" i="7"/>
  <c r="R86" i="7"/>
  <c r="R78" i="7"/>
  <c r="AD26" i="7"/>
  <c r="AF26" i="7"/>
  <c r="AE26" i="7"/>
  <c r="R19" i="7"/>
  <c r="R6" i="7"/>
  <c r="R45" i="7"/>
  <c r="R37" i="7"/>
  <c r="R77" i="7"/>
  <c r="R70" i="7"/>
  <c r="R62" i="7"/>
  <c r="R55" i="7"/>
  <c r="R140" i="7"/>
  <c r="R132" i="7"/>
  <c r="R124" i="7"/>
  <c r="R116" i="7"/>
  <c r="Z116" i="7" s="1"/>
  <c r="R108" i="7"/>
  <c r="R100" i="7"/>
  <c r="AE93" i="7"/>
  <c r="AD93" i="7"/>
  <c r="AF93" i="7"/>
  <c r="R85" i="7"/>
  <c r="AF19" i="7"/>
  <c r="AE19" i="7"/>
  <c r="AD19" i="7"/>
  <c r="AF13" i="7"/>
  <c r="AD13" i="7"/>
  <c r="AE13" i="7"/>
  <c r="R5" i="7"/>
  <c r="R44" i="7"/>
  <c r="R36" i="7"/>
  <c r="R76" i="7"/>
  <c r="Z76" i="7" s="1"/>
  <c r="R69" i="7"/>
  <c r="R61" i="7"/>
  <c r="R54" i="7"/>
  <c r="R139" i="7"/>
  <c r="R131" i="7"/>
  <c r="R123" i="7"/>
  <c r="Z123" i="7" s="1"/>
  <c r="R115" i="7"/>
  <c r="R107" i="7"/>
  <c r="Z107" i="7" s="1"/>
  <c r="R99" i="7"/>
  <c r="Z99" i="7" s="1"/>
  <c r="R92" i="7"/>
  <c r="R84" i="7"/>
  <c r="R24" i="7"/>
  <c r="R12" i="7"/>
  <c r="R4" i="7"/>
  <c r="R43" i="7"/>
  <c r="R35" i="7"/>
  <c r="AE76" i="7"/>
  <c r="AD76" i="7"/>
  <c r="AF76" i="7"/>
  <c r="R68" i="7"/>
  <c r="R60" i="7"/>
  <c r="R53" i="7"/>
  <c r="R138" i="7"/>
  <c r="R130" i="7"/>
  <c r="R122" i="7"/>
  <c r="Z122" i="7" s="1"/>
  <c r="R114" i="7"/>
  <c r="R106" i="7"/>
  <c r="R98" i="7"/>
  <c r="R91" i="7"/>
  <c r="R83" i="7"/>
  <c r="AD18" i="7"/>
  <c r="AF18" i="7"/>
  <c r="AE18" i="7"/>
  <c r="R11" i="7"/>
  <c r="Z11" i="7" s="1"/>
  <c r="R3" i="7"/>
  <c r="R42" i="7"/>
  <c r="R34" i="7"/>
  <c r="Z34" i="7" s="1"/>
  <c r="R75" i="7"/>
  <c r="R67" i="7"/>
  <c r="R59" i="7"/>
  <c r="Z59" i="7" s="1"/>
  <c r="R52" i="7"/>
  <c r="R137" i="7"/>
  <c r="R129" i="7"/>
  <c r="R121" i="7"/>
  <c r="R113" i="7"/>
  <c r="R105" i="7"/>
  <c r="R97" i="7"/>
  <c r="R90" i="7"/>
  <c r="Z90" i="7" s="1"/>
  <c r="R82" i="7"/>
  <c r="Z82" i="7" s="1"/>
  <c r="AE16" i="7"/>
  <c r="AF16" i="7"/>
  <c r="AD16" i="7"/>
  <c r="R28" i="7"/>
  <c r="AE23" i="7"/>
  <c r="AD23" i="7"/>
  <c r="AF23" i="7"/>
  <c r="R17" i="7"/>
  <c r="R10" i="7"/>
  <c r="R30" i="7"/>
  <c r="R41" i="7"/>
  <c r="R33" i="7"/>
  <c r="R74" i="7"/>
  <c r="R66" i="7"/>
  <c r="R58" i="7"/>
  <c r="Z58" i="7" s="1"/>
  <c r="R51" i="7"/>
  <c r="R136" i="7"/>
  <c r="R128" i="7"/>
  <c r="R120" i="7"/>
  <c r="R112" i="7"/>
  <c r="R104" i="7"/>
  <c r="R96" i="7"/>
  <c r="R89" i="7"/>
  <c r="R81" i="7"/>
  <c r="R25" i="7"/>
  <c r="R29" i="7"/>
  <c r="R27" i="7"/>
  <c r="R22" i="7"/>
  <c r="R9" i="7"/>
  <c r="R48" i="7"/>
  <c r="R40" i="7"/>
  <c r="R32" i="7"/>
  <c r="R73" i="7"/>
  <c r="R65" i="7"/>
  <c r="R57" i="7"/>
  <c r="R50" i="7"/>
  <c r="R135" i="7"/>
  <c r="R127" i="7"/>
  <c r="R119" i="7"/>
  <c r="Z119" i="7" s="1"/>
  <c r="R111" i="7"/>
  <c r="Z111" i="7" s="1"/>
  <c r="R103" i="7"/>
  <c r="R95" i="7"/>
  <c r="R88" i="7"/>
  <c r="R80" i="7"/>
  <c r="AA2" i="7"/>
  <c r="Z57" i="7"/>
  <c r="Z112" i="7"/>
  <c r="Z26" i="7"/>
  <c r="Z124" i="7"/>
  <c r="Z131" i="7"/>
  <c r="AA86" i="7"/>
  <c r="Z6" i="7"/>
  <c r="Z98" i="7"/>
  <c r="Z78" i="7"/>
  <c r="Z35" i="7"/>
  <c r="AA22" i="7"/>
  <c r="Z50" i="7"/>
  <c r="Z39" i="7"/>
  <c r="Z74" i="7"/>
  <c r="AA61" i="7"/>
  <c r="Z55" i="7"/>
  <c r="Z84" i="7"/>
  <c r="AC51" i="7"/>
  <c r="AA47" i="7"/>
  <c r="AB130" i="7"/>
  <c r="Z12" i="7"/>
  <c r="AB75" i="7"/>
  <c r="Z91" i="7"/>
  <c r="AA10" i="7"/>
  <c r="Z4" i="7"/>
  <c r="Z38" i="7"/>
  <c r="Z67" i="7"/>
  <c r="Z54" i="7"/>
  <c r="AA134" i="7"/>
  <c r="AA128" i="7"/>
  <c r="Z115" i="7"/>
  <c r="Z83" i="7"/>
  <c r="AB80" i="7"/>
  <c r="Z62" i="7"/>
  <c r="Z16" i="7"/>
  <c r="Z140" i="7"/>
  <c r="AA96" i="7"/>
  <c r="Z41" i="7"/>
  <c r="AA118" i="7"/>
  <c r="Z18" i="7"/>
  <c r="Z79" i="7"/>
  <c r="Z33" i="7"/>
  <c r="AA136" i="7"/>
  <c r="Z24" i="7"/>
  <c r="Z3" i="7"/>
  <c r="Z66" i="7"/>
  <c r="Z114" i="7"/>
  <c r="Z95" i="7"/>
  <c r="AC15" i="7"/>
  <c r="Z43" i="7"/>
  <c r="Z49" i="7"/>
  <c r="Z139" i="7"/>
  <c r="AA126" i="7"/>
  <c r="AA120" i="7"/>
  <c r="AA94" i="7"/>
  <c r="AA88" i="7"/>
  <c r="AA70" i="7"/>
  <c r="AA69" i="7"/>
  <c r="AC92" i="7"/>
  <c r="AA142" i="7"/>
  <c r="AA104" i="7"/>
  <c r="AA28" i="7"/>
  <c r="Z20" i="7"/>
  <c r="AA37" i="7"/>
  <c r="Z53" i="7"/>
  <c r="Z127" i="7"/>
  <c r="AA108" i="7"/>
  <c r="AA30" i="7"/>
  <c r="Z65" i="7"/>
  <c r="Z27" i="7"/>
  <c r="AA23" i="7"/>
  <c r="AC19" i="7"/>
  <c r="AA14" i="7"/>
  <c r="Z8" i="7"/>
  <c r="Z42" i="7"/>
  <c r="AA77" i="7"/>
  <c r="Z71" i="7"/>
  <c r="Z138" i="7"/>
  <c r="AB132" i="7"/>
  <c r="Z106" i="7"/>
  <c r="AA100" i="7"/>
  <c r="AA87" i="7"/>
  <c r="AA48" i="7"/>
  <c r="AA32" i="7"/>
  <c r="Z60" i="7"/>
  <c r="AA137" i="7"/>
  <c r="Z117" i="7"/>
  <c r="AA101" i="7"/>
  <c r="Z85" i="7"/>
  <c r="Z13" i="7"/>
  <c r="Z52" i="7"/>
  <c r="AB133" i="7"/>
  <c r="Z125" i="7"/>
  <c r="Z113" i="7"/>
  <c r="Z105" i="7"/>
  <c r="Z97" i="7"/>
  <c r="AC89" i="7"/>
  <c r="AC25" i="7"/>
  <c r="AA124" i="7"/>
  <c r="AA84" i="7"/>
  <c r="AA9" i="7"/>
  <c r="AB5" i="7"/>
  <c r="AB40" i="7"/>
  <c r="Z36" i="7"/>
  <c r="AA72" i="7"/>
  <c r="AA68" i="7"/>
  <c r="AB141" i="7"/>
  <c r="AA109" i="7"/>
  <c r="AA93" i="7"/>
  <c r="Z29" i="7"/>
  <c r="AB21" i="7"/>
  <c r="AA131" i="7"/>
  <c r="AA115" i="7"/>
  <c r="AA83" i="7"/>
  <c r="AA64" i="7"/>
  <c r="AA130" i="7"/>
  <c r="AA98" i="7"/>
  <c r="AA90" i="7"/>
  <c r="AA82" i="7"/>
  <c r="AA74" i="7"/>
  <c r="AA66" i="7"/>
  <c r="AA42" i="7"/>
  <c r="AA34" i="7"/>
  <c r="AA26" i="7"/>
  <c r="AA18" i="7"/>
  <c r="AB134" i="7"/>
  <c r="AB126" i="7"/>
  <c r="AB110" i="7"/>
  <c r="AB70" i="7"/>
  <c r="AB54" i="7"/>
  <c r="AB46" i="7"/>
  <c r="AB38" i="7"/>
  <c r="AC124" i="7"/>
  <c r="AC108" i="7"/>
  <c r="AC84" i="7"/>
  <c r="AC12" i="7"/>
  <c r="AA97" i="7"/>
  <c r="AA73" i="7"/>
  <c r="AA57" i="7"/>
  <c r="AA49" i="7"/>
  <c r="AB85" i="7"/>
  <c r="AB61" i="7"/>
  <c r="AB37" i="7"/>
  <c r="AC131" i="7"/>
  <c r="AC115" i="7"/>
  <c r="AC99" i="7"/>
  <c r="AC83" i="7"/>
  <c r="AC75" i="7"/>
  <c r="AC43" i="7"/>
  <c r="AC11" i="7"/>
  <c r="AA44" i="7"/>
  <c r="AA16" i="7"/>
  <c r="AB124" i="7"/>
  <c r="AB108" i="7"/>
  <c r="AB84" i="7"/>
  <c r="AA111" i="7"/>
  <c r="AA95" i="7"/>
  <c r="AA63" i="7"/>
  <c r="AA7" i="7"/>
  <c r="AB131" i="7"/>
  <c r="AB123" i="7"/>
  <c r="AB115" i="7"/>
  <c r="AB91" i="7"/>
  <c r="AB83" i="7"/>
  <c r="AB43" i="7"/>
  <c r="AB27" i="7"/>
  <c r="AB19" i="7"/>
  <c r="AB11" i="7"/>
  <c r="AC137" i="7"/>
  <c r="T61" i="11"/>
  <c r="Y92" i="11"/>
  <c r="T92" i="11"/>
  <c r="Y84" i="11"/>
  <c r="T84" i="11"/>
  <c r="Y76" i="11"/>
  <c r="T76" i="11"/>
  <c r="Y68" i="11"/>
  <c r="T68" i="11"/>
  <c r="Y60" i="11"/>
  <c r="T60" i="11"/>
  <c r="Y52" i="11"/>
  <c r="T52" i="11"/>
  <c r="Y44" i="11"/>
  <c r="T44" i="11"/>
  <c r="Y36" i="11"/>
  <c r="T36" i="11"/>
  <c r="Y28" i="11"/>
  <c r="AA28" i="11" s="1"/>
  <c r="T28" i="11"/>
  <c r="Y20" i="11"/>
  <c r="AA20" i="11" s="1"/>
  <c r="T20" i="11"/>
  <c r="Y12" i="11"/>
  <c r="AA12" i="11" s="1"/>
  <c r="T12" i="11"/>
  <c r="Y4" i="11"/>
  <c r="AA4" i="11" s="1"/>
  <c r="T4" i="11"/>
  <c r="T85" i="11"/>
  <c r="T45" i="11"/>
  <c r="T29" i="11"/>
  <c r="T13" i="11"/>
  <c r="AB60" i="7"/>
  <c r="AB44" i="7"/>
  <c r="AB20" i="7"/>
  <c r="AB12" i="7"/>
  <c r="AC138" i="7"/>
  <c r="AC130" i="7"/>
  <c r="AC98" i="7"/>
  <c r="AC90" i="7"/>
  <c r="AC82" i="7"/>
  <c r="AC74" i="7"/>
  <c r="AC66" i="7"/>
  <c r="AC58" i="7"/>
  <c r="AC42" i="7"/>
  <c r="AC34" i="7"/>
  <c r="AC26" i="7"/>
  <c r="AC18" i="7"/>
  <c r="Y91" i="11"/>
  <c r="T91" i="11"/>
  <c r="Y83" i="11"/>
  <c r="T83" i="11"/>
  <c r="Y75" i="11"/>
  <c r="T75" i="11"/>
  <c r="Y67" i="11"/>
  <c r="T67" i="11"/>
  <c r="Y59" i="11"/>
  <c r="T59" i="11"/>
  <c r="Y51" i="11"/>
  <c r="T51" i="11"/>
  <c r="Y43" i="11"/>
  <c r="T43" i="11"/>
  <c r="Y35" i="11"/>
  <c r="T35" i="11"/>
  <c r="Y27" i="11"/>
  <c r="AA27" i="11" s="1"/>
  <c r="T27" i="11"/>
  <c r="Y19" i="11"/>
  <c r="AA19" i="11" s="1"/>
  <c r="T19" i="11"/>
  <c r="Y11" i="11"/>
  <c r="AA11" i="11" s="1"/>
  <c r="T11" i="11"/>
  <c r="Y3" i="11"/>
  <c r="AA3" i="11" s="1"/>
  <c r="T3" i="11"/>
  <c r="Y2" i="11"/>
  <c r="AA2" i="11" s="1"/>
  <c r="Y66" i="11"/>
  <c r="Y25" i="11"/>
  <c r="AA25" i="11" s="1"/>
  <c r="AC97" i="7"/>
  <c r="AC81" i="7"/>
  <c r="AC73" i="7"/>
  <c r="AC57" i="7"/>
  <c r="AC49" i="7"/>
  <c r="T42" i="11"/>
  <c r="Y42" i="11"/>
  <c r="T34" i="11"/>
  <c r="Y34" i="11"/>
  <c r="T26" i="11"/>
  <c r="Y26" i="11"/>
  <c r="AA26" i="11" s="1"/>
  <c r="T18" i="11"/>
  <c r="Y18" i="11"/>
  <c r="AA18" i="11" s="1"/>
  <c r="T10" i="11"/>
  <c r="Y10" i="11"/>
  <c r="AA10" i="11" s="1"/>
  <c r="T69" i="11"/>
  <c r="Y65" i="11"/>
  <c r="Y17" i="11"/>
  <c r="AA17" i="11" s="1"/>
  <c r="AB98" i="7"/>
  <c r="AB90" i="7"/>
  <c r="AB82" i="7"/>
  <c r="AB74" i="7"/>
  <c r="AB66" i="7"/>
  <c r="AB58" i="7"/>
  <c r="AB42" i="7"/>
  <c r="AB34" i="7"/>
  <c r="AB26" i="7"/>
  <c r="AB18" i="7"/>
  <c r="AC112" i="7"/>
  <c r="AC88" i="7"/>
  <c r="AC72" i="7"/>
  <c r="AC32" i="7"/>
  <c r="AC16" i="7"/>
  <c r="T93" i="11"/>
  <c r="Y90" i="11"/>
  <c r="Y58" i="11"/>
  <c r="Y9" i="11"/>
  <c r="AA9" i="11" s="1"/>
  <c r="AA29" i="7"/>
  <c r="AA13" i="7"/>
  <c r="AB137" i="7"/>
  <c r="AB97" i="7"/>
  <c r="AB89" i="7"/>
  <c r="AB81" i="7"/>
  <c r="AB73" i="7"/>
  <c r="AB57" i="7"/>
  <c r="AB49" i="7"/>
  <c r="AB17" i="7"/>
  <c r="AC111" i="7"/>
  <c r="AC95" i="7"/>
  <c r="AC87" i="7"/>
  <c r="AC79" i="7"/>
  <c r="AC63" i="7"/>
  <c r="AC23" i="7"/>
  <c r="AC7" i="7"/>
  <c r="T89" i="11"/>
  <c r="T64" i="11"/>
  <c r="T53" i="11"/>
  <c r="T37" i="11"/>
  <c r="T21" i="11"/>
  <c r="T5" i="11"/>
  <c r="AA20" i="7"/>
  <c r="AA12" i="7"/>
  <c r="AB128" i="7"/>
  <c r="AB112" i="7"/>
  <c r="AB88" i="7"/>
  <c r="AB72" i="7"/>
  <c r="AB32" i="7"/>
  <c r="AB24" i="7"/>
  <c r="AB16" i="7"/>
  <c r="AC142" i="7"/>
  <c r="AC134" i="7"/>
  <c r="AC126" i="7"/>
  <c r="AC110" i="7"/>
  <c r="AC86" i="7"/>
  <c r="AC78" i="7"/>
  <c r="AC70" i="7"/>
  <c r="AC46" i="7"/>
  <c r="AC38" i="7"/>
  <c r="T88" i="11"/>
  <c r="T77" i="11"/>
  <c r="T48" i="11"/>
  <c r="T32" i="11"/>
  <c r="Y82" i="11"/>
  <c r="Y50" i="11"/>
  <c r="AA43" i="7"/>
  <c r="AA35" i="7"/>
  <c r="AA19" i="7"/>
  <c r="AA11" i="7"/>
  <c r="AB111" i="7"/>
  <c r="AB95" i="7"/>
  <c r="AB63" i="7"/>
  <c r="AB23" i="7"/>
  <c r="AB7" i="7"/>
  <c r="AC133" i="7"/>
  <c r="AC125" i="7"/>
  <c r="AC109" i="7"/>
  <c r="AC85" i="7"/>
  <c r="AC61" i="7"/>
  <c r="AC37" i="7"/>
  <c r="AC21" i="7"/>
  <c r="Y49" i="11"/>
  <c r="I5" i="15"/>
  <c r="H3" i="15"/>
  <c r="H7" i="15"/>
  <c r="G20" i="15"/>
  <c r="I20" i="15" s="1"/>
  <c r="Z2" i="7" l="1"/>
  <c r="AD88" i="7"/>
  <c r="AF88" i="7"/>
  <c r="AE88" i="7"/>
  <c r="AD119" i="7"/>
  <c r="AE119" i="7"/>
  <c r="AF119" i="7"/>
  <c r="AD57" i="7"/>
  <c r="AF57" i="7"/>
  <c r="AE57" i="7"/>
  <c r="AF40" i="7"/>
  <c r="AD40" i="7"/>
  <c r="AE40" i="7"/>
  <c r="AD106" i="7"/>
  <c r="AE106" i="7"/>
  <c r="AF106" i="7"/>
  <c r="AD138" i="7"/>
  <c r="AF138" i="7"/>
  <c r="AE138" i="7"/>
  <c r="AF5" i="7"/>
  <c r="AE5" i="7"/>
  <c r="AD5" i="7"/>
  <c r="AF2" i="7"/>
  <c r="AD2" i="7"/>
  <c r="AE2" i="7"/>
  <c r="AE86" i="7"/>
  <c r="AF86" i="7"/>
  <c r="AD86" i="7"/>
  <c r="AD125" i="7"/>
  <c r="AF125" i="7"/>
  <c r="AE125" i="7"/>
  <c r="AD29" i="7"/>
  <c r="AE29" i="7"/>
  <c r="AF29" i="7"/>
  <c r="AF96" i="7"/>
  <c r="AD96" i="7"/>
  <c r="AE96" i="7"/>
  <c r="AE128" i="7"/>
  <c r="AF128" i="7"/>
  <c r="AD128" i="7"/>
  <c r="AD66" i="7"/>
  <c r="AF66" i="7"/>
  <c r="AE66" i="7"/>
  <c r="AF30" i="7"/>
  <c r="AD30" i="7"/>
  <c r="AE30" i="7"/>
  <c r="AD90" i="7"/>
  <c r="AE90" i="7"/>
  <c r="AF90" i="7"/>
  <c r="AD121" i="7"/>
  <c r="AE121" i="7"/>
  <c r="AF121" i="7"/>
  <c r="AD59" i="7"/>
  <c r="AE59" i="7"/>
  <c r="AF59" i="7"/>
  <c r="AD42" i="7"/>
  <c r="AF42" i="7"/>
  <c r="AE42" i="7"/>
  <c r="AE12" i="7"/>
  <c r="AD12" i="7"/>
  <c r="AG12" i="7" s="1"/>
  <c r="AF12" i="7"/>
  <c r="AE99" i="7"/>
  <c r="AF99" i="7"/>
  <c r="AD99" i="7"/>
  <c r="AD131" i="7"/>
  <c r="AE131" i="7"/>
  <c r="AF131" i="7"/>
  <c r="AD69" i="7"/>
  <c r="AF69" i="7"/>
  <c r="AE69" i="7"/>
  <c r="AF108" i="7"/>
  <c r="AD108" i="7"/>
  <c r="AE108" i="7"/>
  <c r="AE140" i="7"/>
  <c r="AD140" i="7"/>
  <c r="AF140" i="7"/>
  <c r="AF77" i="7"/>
  <c r="AE77" i="7"/>
  <c r="AD77" i="7"/>
  <c r="AE63" i="7"/>
  <c r="AD63" i="7"/>
  <c r="AF63" i="7"/>
  <c r="AE46" i="7"/>
  <c r="AF46" i="7"/>
  <c r="AD46" i="7"/>
  <c r="AF102" i="7"/>
  <c r="AD102" i="7"/>
  <c r="AE102" i="7"/>
  <c r="AF134" i="7"/>
  <c r="AE134" i="7"/>
  <c r="AD134" i="7"/>
  <c r="AE31" i="7"/>
  <c r="AD31" i="7"/>
  <c r="AF31" i="7"/>
  <c r="AE15" i="7"/>
  <c r="AD15" i="7"/>
  <c r="AF15" i="7"/>
  <c r="AD95" i="7"/>
  <c r="AE95" i="7"/>
  <c r="AF95" i="7"/>
  <c r="AG95" i="7" s="1"/>
  <c r="AD127" i="7"/>
  <c r="AE127" i="7"/>
  <c r="AF127" i="7"/>
  <c r="AD65" i="7"/>
  <c r="AF65" i="7"/>
  <c r="AE65" i="7"/>
  <c r="AD48" i="7"/>
  <c r="AE48" i="7"/>
  <c r="AF48" i="7"/>
  <c r="AE28" i="7"/>
  <c r="AD28" i="7"/>
  <c r="AF28" i="7"/>
  <c r="AF83" i="7"/>
  <c r="AD83" i="7"/>
  <c r="AE83" i="7"/>
  <c r="AD114" i="7"/>
  <c r="AE114" i="7"/>
  <c r="AF114" i="7"/>
  <c r="AE53" i="7"/>
  <c r="AD53" i="7"/>
  <c r="AF53" i="7"/>
  <c r="AF85" i="7"/>
  <c r="AE85" i="7"/>
  <c r="AD85" i="7"/>
  <c r="AD101" i="7"/>
  <c r="AE101" i="7"/>
  <c r="AF101" i="7"/>
  <c r="AF133" i="7"/>
  <c r="AE133" i="7"/>
  <c r="AD133" i="7"/>
  <c r="AB2" i="7"/>
  <c r="AD25" i="7"/>
  <c r="AF25" i="7"/>
  <c r="AE25" i="7"/>
  <c r="AF104" i="7"/>
  <c r="AE104" i="7"/>
  <c r="AD104" i="7"/>
  <c r="AF136" i="7"/>
  <c r="AE136" i="7"/>
  <c r="AD136" i="7"/>
  <c r="AD74" i="7"/>
  <c r="AF74" i="7"/>
  <c r="AE74" i="7"/>
  <c r="AG74" i="7" s="1"/>
  <c r="AD10" i="7"/>
  <c r="AE10" i="7"/>
  <c r="AF10" i="7"/>
  <c r="AD97" i="7"/>
  <c r="AF97" i="7"/>
  <c r="AE97" i="7"/>
  <c r="AD129" i="7"/>
  <c r="AF129" i="7"/>
  <c r="AE129" i="7"/>
  <c r="AE67" i="7"/>
  <c r="AD67" i="7"/>
  <c r="AF67" i="7"/>
  <c r="AD3" i="7"/>
  <c r="AE3" i="7"/>
  <c r="AF3" i="7"/>
  <c r="AE35" i="7"/>
  <c r="AF35" i="7"/>
  <c r="AD35" i="7"/>
  <c r="AE24" i="7"/>
  <c r="AF24" i="7"/>
  <c r="AD24" i="7"/>
  <c r="AD107" i="7"/>
  <c r="AF107" i="7"/>
  <c r="AE107" i="7"/>
  <c r="AD139" i="7"/>
  <c r="AF139" i="7"/>
  <c r="AE139" i="7"/>
  <c r="AD116" i="7"/>
  <c r="AE116" i="7"/>
  <c r="AF116" i="7"/>
  <c r="AD55" i="7"/>
  <c r="AG55" i="7" s="1"/>
  <c r="AE55" i="7"/>
  <c r="AF55" i="7"/>
  <c r="AE37" i="7"/>
  <c r="AD37" i="7"/>
  <c r="AF37" i="7"/>
  <c r="AE71" i="7"/>
  <c r="AD71" i="7"/>
  <c r="AF71" i="7"/>
  <c r="AE7" i="7"/>
  <c r="AD7" i="7"/>
  <c r="AF7" i="7"/>
  <c r="AD79" i="7"/>
  <c r="AE79" i="7"/>
  <c r="AF79" i="7"/>
  <c r="AE110" i="7"/>
  <c r="AD110" i="7"/>
  <c r="AF110" i="7"/>
  <c r="AD142" i="7"/>
  <c r="AE142" i="7"/>
  <c r="AF142" i="7"/>
  <c r="AF39" i="7"/>
  <c r="AE39" i="7"/>
  <c r="AD39" i="7"/>
  <c r="AF21" i="7"/>
  <c r="AD21" i="7"/>
  <c r="AE21" i="7"/>
  <c r="AF103" i="7"/>
  <c r="AE103" i="7"/>
  <c r="AD103" i="7"/>
  <c r="AD135" i="7"/>
  <c r="AE135" i="7"/>
  <c r="AF135" i="7"/>
  <c r="AD73" i="7"/>
  <c r="AE73" i="7"/>
  <c r="AF73" i="7"/>
  <c r="AD9" i="7"/>
  <c r="AE9" i="7"/>
  <c r="AF9" i="7"/>
  <c r="AF91" i="7"/>
  <c r="AE91" i="7"/>
  <c r="AD91" i="7"/>
  <c r="AD122" i="7"/>
  <c r="AE122" i="7"/>
  <c r="AF122" i="7"/>
  <c r="AE60" i="7"/>
  <c r="AD60" i="7"/>
  <c r="AF60" i="7"/>
  <c r="AD36" i="7"/>
  <c r="AF36" i="7"/>
  <c r="AE36" i="7"/>
  <c r="AE109" i="7"/>
  <c r="AD109" i="7"/>
  <c r="AF109" i="7"/>
  <c r="AD141" i="7"/>
  <c r="AF141" i="7"/>
  <c r="AE141" i="7"/>
  <c r="AC135" i="7"/>
  <c r="AD81" i="7"/>
  <c r="AF81" i="7"/>
  <c r="AE81" i="7"/>
  <c r="AD112" i="7"/>
  <c r="AE112" i="7"/>
  <c r="AF112" i="7"/>
  <c r="AD51" i="7"/>
  <c r="AE51" i="7"/>
  <c r="AF51" i="7"/>
  <c r="AD33" i="7"/>
  <c r="AF33" i="7"/>
  <c r="AE33" i="7"/>
  <c r="AD17" i="7"/>
  <c r="AF17" i="7"/>
  <c r="AE17" i="7"/>
  <c r="AD105" i="7"/>
  <c r="AE105" i="7"/>
  <c r="AF105" i="7"/>
  <c r="AD137" i="7"/>
  <c r="AE137" i="7"/>
  <c r="AF137" i="7"/>
  <c r="AF75" i="7"/>
  <c r="AE75" i="7"/>
  <c r="AD75" i="7"/>
  <c r="AD11" i="7"/>
  <c r="AE11" i="7"/>
  <c r="AF11" i="7"/>
  <c r="AD43" i="7"/>
  <c r="AE43" i="7"/>
  <c r="AG43" i="7" s="1"/>
  <c r="AF43" i="7"/>
  <c r="AE84" i="7"/>
  <c r="AF84" i="7"/>
  <c r="AD84" i="7"/>
  <c r="AG84" i="7" s="1"/>
  <c r="AD115" i="7"/>
  <c r="AF115" i="7"/>
  <c r="AE115" i="7"/>
  <c r="AE54" i="7"/>
  <c r="AF54" i="7"/>
  <c r="AD54" i="7"/>
  <c r="AD124" i="7"/>
  <c r="AE124" i="7"/>
  <c r="AF124" i="7"/>
  <c r="AF62" i="7"/>
  <c r="AD62" i="7"/>
  <c r="AE62" i="7"/>
  <c r="AE45" i="7"/>
  <c r="AF45" i="7"/>
  <c r="AD45" i="7"/>
  <c r="AC2" i="7"/>
  <c r="AD49" i="7"/>
  <c r="AF49" i="7"/>
  <c r="AE49" i="7"/>
  <c r="AD14" i="7"/>
  <c r="AE14" i="7"/>
  <c r="AF14" i="7"/>
  <c r="AE87" i="7"/>
  <c r="AF87" i="7"/>
  <c r="AD87" i="7"/>
  <c r="AF118" i="7"/>
  <c r="AD118" i="7"/>
  <c r="AE118" i="7"/>
  <c r="AE64" i="7"/>
  <c r="AF64" i="7"/>
  <c r="AD64" i="7"/>
  <c r="AD47" i="7"/>
  <c r="AF47" i="7"/>
  <c r="AE47" i="7"/>
  <c r="Z73" i="7"/>
  <c r="AE80" i="7"/>
  <c r="AF80" i="7"/>
  <c r="AD80" i="7"/>
  <c r="AF111" i="7"/>
  <c r="AD111" i="7"/>
  <c r="AE111" i="7"/>
  <c r="AD50" i="7"/>
  <c r="AE50" i="7"/>
  <c r="AF50" i="7"/>
  <c r="AE32" i="7"/>
  <c r="AF32" i="7"/>
  <c r="AD32" i="7"/>
  <c r="AE22" i="7"/>
  <c r="AF22" i="7"/>
  <c r="AD22" i="7"/>
  <c r="AD98" i="7"/>
  <c r="AF98" i="7"/>
  <c r="AE98" i="7"/>
  <c r="AD130" i="7"/>
  <c r="AF130" i="7"/>
  <c r="AE130" i="7"/>
  <c r="AE68" i="7"/>
  <c r="AD68" i="7"/>
  <c r="AF68" i="7"/>
  <c r="AD44" i="7"/>
  <c r="AF44" i="7"/>
  <c r="AE44" i="7"/>
  <c r="AD78" i="7"/>
  <c r="AE78" i="7"/>
  <c r="AF78" i="7"/>
  <c r="AE117" i="7"/>
  <c r="AD117" i="7"/>
  <c r="AF117" i="7"/>
  <c r="AD89" i="7"/>
  <c r="AF89" i="7"/>
  <c r="AE89" i="7"/>
  <c r="AE120" i="7"/>
  <c r="AD120" i="7"/>
  <c r="AF120" i="7"/>
  <c r="AD58" i="7"/>
  <c r="AE58" i="7"/>
  <c r="AF58" i="7"/>
  <c r="AD41" i="7"/>
  <c r="AF41" i="7"/>
  <c r="AE41" i="7"/>
  <c r="AD82" i="7"/>
  <c r="AF82" i="7"/>
  <c r="AE82" i="7"/>
  <c r="AD113" i="7"/>
  <c r="AF113" i="7"/>
  <c r="AE113" i="7"/>
  <c r="AE52" i="7"/>
  <c r="AD52" i="7"/>
  <c r="AF52" i="7"/>
  <c r="AD34" i="7"/>
  <c r="AE34" i="7"/>
  <c r="AF34" i="7"/>
  <c r="AE4" i="7"/>
  <c r="AD4" i="7"/>
  <c r="AF4" i="7"/>
  <c r="AE92" i="7"/>
  <c r="AF92" i="7"/>
  <c r="AD92" i="7"/>
  <c r="AE123" i="7"/>
  <c r="AF123" i="7"/>
  <c r="AD123" i="7"/>
  <c r="AF61" i="7"/>
  <c r="AD61" i="7"/>
  <c r="AE61" i="7"/>
  <c r="AF100" i="7"/>
  <c r="AD100" i="7"/>
  <c r="AE100" i="7"/>
  <c r="AE132" i="7"/>
  <c r="AF132" i="7"/>
  <c r="AD132" i="7"/>
  <c r="AF70" i="7"/>
  <c r="AD70" i="7"/>
  <c r="AE70" i="7"/>
  <c r="AF6" i="7"/>
  <c r="AD6" i="7"/>
  <c r="AE6" i="7"/>
  <c r="AF38" i="7"/>
  <c r="AE38" i="7"/>
  <c r="AD38" i="7"/>
  <c r="AE20" i="7"/>
  <c r="AD20" i="7"/>
  <c r="AF20" i="7"/>
  <c r="AE94" i="7"/>
  <c r="AF94" i="7"/>
  <c r="AD94" i="7"/>
  <c r="AF126" i="7"/>
  <c r="AE126" i="7"/>
  <c r="AD126" i="7"/>
  <c r="AF72" i="7"/>
  <c r="AD72" i="7"/>
  <c r="AE72" i="7"/>
  <c r="AE8" i="7"/>
  <c r="AF8" i="7"/>
  <c r="AD8" i="7"/>
  <c r="AC101" i="7"/>
  <c r="AC8" i="7"/>
  <c r="AB106" i="7"/>
  <c r="AA8" i="7"/>
  <c r="AB8" i="7"/>
  <c r="AC9" i="7"/>
  <c r="AC106" i="7"/>
  <c r="AA106" i="7"/>
  <c r="AB9" i="7"/>
  <c r="AB105" i="7"/>
  <c r="AB129" i="7"/>
  <c r="AA138" i="7"/>
  <c r="AB4" i="7"/>
  <c r="Z130" i="7"/>
  <c r="AG130" i="7" s="1"/>
  <c r="AC36" i="7"/>
  <c r="AA85" i="7"/>
  <c r="AC105" i="7"/>
  <c r="AA4" i="7"/>
  <c r="AC76" i="7"/>
  <c r="AB102" i="7"/>
  <c r="AB109" i="7"/>
  <c r="AC102" i="7"/>
  <c r="AC113" i="7"/>
  <c r="Z109" i="7"/>
  <c r="AA141" i="7"/>
  <c r="AB76" i="7"/>
  <c r="AC4" i="7"/>
  <c r="AB96" i="7"/>
  <c r="AB3" i="7"/>
  <c r="Z129" i="7"/>
  <c r="AC20" i="7"/>
  <c r="Z108" i="7"/>
  <c r="AC14" i="7"/>
  <c r="AC48" i="7"/>
  <c r="Z51" i="7"/>
  <c r="AB31" i="7"/>
  <c r="AC103" i="7"/>
  <c r="AA15" i="7"/>
  <c r="Z134" i="7"/>
  <c r="AA51" i="7"/>
  <c r="AB51" i="7"/>
  <c r="AA31" i="7"/>
  <c r="AA76" i="7"/>
  <c r="Z126" i="7"/>
  <c r="AA55" i="7"/>
  <c r="AB103" i="7"/>
  <c r="AB136" i="7"/>
  <c r="AC31" i="7"/>
  <c r="AB113" i="7"/>
  <c r="AC136" i="7"/>
  <c r="AC65" i="7"/>
  <c r="AB13" i="7"/>
  <c r="AA89" i="7"/>
  <c r="Z31" i="7"/>
  <c r="AG31" i="7" s="1"/>
  <c r="AC5" i="7"/>
  <c r="AB10" i="7"/>
  <c r="AC140" i="7"/>
  <c r="AC13" i="7"/>
  <c r="AA129" i="7"/>
  <c r="AB121" i="7"/>
  <c r="AC40" i="7"/>
  <c r="AB69" i="7"/>
  <c r="Z75" i="7"/>
  <c r="AA79" i="7"/>
  <c r="AA75" i="7"/>
  <c r="AA117" i="7"/>
  <c r="AA125" i="7"/>
  <c r="AC69" i="7"/>
  <c r="AB119" i="7"/>
  <c r="AC62" i="7"/>
  <c r="AB127" i="7"/>
  <c r="AB50" i="7"/>
  <c r="AB114" i="7"/>
  <c r="AB139" i="7"/>
  <c r="AB117" i="7"/>
  <c r="AA52" i="7"/>
  <c r="AB55" i="7"/>
  <c r="AC119" i="7"/>
  <c r="AA21" i="7"/>
  <c r="AA119" i="7"/>
  <c r="AG119" i="7" s="1"/>
  <c r="AC139" i="7"/>
  <c r="AB62" i="7"/>
  <c r="AA133" i="7"/>
  <c r="AC55" i="7"/>
  <c r="AC127" i="7"/>
  <c r="AA127" i="7"/>
  <c r="AA114" i="7"/>
  <c r="Z17" i="7"/>
  <c r="AC117" i="7"/>
  <c r="AB79" i="7"/>
  <c r="AG79" i="7" s="1"/>
  <c r="AC50" i="7"/>
  <c r="AC114" i="7"/>
  <c r="AA50" i="7"/>
  <c r="AB39" i="7"/>
  <c r="Z93" i="7"/>
  <c r="Z64" i="7"/>
  <c r="Z80" i="7"/>
  <c r="Z47" i="7"/>
  <c r="AA80" i="7"/>
  <c r="AB41" i="7"/>
  <c r="AB47" i="7"/>
  <c r="AC6" i="7"/>
  <c r="AB120" i="7"/>
  <c r="AC39" i="7"/>
  <c r="AB28" i="7"/>
  <c r="AB99" i="7"/>
  <c r="AG99" i="7" s="1"/>
  <c r="AC3" i="7"/>
  <c r="AA65" i="7"/>
  <c r="Z100" i="7"/>
  <c r="Z15" i="7"/>
  <c r="AC47" i="7"/>
  <c r="AC96" i="7"/>
  <c r="AB107" i="7"/>
  <c r="AA39" i="7"/>
  <c r="AB93" i="7"/>
  <c r="AC116" i="7"/>
  <c r="AA99" i="7"/>
  <c r="Z137" i="7"/>
  <c r="Z96" i="7"/>
  <c r="AA6" i="7"/>
  <c r="AB65" i="7"/>
  <c r="AC104" i="7"/>
  <c r="AC17" i="7"/>
  <c r="AC122" i="7"/>
  <c r="AB52" i="7"/>
  <c r="AB101" i="7"/>
  <c r="AB86" i="7"/>
  <c r="AA107" i="7"/>
  <c r="AA116" i="7"/>
  <c r="AA38" i="7"/>
  <c r="AG38" i="7" s="1"/>
  <c r="AC80" i="7"/>
  <c r="AC107" i="7"/>
  <c r="AC41" i="7"/>
  <c r="AA122" i="7"/>
  <c r="AB116" i="7"/>
  <c r="Z101" i="7"/>
  <c r="AB64" i="7"/>
  <c r="AB71" i="7"/>
  <c r="AB15" i="7"/>
  <c r="AC54" i="7"/>
  <c r="AC71" i="7"/>
  <c r="AB122" i="7"/>
  <c r="AC10" i="7"/>
  <c r="AB68" i="7"/>
  <c r="AA113" i="7"/>
  <c r="AG113" i="7" s="1"/>
  <c r="AC52" i="7"/>
  <c r="AB6" i="7"/>
  <c r="Z81" i="7"/>
  <c r="Z61" i="7"/>
  <c r="AA3" i="7"/>
  <c r="AC93" i="7"/>
  <c r="AB87" i="7"/>
  <c r="AC64" i="7"/>
  <c r="AC121" i="7"/>
  <c r="AA71" i="7"/>
  <c r="AB100" i="7"/>
  <c r="AB45" i="7"/>
  <c r="AA41" i="7"/>
  <c r="AG97" i="7"/>
  <c r="AC68" i="7"/>
  <c r="AA139" i="7"/>
  <c r="Z10" i="7"/>
  <c r="AB56" i="7"/>
  <c r="AC129" i="7"/>
  <c r="AA103" i="7"/>
  <c r="AC67" i="7"/>
  <c r="AA17" i="7"/>
  <c r="AA81" i="7"/>
  <c r="AC28" i="7"/>
  <c r="AC100" i="7"/>
  <c r="AB22" i="7"/>
  <c r="AB94" i="7"/>
  <c r="AA67" i="7"/>
  <c r="AA45" i="7"/>
  <c r="Z32" i="7"/>
  <c r="Z69" i="7"/>
  <c r="Z120" i="7"/>
  <c r="Z128" i="7"/>
  <c r="Z135" i="7"/>
  <c r="AG34" i="7"/>
  <c r="Z89" i="7"/>
  <c r="Z133" i="7"/>
  <c r="Z87" i="7"/>
  <c r="Z28" i="7"/>
  <c r="Z45" i="7"/>
  <c r="AA40" i="7"/>
  <c r="AC29" i="7"/>
  <c r="AC27" i="7"/>
  <c r="AC91" i="7"/>
  <c r="AB29" i="7"/>
  <c r="AA105" i="7"/>
  <c r="AC60" i="7"/>
  <c r="AB118" i="7"/>
  <c r="AA91" i="7"/>
  <c r="AA60" i="7"/>
  <c r="AA140" i="7"/>
  <c r="AB59" i="7"/>
  <c r="AA25" i="7"/>
  <c r="AA36" i="7"/>
  <c r="AA53" i="7"/>
  <c r="AA56" i="7"/>
  <c r="AC45" i="7"/>
  <c r="AC22" i="7"/>
  <c r="AA5" i="7"/>
  <c r="AC56" i="7"/>
  <c r="AC120" i="7"/>
  <c r="AB36" i="7"/>
  <c r="AB67" i="7"/>
  <c r="AA33" i="7"/>
  <c r="AC53" i="7"/>
  <c r="AA27" i="7"/>
  <c r="AC30" i="7"/>
  <c r="AC94" i="7"/>
  <c r="AB25" i="7"/>
  <c r="AC128" i="7"/>
  <c r="AB33" i="7"/>
  <c r="AA135" i="7"/>
  <c r="AB140" i="7"/>
  <c r="AC35" i="7"/>
  <c r="AC132" i="7"/>
  <c r="AA58" i="7"/>
  <c r="AG58" i="7" s="1"/>
  <c r="Z141" i="7"/>
  <c r="Z40" i="7"/>
  <c r="Z25" i="7"/>
  <c r="Z23" i="7"/>
  <c r="Z103" i="7"/>
  <c r="AG26" i="7"/>
  <c r="AG98" i="7"/>
  <c r="AC77" i="7"/>
  <c r="AC141" i="7"/>
  <c r="AC118" i="7"/>
  <c r="AB104" i="7"/>
  <c r="AC24" i="7"/>
  <c r="AB35" i="7"/>
  <c r="AB53" i="7"/>
  <c r="AB78" i="7"/>
  <c r="Z56" i="7"/>
  <c r="Z9" i="7"/>
  <c r="AG9" i="7" s="1"/>
  <c r="AA92" i="7"/>
  <c r="Z92" i="7"/>
  <c r="Z94" i="7"/>
  <c r="AG16" i="7"/>
  <c r="AB135" i="7"/>
  <c r="AA59" i="7"/>
  <c r="AB48" i="7"/>
  <c r="AC33" i="7"/>
  <c r="AB92" i="7"/>
  <c r="AA24" i="7"/>
  <c r="AC59" i="7"/>
  <c r="AC123" i="7"/>
  <c r="AB14" i="7"/>
  <c r="AA123" i="7"/>
  <c r="AB138" i="7"/>
  <c r="AG8" i="7"/>
  <c r="AA102" i="7"/>
  <c r="Z118" i="7"/>
  <c r="AA46" i="7"/>
  <c r="AG46" i="7" s="1"/>
  <c r="AA110" i="7"/>
  <c r="AG110" i="7" s="1"/>
  <c r="Z86" i="7"/>
  <c r="Z121" i="7"/>
  <c r="Z68" i="7"/>
  <c r="Z5" i="7"/>
  <c r="AA132" i="7"/>
  <c r="Z48" i="7"/>
  <c r="Z14" i="7"/>
  <c r="Z104" i="7"/>
  <c r="Z22" i="7"/>
  <c r="AA54" i="7"/>
  <c r="Z44" i="7"/>
  <c r="AG137" i="7"/>
  <c r="AG49" i="7"/>
  <c r="AG18" i="7"/>
  <c r="AG75" i="7"/>
  <c r="AA62" i="7"/>
  <c r="AA112" i="7"/>
  <c r="AB125" i="7"/>
  <c r="AB142" i="7"/>
  <c r="Z21" i="7"/>
  <c r="Z72" i="7"/>
  <c r="Z132" i="7"/>
  <c r="Z77" i="7"/>
  <c r="Z19" i="7"/>
  <c r="AG19" i="7" s="1"/>
  <c r="Z30" i="7"/>
  <c r="Z37" i="7"/>
  <c r="Z142" i="7"/>
  <c r="Z70" i="7"/>
  <c r="AA121" i="7"/>
  <c r="Z88" i="7"/>
  <c r="AG88" i="7" s="1"/>
  <c r="Z136" i="7"/>
  <c r="AA78" i="7"/>
  <c r="AB77" i="7"/>
  <c r="AC44" i="7"/>
  <c r="AB30" i="7"/>
  <c r="AG93" i="7"/>
  <c r="AG85" i="7"/>
  <c r="AG23" i="7"/>
  <c r="AG126" i="7"/>
  <c r="H20" i="15"/>
  <c r="AG96" i="7" l="1"/>
  <c r="AG32" i="7"/>
  <c r="AG112" i="7"/>
  <c r="AG54" i="7"/>
  <c r="AG102" i="7"/>
  <c r="AG21" i="7"/>
  <c r="AG61" i="7"/>
  <c r="AG51" i="7"/>
  <c r="AG82" i="7"/>
  <c r="AG111" i="7"/>
  <c r="AG124" i="7"/>
  <c r="AG115" i="7"/>
  <c r="AG11" i="7"/>
  <c r="AG109" i="7"/>
  <c r="AG73" i="7"/>
  <c r="AG7" i="7"/>
  <c r="AG83" i="7"/>
  <c r="AG63" i="7"/>
  <c r="AG108" i="7"/>
  <c r="AG131" i="7"/>
  <c r="AG42" i="7"/>
  <c r="AG90" i="7"/>
  <c r="AG66" i="7"/>
  <c r="AG57" i="7"/>
  <c r="AG136" i="7"/>
  <c r="AG2" i="7"/>
  <c r="AG138" i="7"/>
  <c r="AG29" i="7"/>
  <c r="AG101" i="7"/>
  <c r="AG45" i="7"/>
  <c r="AG134" i="7"/>
  <c r="AG20" i="7"/>
  <c r="AG106" i="7"/>
  <c r="AG70" i="7"/>
  <c r="AG37" i="7"/>
  <c r="AG125" i="7"/>
  <c r="AG76" i="7"/>
  <c r="AG86" i="7"/>
  <c r="AG50" i="7"/>
  <c r="AG4" i="7"/>
  <c r="AG129" i="7"/>
  <c r="AG133" i="7"/>
  <c r="AG24" i="7"/>
  <c r="AG6" i="7"/>
  <c r="AG13" i="7"/>
  <c r="AG35" i="7"/>
  <c r="AG10" i="7"/>
  <c r="AG64" i="7"/>
  <c r="AG107" i="7"/>
  <c r="AG15" i="7"/>
  <c r="AG114" i="7"/>
  <c r="AG122" i="7"/>
  <c r="AG52" i="7"/>
  <c r="AG65" i="7"/>
  <c r="AG47" i="7"/>
  <c r="AG141" i="7"/>
  <c r="AG36" i="7"/>
  <c r="AG41" i="7"/>
  <c r="AG80" i="7"/>
  <c r="AG100" i="7"/>
  <c r="AG87" i="7"/>
  <c r="AG139" i="7"/>
  <c r="AG117" i="7"/>
  <c r="AG127" i="7"/>
  <c r="AG39" i="7"/>
  <c r="AG135" i="7"/>
  <c r="AG53" i="7"/>
  <c r="AG62" i="7"/>
  <c r="AG3" i="7"/>
  <c r="AG78" i="7"/>
  <c r="AG105" i="7"/>
  <c r="AG5" i="7"/>
  <c r="AG103" i="7"/>
  <c r="AG94" i="7"/>
  <c r="AG60" i="7"/>
  <c r="AG40" i="7"/>
  <c r="AG89" i="7"/>
  <c r="AG69" i="7"/>
  <c r="AG81" i="7"/>
  <c r="AG118" i="7"/>
  <c r="AG17" i="7"/>
  <c r="AG91" i="7"/>
  <c r="AG67" i="7"/>
  <c r="AG28" i="7"/>
  <c r="AG71" i="7"/>
  <c r="AG116" i="7"/>
  <c r="AG120" i="7"/>
  <c r="AG22" i="7"/>
  <c r="AG27" i="7"/>
  <c r="AG68" i="7"/>
  <c r="AG128" i="7"/>
  <c r="AG92" i="7"/>
  <c r="AG104" i="7"/>
  <c r="AG140" i="7"/>
  <c r="AG33" i="7"/>
  <c r="AG25" i="7"/>
  <c r="AG56" i="7"/>
  <c r="AG123" i="7"/>
  <c r="AG59" i="7"/>
  <c r="AG30" i="7"/>
  <c r="AG44" i="7"/>
  <c r="AG14" i="7"/>
  <c r="AG132" i="7"/>
  <c r="AG72" i="7"/>
  <c r="AG48" i="7"/>
  <c r="AG142" i="7"/>
  <c r="AG77" i="7"/>
  <c r="AG121" i="7"/>
</calcChain>
</file>

<file path=xl/sharedStrings.xml><?xml version="1.0" encoding="utf-8"?>
<sst xmlns="http://schemas.openxmlformats.org/spreadsheetml/2006/main" count="2476" uniqueCount="848">
  <si>
    <t>Comments</t>
  </si>
  <si>
    <t>Year</t>
  </si>
  <si>
    <t>Sex</t>
  </si>
  <si>
    <t>All</t>
  </si>
  <si>
    <t>Men</t>
  </si>
  <si>
    <t>Women</t>
  </si>
  <si>
    <t>FSW</t>
  </si>
  <si>
    <t>Age</t>
  </si>
  <si>
    <t>Source</t>
  </si>
  <si>
    <t>M</t>
  </si>
  <si>
    <t>F</t>
  </si>
  <si>
    <t>NA</t>
  </si>
  <si>
    <r>
      <rPr>
        <b/>
        <sz val="9"/>
        <color rgb="FF292425"/>
        <rFont val="Garamond"/>
        <family val="1"/>
      </rPr>
      <t>Year</t>
    </r>
  </si>
  <si>
    <t>prevalence</t>
  </si>
  <si>
    <t>prev_LL</t>
  </si>
  <si>
    <t>prev_UL</t>
  </si>
  <si>
    <t>Study</t>
  </si>
  <si>
    <t>Location</t>
  </si>
  <si>
    <t>Sample Size</t>
  </si>
  <si>
    <t>Ramjee 2005</t>
  </si>
  <si>
    <t>Truck stops between Durban and Johannesburg</t>
  </si>
  <si>
    <t>Dunkle 2005</t>
  </si>
  <si>
    <t>Johannesburg</t>
  </si>
  <si>
    <t>Willaims 2000</t>
  </si>
  <si>
    <t>Carletonville</t>
  </si>
  <si>
    <t>Ndhlovu 2005</t>
  </si>
  <si>
    <t>van Loggerenberg 2008</t>
  </si>
  <si>
    <t>Durban</t>
  </si>
  <si>
    <t>Luseno &amp; Wechsberg 2009</t>
  </si>
  <si>
    <t>Pretoria</t>
  </si>
  <si>
    <t>Greener 2014</t>
  </si>
  <si>
    <t>Cape Town</t>
  </si>
  <si>
    <t>Schwartz 2017</t>
  </si>
  <si>
    <t>Port Elizabeth</t>
  </si>
  <si>
    <t>Subcategory</t>
  </si>
  <si>
    <t>Min and Max</t>
  </si>
  <si>
    <t>Coverage_ART</t>
  </si>
  <si>
    <t>USCF 2015 / SAHMS</t>
  </si>
  <si>
    <t>SAHMS</t>
  </si>
  <si>
    <t>25+</t>
  </si>
  <si>
    <t>16+</t>
  </si>
  <si>
    <t>16-24</t>
  </si>
  <si>
    <t>Summary</t>
  </si>
  <si>
    <t>Calibration</t>
  </si>
  <si>
    <t>N</t>
  </si>
  <si>
    <t>Y</t>
  </si>
  <si>
    <t>1.96*se_self-calc</t>
  </si>
  <si>
    <t>LL</t>
  </si>
  <si>
    <t>UL</t>
  </si>
  <si>
    <t>1990</t>
  </si>
  <si>
    <t>&lt;500</t>
  </si>
  <si>
    <t>&lt;200</t>
  </si>
  <si>
    <t>&lt;1000</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</si>
  <si>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</si>
  <si>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</si>
  <si>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</si>
  <si>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</si>
  <si>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</si>
  <si>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</si>
  <si>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</si>
  <si>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</si>
  <si>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</si>
  <si>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</si>
  <si>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</si>
  <si>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</si>
  <si>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</si>
  <si>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</si>
  <si>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</si>
  <si>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</si>
  <si>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</si>
  <si>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</si>
  <si>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</si>
  <si>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</si>
  <si>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</si>
  <si>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</si>
  <si>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2013</t>
  </si>
  <si>
    <t>2014</t>
  </si>
  <si>
    <t>2015</t>
  </si>
  <si>
    <t>2016</t>
  </si>
  <si>
    <t>2017</t>
  </si>
  <si>
    <t>&lt;100</t>
  </si>
  <si>
    <t>Behavioural Surveillance Survey 2017 (need to identify original data)</t>
  </si>
  <si>
    <t>South Africa</t>
  </si>
  <si>
    <t>GARPR 2015 - Need to identify original data</t>
  </si>
  <si>
    <t>Check</t>
  </si>
  <si>
    <t>http://aidsinfo.unaids.org/</t>
  </si>
  <si>
    <t>UNAIDS</t>
  </si>
  <si>
    <t>Among women who were aware of their status, self-report</t>
  </si>
  <si>
    <t>15+</t>
  </si>
  <si>
    <t>Shisana 2017 (presentation)</t>
  </si>
  <si>
    <t>All_0-14</t>
  </si>
  <si>
    <t>All_15-24</t>
  </si>
  <si>
    <t>All_25-49</t>
  </si>
  <si>
    <t>All_50+</t>
  </si>
  <si>
    <t>0-14</t>
  </si>
  <si>
    <t>15-24</t>
  </si>
  <si>
    <t>50+</t>
  </si>
  <si>
    <t>25-49</t>
  </si>
  <si>
    <t>All_0-50+</t>
  </si>
  <si>
    <t>0-50+</t>
  </si>
  <si>
    <t>Among all HIV</t>
  </si>
  <si>
    <t>Among women who were aware of their status, self-report (J'burg sample had high proportion of foreign FSW, may be biased downwards)</t>
  </si>
  <si>
    <t xml:space="preserve">SingleYrEst9 </t>
  </si>
  <si>
    <t>Years_5_9</t>
  </si>
  <si>
    <t>Years_10_14</t>
  </si>
  <si>
    <t>Years_15_19</t>
  </si>
  <si>
    <t>Years_20_24</t>
  </si>
  <si>
    <t>Years_25_29</t>
  </si>
  <si>
    <t>Years_30_34</t>
  </si>
  <si>
    <t>Years_35_39</t>
  </si>
  <si>
    <t>Years_40_44</t>
  </si>
  <si>
    <t>Years_45_49</t>
  </si>
  <si>
    <t>Years_50_54</t>
  </si>
  <si>
    <t>Years_55_59</t>
  </si>
  <si>
    <t>Years_60_64</t>
  </si>
  <si>
    <t>Years_65_69</t>
  </si>
  <si>
    <t>Years_70_74</t>
  </si>
  <si>
    <t>Years_75_79</t>
  </si>
  <si>
    <t>Years_80_84</t>
  </si>
  <si>
    <t>Years_9_14</t>
  </si>
  <si>
    <t>Years_15_24</t>
  </si>
  <si>
    <t>Years_25_34</t>
  </si>
  <si>
    <t>Years_35_49</t>
  </si>
  <si>
    <t>Years_50_74</t>
  </si>
  <si>
    <t>Years_9_74</t>
  </si>
  <si>
    <t>United Nations. World Population Prospects 2017. Department of Economic and Social Affairs. Population Division. https://esa.un.org/unpd/wpp/</t>
  </si>
  <si>
    <t>Estimated_Completeness</t>
  </si>
  <si>
    <t>completeness_proportion</t>
  </si>
  <si>
    <t>Estimated_Completeness_2</t>
  </si>
  <si>
    <t>completeness_proportion_2</t>
  </si>
  <si>
    <t>Dorrington</t>
  </si>
  <si>
    <t>Johannesburg, Pretoria</t>
  </si>
  <si>
    <t>Eakle 2016 / TAPS study</t>
  </si>
  <si>
    <t>18-60</t>
  </si>
  <si>
    <t>9-14</t>
  </si>
  <si>
    <t>25-34</t>
  </si>
  <si>
    <t>35-49</t>
  </si>
  <si>
    <t>50-74</t>
  </si>
  <si>
    <t>15-50</t>
  </si>
  <si>
    <t>15-74</t>
  </si>
  <si>
    <t>25-74</t>
  </si>
  <si>
    <t>hiv_15to49_Inc</t>
  </si>
  <si>
    <t>hiv_15to49_prevUL</t>
  </si>
  <si>
    <t>hiv_15to49_prevLL</t>
  </si>
  <si>
    <t>hiv_15to49_prev</t>
  </si>
  <si>
    <t>hiv_15to49_inc_UL</t>
  </si>
  <si>
    <t>hiv_15to49_inc_LL</t>
  </si>
  <si>
    <t>Age10_19Est</t>
  </si>
  <si>
    <t>LowerEst10_19</t>
  </si>
  <si>
    <t>UpperEst_10_19</t>
  </si>
  <si>
    <t>YoungPeop15_24Est</t>
  </si>
  <si>
    <t>LowerEs15_24</t>
  </si>
  <si>
    <t>UpperEst15_24</t>
  </si>
  <si>
    <t>Adults15ovEst</t>
  </si>
  <si>
    <t>LowerEst15ov</t>
  </si>
  <si>
    <t>UpperEst15ov</t>
  </si>
  <si>
    <t>agecateg</t>
  </si>
  <si>
    <t>hiv</t>
  </si>
  <si>
    <t>hivLL</t>
  </si>
  <si>
    <t>hivUL</t>
  </si>
  <si>
    <t>SABBSM</t>
  </si>
  <si>
    <t>25-29</t>
  </si>
  <si>
    <t>30-34</t>
  </si>
  <si>
    <t>35-39</t>
  </si>
  <si>
    <t>40-44</t>
  </si>
  <si>
    <t>45-49</t>
  </si>
  <si>
    <t>10-14</t>
  </si>
  <si>
    <t>HSRC - household</t>
  </si>
  <si>
    <t>0-9</t>
  </si>
  <si>
    <t>hiv_inc</t>
  </si>
  <si>
    <t>hiv_incLL</t>
  </si>
  <si>
    <t>hiv_incUL</t>
  </si>
  <si>
    <t>15-49</t>
  </si>
  <si>
    <t>STATS SA</t>
  </si>
  <si>
    <t>This is used to define plausibility bounds for the all deaths over time (so that more uncertainty in deaths earlier on)</t>
  </si>
  <si>
    <t>Years_35_44</t>
  </si>
  <si>
    <t>Years_45_54</t>
  </si>
  <si>
    <t>Years_55_64</t>
  </si>
  <si>
    <t>Years_65_74</t>
  </si>
  <si>
    <t>Prop_45_54</t>
  </si>
  <si>
    <t>Prop_55_64</t>
  </si>
  <si>
    <t>Prop_65_74</t>
  </si>
  <si>
    <t>Prop_9_14</t>
  </si>
  <si>
    <t>Prop_15_24</t>
  </si>
  <si>
    <t>Prop_25_34</t>
  </si>
  <si>
    <t>Prop_35_44</t>
  </si>
  <si>
    <t>hiv_15to24_prev</t>
  </si>
  <si>
    <t>hiv_15to24_prevLL</t>
  </si>
  <si>
    <t>hiv_15to24_prevUL</t>
  </si>
  <si>
    <t>UNAIDS new: https://www.unaids.org/en/resources/documents/2019/HIV_estimates_with_uncertainty_bounds_1990-present</t>
  </si>
  <si>
    <t>CovOL_ART</t>
  </si>
  <si>
    <t>OLD_LL</t>
  </si>
  <si>
    <t>OLD_UL</t>
  </si>
  <si>
    <t>Est_15plus_LL</t>
  </si>
  <si>
    <t>Est_15plus_UL</t>
  </si>
  <si>
    <t>OLD_Est_9plus_LL</t>
  </si>
  <si>
    <t>OLD_Est_9plus_UL</t>
  </si>
  <si>
    <t>Different age band to previous (15+) instead of (9+)</t>
  </si>
  <si>
    <t>In the older version summed together UL estimates across many age groups, here using only one estimate from UNAIDS</t>
  </si>
  <si>
    <r>
      <t xml:space="preserve">1997/98 </t>
    </r>
    <r>
      <rPr>
        <vertAlign val="superscript"/>
        <sz val="12"/>
        <color rgb="FF292425"/>
        <rFont val="Calibri"/>
        <family val="2"/>
        <scheme val="minor"/>
      </rPr>
      <t>+</t>
    </r>
  </si>
  <si>
    <r>
      <t xml:space="preserve">1998/99 </t>
    </r>
    <r>
      <rPr>
        <vertAlign val="superscript"/>
        <sz val="12"/>
        <color rgb="FF292425"/>
        <rFont val="Calibri"/>
        <family val="2"/>
        <scheme val="minor"/>
      </rPr>
      <t>+</t>
    </r>
  </si>
  <si>
    <r>
      <t xml:space="preserve">1999/2000 </t>
    </r>
    <r>
      <rPr>
        <vertAlign val="superscript"/>
        <sz val="12"/>
        <color rgb="FF292425"/>
        <rFont val="Calibri"/>
        <family val="2"/>
        <scheme val="minor"/>
      </rPr>
      <t>+</t>
    </r>
  </si>
  <si>
    <t>Years 9_74_noHIV</t>
  </si>
  <si>
    <t>Comment</t>
  </si>
  <si>
    <t>Assuming the max allovable deaths in HIV have occurred</t>
  </si>
  <si>
    <t>To be used in 1st calibration</t>
  </si>
  <si>
    <t>SA Calibration limit</t>
  </si>
  <si>
    <t>Overall estimate based on above</t>
  </si>
  <si>
    <t>OLD_hiv_15to49_prev</t>
  </si>
  <si>
    <t>OLD_hiv_15to49_prevLL</t>
  </si>
  <si>
    <t>OLD_hiv_15to49_prevUL</t>
  </si>
  <si>
    <t>OLD_hiv_15to49_Inc</t>
  </si>
  <si>
    <t>OLD_hiv_15to49_inc_LL</t>
  </si>
  <si>
    <t>OLD_hiv_15to49_inc_UL</t>
  </si>
  <si>
    <t>ParamNum</t>
  </si>
  <si>
    <t>ParamName</t>
  </si>
  <si>
    <t>ParamDescription</t>
  </si>
  <si>
    <t>Distribution</t>
  </si>
  <si>
    <t>ValueFixed</t>
  </si>
  <si>
    <t>ValueMin</t>
  </si>
  <si>
    <t>ValueMax</t>
  </si>
  <si>
    <t>References</t>
  </si>
  <si>
    <t>h1</t>
  </si>
  <si>
    <t>Health states for HPV 1</t>
  </si>
  <si>
    <t>Fixed</t>
  </si>
  <si>
    <t>Model structure</t>
  </si>
  <si>
    <t>h2</t>
  </si>
  <si>
    <t>Health states for HPV 2</t>
  </si>
  <si>
    <t>h3</t>
  </si>
  <si>
    <t>Health states for HPV 3</t>
  </si>
  <si>
    <t>i</t>
  </si>
  <si>
    <t>Health states for HIV</t>
  </si>
  <si>
    <t>s</t>
  </si>
  <si>
    <t>Two sexes 1=F, 2=M</t>
  </si>
  <si>
    <t>r</t>
  </si>
  <si>
    <t>Three risk groups 1=LR, 2=MR, 3=HR</t>
  </si>
  <si>
    <t>a</t>
  </si>
  <si>
    <t>5 age groups</t>
  </si>
  <si>
    <t>v</t>
  </si>
  <si>
    <t>Vaccination status</t>
  </si>
  <si>
    <t>Aging1</t>
  </si>
  <si>
    <t>Aging for 9-14</t>
  </si>
  <si>
    <t>Age1</t>
  </si>
  <si>
    <t>Aging2</t>
  </si>
  <si>
    <t>Age2</t>
  </si>
  <si>
    <t>Age3</t>
  </si>
  <si>
    <t>Age4</t>
  </si>
  <si>
    <t>Age5</t>
  </si>
  <si>
    <t>gr_max</t>
  </si>
  <si>
    <t>Population max input increase</t>
  </si>
  <si>
    <t>Uniform</t>
  </si>
  <si>
    <t>Fit to data</t>
  </si>
  <si>
    <t>Adjusted</t>
  </si>
  <si>
    <t>gr_min</t>
  </si>
  <si>
    <t>Population min input increase</t>
  </si>
  <si>
    <t>gr_grate</t>
  </si>
  <si>
    <t>Population growth rate</t>
  </si>
  <si>
    <t>mu1</t>
  </si>
  <si>
    <t>1985 deaths</t>
  </si>
  <si>
    <t>mu2</t>
  </si>
  <si>
    <t>mu3</t>
  </si>
  <si>
    <t>mu4</t>
  </si>
  <si>
    <t>mu5</t>
  </si>
  <si>
    <t>startyear</t>
  </si>
  <si>
    <t>Year the model simulation begins</t>
  </si>
  <si>
    <t>timeend</t>
  </si>
  <si>
    <t>Years the model is run</t>
  </si>
  <si>
    <t>time step</t>
  </si>
  <si>
    <t>niterations</t>
  </si>
  <si>
    <t>Number of timesteps</t>
  </si>
  <si>
    <t>m-mortal-RR</t>
  </si>
  <si>
    <t>RR mortality in men</t>
  </si>
  <si>
    <t>Overall ortality rate per capita approx 1.8 times higher in men (1985). However, this varies over time</t>
  </si>
  <si>
    <t>mu6</t>
  </si>
  <si>
    <t>mu7</t>
  </si>
  <si>
    <t>mu8</t>
  </si>
  <si>
    <t>mu9</t>
  </si>
  <si>
    <t>mu10</t>
  </si>
  <si>
    <t>mu11</t>
  </si>
  <si>
    <t>mu12</t>
  </si>
  <si>
    <t>mu13</t>
  </si>
  <si>
    <t>Backr death rate 9-14</t>
  </si>
  <si>
    <t>Backr death rate 15-19</t>
  </si>
  <si>
    <t>Backr death rate 20-24</t>
  </si>
  <si>
    <t>Excess mortality in men (varies over time)</t>
  </si>
  <si>
    <t>Aging for every 5 years</t>
  </si>
  <si>
    <t>Backr deaths py 25-29</t>
  </si>
  <si>
    <t>Backr deaths py 30-34</t>
  </si>
  <si>
    <t>Backr deaths py 35-39</t>
  </si>
  <si>
    <t>Backr deaths py 40-44</t>
  </si>
  <si>
    <t>Backr deaths py 45-49</t>
  </si>
  <si>
    <t>Backr deaths py 50-54</t>
  </si>
  <si>
    <t>Backr deaths py 55-59</t>
  </si>
  <si>
    <t>Backr deaths py 60-64</t>
  </si>
  <si>
    <t>Backr deaths py 65-69</t>
  </si>
  <si>
    <t>Backr deaths py 70-74</t>
  </si>
  <si>
    <t>plr-men</t>
  </si>
  <si>
    <t>Proportion of men low risk (across age groups) initial conditions</t>
  </si>
  <si>
    <t xml:space="preserve">1-MR-HR </t>
  </si>
  <si>
    <t>pmr-men</t>
  </si>
  <si>
    <t>Proportion of men high risk (across age groups) initial conditions</t>
  </si>
  <si>
    <r>
      <t xml:space="preserve">High-risk populations definitions for men who are ~10% of the population: 15-34 y.o reporting 3 or more partners in the past year
35-70 y.o reporting 3 or more partners in the past year + those reporting simultaneously 1 or 2 partner in the past year and at least 16 lifetime partners.  </t>
    </r>
    <r>
      <rPr>
        <b/>
        <sz val="12"/>
        <color theme="1"/>
        <rFont val="Calibri"/>
        <family val="2"/>
        <scheme val="minor"/>
      </rPr>
      <t>Calibrate so that 9-12% in 2012</t>
    </r>
  </si>
  <si>
    <t>SABBS 2012 (data-analysis)</t>
  </si>
  <si>
    <t>phr-men</t>
  </si>
  <si>
    <t>Proportion of men, FSW clients, (across age groups) initial conditions</t>
  </si>
  <si>
    <t xml:space="preserve">Proportion FSW clients (P. Vickerman et al. review): upper end of self-reports ~10%, previous modeling by Johnson assumed up to 35%. Self-reports likely biased downwards. </t>
  </si>
  <si>
    <t>SWPSSES (2013). Estimating the size of the sex worker population in South Africa, 2013. Sex worker population size estimate study (SWPSES). // Shisana, O., T. M. Rehle, L. C. Simbayi, W. Parker, K. Zuma, A. Bhana, C. Connolly, J. S., V. Pillay and et al (2005). South African NAtional HIV Prevalence, HIV Incidence, Behaviour and Communication Survey, 2005. Cape Town. // Nattrass, N., B. Maughan-Brown, J. Seekings and A. Whiteside (2012). "Poverty, sexual behaviour, gender and HIV infection among young black men and women in Cape Town, South Africa." Afr J AIDS Res 11(4): 307-317.</t>
  </si>
  <si>
    <t>plr-women</t>
  </si>
  <si>
    <t>Proportion of women low risk (across age groups) initial conditions</t>
  </si>
  <si>
    <t>pmr-women</t>
  </si>
  <si>
    <t>Proportion of women high risk (across age groups) initial conditions</t>
  </si>
  <si>
    <r>
      <t xml:space="preserve">High-risk populations definitions for women who are ~5% of the population:
15-34 y.o reporting 2 or more partners in the past year
35-70 y.o reporting 2 or more partners in the past year + those reporting simultaneously 1 partner in the past year and at least 7 lifetime partners. </t>
    </r>
    <r>
      <rPr>
        <b/>
        <sz val="12"/>
        <color theme="1"/>
        <rFont val="Calibri"/>
        <family val="2"/>
        <scheme val="minor"/>
      </rPr>
      <t>Calibrate so that 4-6% in 2012</t>
    </r>
  </si>
  <si>
    <t>phr-women</t>
  </si>
  <si>
    <t>Proportion of women FSW (across age groups) initial conditions</t>
  </si>
  <si>
    <r>
      <t xml:space="preserve"> Proportion estimated to be FSW (0.69-0.96% of the adult female population).  </t>
    </r>
    <r>
      <rPr>
        <b/>
        <sz val="12"/>
        <color theme="1"/>
        <rFont val="Calibri"/>
        <family val="2"/>
        <scheme val="minor"/>
      </rPr>
      <t>Calibrated so that 0.69-0.96%  in 2012</t>
    </r>
    <r>
      <rPr>
        <sz val="12"/>
        <color theme="1"/>
        <rFont val="Calibri"/>
        <family val="2"/>
        <scheme val="minor"/>
      </rPr>
      <t xml:space="preserve">  (P.Vickerman et al. review -- add references)</t>
    </r>
  </si>
  <si>
    <r>
      <t xml:space="preserve">Carael, M., E. Slaymaker, R. Lyerla and S. Sarkar (2006). "Clients of sex workers in different regions of the world: hard to count." </t>
    </r>
    <r>
      <rPr>
        <u/>
        <sz val="11"/>
        <color theme="1"/>
        <rFont val="Calibri"/>
        <family val="2"/>
        <scheme val="minor"/>
      </rPr>
      <t>Sex Transm Infect</t>
    </r>
    <r>
      <rPr>
        <sz val="11"/>
        <color theme="1"/>
        <rFont val="Calibri"/>
        <family val="2"/>
        <scheme val="minor"/>
      </rPr>
      <t xml:space="preserve"> </t>
    </r>
    <r>
      <rPr>
        <b/>
        <sz val="11"/>
        <color theme="1"/>
        <rFont val="Calibri"/>
        <family val="2"/>
        <scheme val="minor"/>
      </rPr>
      <t>82 Suppl 3</t>
    </r>
    <r>
      <rPr>
        <sz val="11"/>
        <color theme="1"/>
        <rFont val="Calibri"/>
        <family val="2"/>
        <scheme val="minor"/>
      </rPr>
      <t>: iii26-33. //  Nattrass, N., B. Maughan-Brown, J. Seekings and A. Whiteside (2012). "Poverty, sexual behaviour, gender and HIV infection among young black men and women in Cape Town, South Africa." Afr J AIDS Res 11(4): 307-317. // Quaife, M., R. Eakle, M. Cabrera, P. Vickerman, M. Tsepe, F. Cianci, S. Delany-Moretlwe and F. Terris-Prestholt (2016). "Preferences for ARV-based HIV prevention methods among men and women, adolescent girls and female sex workers in Gauteng Province, South Africa: a protocol for a discrete choice experiment." BMJ Open 6(6): e010682.</t>
    </r>
  </si>
  <si>
    <t>pcr1-f1</t>
  </si>
  <si>
    <t>Number of partners - aged 9-14 - women - low risk</t>
  </si>
  <si>
    <t>For 2002-2017, between 5-7.6% of women reported having had sex before age 15. (Shisana 2017). In YRBS 20-30% of &lt;15 yos report ever having had sex. In HPTN. From zero to low level of activity allowed for the LR group to account for uncertainty in the proportion sexually active before 15..</t>
  </si>
  <si>
    <t>Shisana, O. et al. 2017 South African National HIV Prevalence, Incidence, and Behavior Survey: Early Data Resease. Available at: http://www.hsrc.ac.za/uploads/pageContent/9234/FINAL%20Presentation%20for%2017%20July%20launch.pdf. Accessed 8/10/18. // ﻿Department of the Human Sciences Research Council South Africa, 2011. Umthente Uhlaba Usamila - The 3rd South African National Survey, Youth Risk Behaviour 2011,</t>
  </si>
  <si>
    <t>pcr2-f1</t>
  </si>
  <si>
    <t>Number of partners - aged 9-14 - women - high risk</t>
  </si>
  <si>
    <t>Women in the 2 highest risk groups consist of ~6% of population, they are assigned a low level of sexual activity. In HPTN068 7.2% of 13-14 yos girls reported sexual partners in the past 12 months. Approximately 1.25 partners per sexually active person per year (13-14). Upper end 1.25/2 to account for 9-10 yos</t>
  </si>
  <si>
    <t>Pettifor HPTN068 (13-14 yos Seuxal behaviors analysis)</t>
  </si>
  <si>
    <t>pcr3_f1</t>
  </si>
  <si>
    <t>Number of partners - aged 9-14- women -FSW, non-commercial partners</t>
  </si>
  <si>
    <t>''</t>
  </si>
  <si>
    <t>pcr1_m1</t>
  </si>
  <si>
    <t>Number of partners - aged 9-14- men - low risk</t>
  </si>
  <si>
    <t>For 2002-2017, between 11.3-19.5% of men reported having had sex before age 15.   In absence of further data for 9-14 yos boys, we assume the dame priors as for girls.</t>
  </si>
  <si>
    <t>pcr2_m1</t>
  </si>
  <si>
    <t>Number of partners - aged 9-14 - men - high risk</t>
  </si>
  <si>
    <t>Given the larger population of HR men than women, only the HR men (non-clients), are assigned more seuxal activity &lt;15 yos.</t>
  </si>
  <si>
    <t>pcr3_m1</t>
  </si>
  <si>
    <t>Number of partners - aged 9-14 - men -  client men, non-commercial partners, RR to HR men</t>
  </si>
  <si>
    <t>pcr1-f2</t>
  </si>
  <si>
    <t>Number of partners - aged 15-24 - women - low risk -- RR to 25-39 LR</t>
  </si>
  <si>
    <t>Ever had sex: 57.3 (54.3-60.3), Average number of partners last year: 0.573 (0.542-0.603), incldues all.  RR to 25-34 LR women</t>
  </si>
  <si>
    <t>pcr2-f2</t>
  </si>
  <si>
    <t>Number of partners - aged 15-24 - women - high risk -- RR to 25-39HR</t>
  </si>
  <si>
    <t xml:space="preserve">Ever had sex 100%, average number of partners last year: 3.43 (2.61-4.24). RR to 25-34 HR women </t>
  </si>
  <si>
    <t>pcr3-f2</t>
  </si>
  <si>
    <t xml:space="preserve">Number of partners - aged 15-24 - FSW, non-commercial partners -- RR to 25-39 </t>
  </si>
  <si>
    <t xml:space="preserve"> 5.6-29.2% of FSW reported casual partners in the last 6 months (SAHMS-FSW 2014). In the Port Elisabeth study, 12-19% of FSW had casual partners in the last year (PEFSW 2015, Rao, Baral et al. 2016) --&gt; take 5.6 - 19% of FSW have non-commerical partners. FSW had 1-5 (range of 95% CI across cities) or 1-9 (for range of IQR across cities) casual partners in the previous 6 months (SAHMS-FSW 2014). In the Port Elisabeth FSW survey, FSW (PEFSW 2015, Rao, Baral et al. 2016) had a mean of 1.38 (0.34-2.41) casual partners in the past year. Assume same distribution across ages, except for the oldest age group, which is divided by 2 assuming lower partner change rate for the oldest people. </t>
  </si>
  <si>
    <t>SAHMS-FSW (2014). South African Health Monitoring Survey (SAHMS): An Integrated Biological and Behavioural Survey among Female Sex Workers, SOuth Africa 2013-2014. //  Rao, A., S. Baral, N. Phaswana-Mafuya, A. Lambert, Z. Kose, M. McIngana, C. Holland, S. Ketende and S. Schwartz (2016). "Pregnancy Intentions and Safer Pregnancy Knowledge Among Female Sex Workers in Port Elizabeth, South Africa." Obstet Gynecol 128(1): 15-21. // PEFSW (2015). Female Sex Workers in Port Elizabeth. Peltzer, K., T. A. Mashego and M. Mabeba (2003). "Attitudes and practices of doctors toward domestic violence victims in South Africa." Health Care Women Int 24(2): 149-157.</t>
  </si>
  <si>
    <t>pcr1-m2</t>
  </si>
  <si>
    <t>Number of partners - aged 15-24 - men - low risk -- RR to 25-39 LR</t>
  </si>
  <si>
    <t xml:space="preserve">Ever had sex: 49.3 (46.4-52.1), Average number of partners last year: 0.606 (0.563-0.649), </t>
  </si>
  <si>
    <t>pcr2-m2</t>
  </si>
  <si>
    <t>Number of partners - aged 15-24 - men - high risk -- RR to 25-39 HR</t>
  </si>
  <si>
    <t>Ever had sex 100%,  Average number of partners last year: 5.13 (4.1-6.16)</t>
  </si>
  <si>
    <t>pcr3-m2</t>
  </si>
  <si>
    <t>Number of partners - aged 15-24  client men, non-commercial partners py - RR to 25-39 HR</t>
  </si>
  <si>
    <t>Stone, Vickerman study assumes a huge range with 0.364-0.763 of clients having casual partners with 1.1-15.1 partners per year resulting in clients having 0.4-11.5 casual partners.. In the Port Elisabeth client survey, 57.6% (95%CI: 53.4-61.7) of clients reported having a casual female partner in the last 3 months. In absence of more accurate data, we have assumed that the clients have similar range of non-commercial partners to HR men; this also allows for variation across age.</t>
  </si>
  <si>
    <t>pcr1-f3</t>
  </si>
  <si>
    <t>Number of partners - aged 25-34 - women - low risk</t>
  </si>
  <si>
    <t>Ever had sex: 97.4 (96.3-98.5), Average number of partners last year: 0.971 (0.96-0.982). To account for long-term partners (crudely), the UL was divdied by 2</t>
  </si>
  <si>
    <t>pcr2-f3</t>
  </si>
  <si>
    <t>Number of partners - aged 25-34  - women - high risk</t>
  </si>
  <si>
    <t>Ever had sex 100%, Average number of partners last year: 2.57 (2.14-2.99)</t>
  </si>
  <si>
    <t>pcr3-f3</t>
  </si>
  <si>
    <t>Number of partners - aged 25-34 - women  - FSW, non-commercial partners</t>
  </si>
  <si>
    <t>As for other FSW non-comm. Partners -- see comment for 15-24</t>
  </si>
  <si>
    <t>pcr1-m3</t>
  </si>
  <si>
    <t>Number of partners - aged 25-34  - men - low risk</t>
  </si>
  <si>
    <t>Ever had sex: 93.5 (91.4-95.6), Average number of partners last year: 1.07 (1.03-1.11)</t>
  </si>
  <si>
    <t>pcr2-m3</t>
  </si>
  <si>
    <t>Number of partners - aged 25-34  - men - high risk</t>
  </si>
  <si>
    <t>Ever had sex 100%,  Average number of partners last year: 7.11 (4.56-9.66)</t>
  </si>
  <si>
    <t>pcr3-m3</t>
  </si>
  <si>
    <t>Number of partners - aged 25-34   client men, non-commercial partners</t>
  </si>
  <si>
    <t>Same partner number as for HR men</t>
  </si>
  <si>
    <t>pcr1-f4</t>
  </si>
  <si>
    <t>Number of partners - aged 35-49 - women - low risk -- RR to 25-39</t>
  </si>
  <si>
    <t>Ever had sex: 98.6 (97.5-99.7), Average number of partners last year: 0.984 (0.973-0.995).</t>
  </si>
  <si>
    <t>pcr2-f4</t>
  </si>
  <si>
    <t>Number of partners - aged 35-49   - women - high risk -- RR to 25-39</t>
  </si>
  <si>
    <t xml:space="preserve">Ever had sex 100%, Average number of partner last year: 1.75 (1.39-2.11). </t>
  </si>
  <si>
    <t>pcr3-f4</t>
  </si>
  <si>
    <t>Number of partners - aged 35-49  - women  - FSW, non-commercial partners</t>
  </si>
  <si>
    <t>As for other FSW non-comm. partners</t>
  </si>
  <si>
    <t>pcr1-m4</t>
  </si>
  <si>
    <t>Number of partners - aged 35-49   - men - low risk -- RR to 25-39</t>
  </si>
  <si>
    <t>Ever had sex: 96.4 (94.7-98.2), Average number of partners last year: 1.02 (0.995-1.05)</t>
  </si>
  <si>
    <t>pcr2-m4</t>
  </si>
  <si>
    <t>Number of partners - aged 35-49   - men - high risk -- RR to 25-39</t>
  </si>
  <si>
    <t xml:space="preserve">Ever had sex 100%,  Average number of partners last year: 3.27 (2.0-4.54). 95% CI used with -1 on the LL estimate to account for main partner </t>
  </si>
  <si>
    <t>pcr3-m4</t>
  </si>
  <si>
    <t>Number of partners - aged 35-49    client men, non-commercial partners</t>
  </si>
  <si>
    <t>As above</t>
  </si>
  <si>
    <t>pcr1-f5</t>
  </si>
  <si>
    <t>Number of partners - aged 50-74 - women - low risk -- RR to 25-39 LR</t>
  </si>
  <si>
    <t xml:space="preserve">Ever had sex: 97.3 (96.0-98.5), Average number of partners last year: 0.969 (0.955-0.982). </t>
  </si>
  <si>
    <t>pcr2-f5</t>
  </si>
  <si>
    <t>Number of partners - aged 50-74   - women - high risk -- RR to 25-39 HR</t>
  </si>
  <si>
    <t xml:space="preserve">Ever had sex 100%, Average number of partners last year: 1.27 (0.805-1.73). </t>
  </si>
  <si>
    <t>pcr3-f5</t>
  </si>
  <si>
    <t>Number of partners - aged 50-74  - women  - FSW, non-commercial partners</t>
  </si>
  <si>
    <t>As for other FSW non-comm. partners, but divided by 2 as assumed that older women will have fewer partners</t>
  </si>
  <si>
    <t>pcr1-m5</t>
  </si>
  <si>
    <t>Number of partners - aged 50-74   - men - low risk -- RR to 25-39 LR</t>
  </si>
  <si>
    <t>Ever had sex: 97.6 (96.2-99.0), Average number of partners last year: 1.01 (0.988-1.04). To account for long-term partners (crudely), the UL was divdied by 4</t>
  </si>
  <si>
    <t>pcr2-m5</t>
  </si>
  <si>
    <t>Number of partners - aged 50-74   - men - high risk -- RR to 25-39 HR</t>
  </si>
  <si>
    <t xml:space="preserve">Ever had sex 100%,  Average number of partners last year: 3.16 (1.79-4.53). </t>
  </si>
  <si>
    <t>pcr3-m5</t>
  </si>
  <si>
    <t>Number of partners - aged 50-74   - client men, non-commercial partners, RR to HR men -- RR to 25-39 HR</t>
  </si>
  <si>
    <t>As above, but allow for a lower LL (as these men also have commercial partners)</t>
  </si>
  <si>
    <t>Number of partners - aged 15-24 - women - high risk  (FSW)</t>
  </si>
  <si>
    <t>Wide range for client volume  with 100-1000 py estimated in P.V. review. More studies for FSW than for clients, and therefore the FSW partner numbers were used to determine the client partner numbers. We apply the same amount of clients per year for 25-49 yos FSW. Most women enter sex work at age 21+ (SAHMS), and the client number is halved for 15-24 yos (more accurate could be 1/3 times pcr)</t>
  </si>
  <si>
    <t xml:space="preserve">SAHMS-FSW (2014). South African Health Monitoring Survey (SAHMS): An Integrated Biological and Behavioural Survey among Female Sex Workers, SOuth Africa 2013-2014. </t>
  </si>
  <si>
    <t>pcr3_f3</t>
  </si>
  <si>
    <t>Number of partners - age 25-34 - women - high risk  (FSW)</t>
  </si>
  <si>
    <t xml:space="preserve">As per P.V. estimate. </t>
  </si>
  <si>
    <t>pcr3_f4</t>
  </si>
  <si>
    <t>Number of partners - age 35-49 - women - high risk  (FSW)</t>
  </si>
  <si>
    <t>As per P.V. estimate</t>
  </si>
  <si>
    <t>pcr3_f5</t>
  </si>
  <si>
    <t>Number of partners - age 50-74 - women - high risk  (FSW)</t>
  </si>
  <si>
    <t>Assume FSW who are 50+ have substantially fewer clients</t>
  </si>
  <si>
    <t>pcr3_m2</t>
  </si>
  <si>
    <t>Number of partners - age2 - men - high risk (clients)</t>
  </si>
  <si>
    <t>In P.Vickerman's study found large variation and fairly small partner numbers reported (from 2 py to up to 4 per 3 months) . Used FSW data to determine the client partner change rate.</t>
  </si>
  <si>
    <t>Number of partners - age3 - men - high risk (clients)</t>
  </si>
  <si>
    <t>Client numbers decided based onFSW numbers</t>
  </si>
  <si>
    <t>Number of partners - age4 - men - high risk (clients)</t>
  </si>
  <si>
    <t>Number of partners - age5 - men - high risk (clients)</t>
  </si>
  <si>
    <t>nacts-risk1</t>
  </si>
  <si>
    <t>Acts in a partnership - all ages - low risk</t>
  </si>
  <si>
    <t>Frequency of sex in last 30 days among those with regular partners was (4.6-5.9) for male and (3.7-4.6) for female in the 2005 HSRC survey (Shisana, Rehle et al. 2005). In the Ekurhuleni study (Quaife, Eakle et al. 2016), males and females reported 3.8-5.7 and 3.5-5.1 sex acts in the previous month, respectively. Average across is 3.9-5.4  per month. The number of acts are are divided by the age specific partner change rates for LR for ages &gt;15+ assuming that the more partners, the fewer acts per partner, for 9-14 the  acts are divided by 2 based on 13-14 yos sexually active girls  report relatively few acts relative to number of partners (Pettifor/HPTN068)</t>
  </si>
  <si>
    <t>Shisana, O., T. M. Rehle, L. C. Simbayi, W. Parker, K. Zuma, A. Bhana, C. Connolly, J. S., V. Pillay and et al (2005). South African NAtional HIV Prevalence, HIV Incidence, Behaviour and Communication Survey, 2005. Cape Town. // Quaife, M., R. Eakle, M. Cabrera, P. Vickerman, M. Tsepe, F. Cianci, S. Delany-Moretlwe and F. Terris-Prestholt (2016). "Preferences for ARV-based HIV prevention methods among men and women, adolescent girls and female sex workers in Gauteng Province, South Africa: a protocol for a discrete choice experiment." BMJ Open 6(6): e010682.</t>
  </si>
  <si>
    <t>nacts-risk2</t>
  </si>
  <si>
    <t>Acts in a partnership - all ages - high risk</t>
  </si>
  <si>
    <t>Assume the same prior for acts for HR partnerships.  The number of acts are are divided by the age specific partner change rates for HR for ages &gt;15+, for 9-14 /2</t>
  </si>
  <si>
    <t>nacts-risk3</t>
  </si>
  <si>
    <t>Acts in a partnership - all ages - FSW/client non-commercial partners</t>
  </si>
  <si>
    <r>
      <rPr>
        <sz val="12"/>
        <color theme="1"/>
        <rFont val="Calibri"/>
        <family val="2"/>
        <scheme val="minor"/>
      </rPr>
      <t>Assume the same prior for acts for HR partnerships</t>
    </r>
    <r>
      <rPr>
        <sz val="12"/>
        <color theme="1"/>
        <rFont val="Calibri"/>
        <family val="2"/>
        <scheme val="minor"/>
      </rPr>
      <t>.  The number of acts are are divided by the age specific partner change rates for FSW/client non-com for ages &gt;15+, for 9-14 /2</t>
    </r>
  </si>
  <si>
    <t>Auvert, B., Sobngwi-Tambekou, J., Cutler, E., Nieuwoudt, M., Lissouba, P., Puren, A., &amp; Taljaard, D. (2009). Effect of male circumcision on the prevalence of high-risk human papillomavirus in young men: results of a randomized controlled trial conducted in Orange Farm, South Africa. The Journal of infectious diseases, 199(1), 14-19.</t>
  </si>
  <si>
    <t>nacts-risk-com</t>
  </si>
  <si>
    <t>Acts in a partnership - all ages - high risk FSW / client</t>
  </si>
  <si>
    <t>In Stover and Vickerman,  assume only 1 act per FSW/client relationship</t>
  </si>
  <si>
    <t>prop-ai-nact-risk1</t>
  </si>
  <si>
    <t>proportion of sex acts that are AI for low-risk people</t>
  </si>
  <si>
    <t xml:space="preserve">In Owen 2017, pooled lifetime prevalence estimate for AI (any partner) among general-risk participants was 19.3% (2.2-36.3) while 12 months is 5.4% (4.9-5.9%; 2 studies only). Proportion of acts among those practicing AI was 0.6-16.5% in the general population. We estimate that of the acts among low risk people is the LL and UL estiamte of prevalence of AI (12 months) * proportion of acts that are AI. </t>
  </si>
  <si>
    <r>
      <t xml:space="preserve">Owen, B.N. et al., 2017. How common and frequent is heterosexual anal intercourse among South Africans? A systematic review and meta-analysis. </t>
    </r>
    <r>
      <rPr>
        <i/>
        <sz val="12"/>
        <color theme="1"/>
        <rFont val="Calibri"/>
        <family val="2"/>
        <scheme val="minor"/>
      </rPr>
      <t>Journal of the International AIDS Society</t>
    </r>
    <r>
      <rPr>
        <sz val="12"/>
        <color theme="1"/>
        <rFont val="Calibri"/>
        <family val="2"/>
        <scheme val="minor"/>
      </rPr>
      <t>, 20(1), p.21162.</t>
    </r>
  </si>
  <si>
    <t>prop-ai-nact-risk2</t>
  </si>
  <si>
    <t>proportion of sex acts that are AI for high-risk people (RR compared to LR)</t>
  </si>
  <si>
    <t>Among higher-risk participants 23.2% (0.0-47.4%)  reported ever having had AI The lifetime AI prevalenceii is 1-1.3 times higher than for the general population, and we applied this as an RR to LR estimate . ( Owen 2017)</t>
  </si>
  <si>
    <t>Owen, B.N. et al., 2017. How common and frequent is heterosexual anal intercourse among South Africans? A systematic review and meta-analysis. Journal of the International AIDS Society, 20(1), p.21162.</t>
  </si>
  <si>
    <t>prop-ai-nact-risk3</t>
  </si>
  <si>
    <t>proportion of sex acts that are AI for FSW, clients with their non-commercial partners</t>
  </si>
  <si>
    <t>Of non-paying partners of FSW,16.5% (11.4-21.6%)  report having had AI in the past month (Owen 2019). We assume the same proporton of acts as for HR people (0.6-29.2%) (Owen 2017)</t>
  </si>
  <si>
    <t>Owen, B.N. et al., 2019. What Proportion of Female Sex Workers Practise anal Intercourse and How Frequently? A Systematic Review and Meta-analysis. AIDS and Behavior. // Owen, B.N. et al., 2017. How common and frequent is heterosexual anal intercourse among South Africans? A systematic review and meta-analysis. Journal of the International AIDS Society, 20(1), p.21162.</t>
  </si>
  <si>
    <t>prop-ai-nact-risk-fsw</t>
  </si>
  <si>
    <t>proportion of sex acts that are AI for FSW-client commerical relationships</t>
  </si>
  <si>
    <t>Owen (2017) found no large differences between FSW and the general population in SA for AI prevalence. Owen (2019) found that among FSW in Africa 15.1% (8.8–21.4) report ever having had AI, and 20.4% (10.1-31.8%) in the past month.  The percentage of all intercourse acts that were AI  ranged from 2.4 to 15.9% in the six studies that reported it across the whole sample. Among those practicing AI 17% of acts were AI. Here, used the 2.4-15.9% over all acts as the most applicable measure.</t>
  </si>
  <si>
    <r>
      <t xml:space="preserve"> Owen, B.N. et al., 2019. What Proportion of Female Sex Workers Practise anal Intercourse and How Frequently? A Systematic Review and Meta-analysis. </t>
    </r>
    <r>
      <rPr>
        <i/>
        <sz val="12"/>
        <color theme="1"/>
        <rFont val="Calibri"/>
        <family val="2"/>
        <scheme val="minor"/>
      </rPr>
      <t>AIDS and Behavior</t>
    </r>
    <r>
      <rPr>
        <sz val="12"/>
        <color theme="1"/>
        <rFont val="Calibri"/>
        <family val="2"/>
        <scheme val="minor"/>
      </rPr>
      <t>.</t>
    </r>
  </si>
  <si>
    <t>conuse_yr</t>
  </si>
  <si>
    <t>Year condom use starts increasing</t>
  </si>
  <si>
    <t>Condom use promotion programs started in the 1990 (Thembisa model -- search for the original reference). First data point (DHS) from m1998</t>
  </si>
  <si>
    <t>conuse_yr2</t>
  </si>
  <si>
    <t>Year condom use stops increasing</t>
  </si>
  <si>
    <t>conusemain-min</t>
  </si>
  <si>
    <t>Probability of condom use pe act for non-comm. partners partners (same by sex and age and risk). Initial value prior to increase</t>
  </si>
  <si>
    <t>In 2000 condom use on average 15.1% (across all partner types). Condom use during AI was similar to that for VI. Among general-risk populations, the fraction of AI and VI acts that were unprotected was
27.0–53.6% and 26.9–57.0%, respectively (Owen 2017)	, and it was assume that the same condom use probability applied for VI and AI</t>
  </si>
  <si>
    <t xml:space="preserve">Owen, B.N. et al., 2017. How common and frequent is heterosexual anal intercourse among South Africans? A systematic review and meta-analysis. Journal of the International AIDS Society, 20(1), p.21162. </t>
  </si>
  <si>
    <t>conusemain-max</t>
  </si>
  <si>
    <t>Probability of condom use pe act for non-comm. partners (same by sex and age, and AI, VI)</t>
  </si>
  <si>
    <t xml:space="preserve"> See params #73-77 for age-specific assumptions. Reference group is 15-25 yos condom used at last sex : 51.9% (47.7-56.0%) for women and 66.6% (61.9-71.2%) for men. Stabilise after 2005</t>
  </si>
  <si>
    <t>SABBS 2005 data analysis</t>
  </si>
  <si>
    <t>conusecom-min</t>
  </si>
  <si>
    <t>Probability of condom use pe act for FSW-client interactions individuals (same by sex and age AI VI)</t>
  </si>
  <si>
    <t xml:space="preserve">condom use of FSW with main partners was very low in 2000 (5-15%) (RHRU 2000/01), with another survey having 66% of FSW reporting not using a condom with the last non-paying partner in 2001/02 (Peltzer, Seoka et al. 2004). </t>
  </si>
  <si>
    <t>Peltzer, K., P. Seoka and S. Raphala (2004). "Characteristics of female sex workers and their HIV/AIDS/STI knowledge, attitudes and behaviour in semi-urban areas in South Africa." Curationis 27(1): 4-11. // RHRU (2000). Reproductive Health Research Unit Behavioural Sentinel Survey data report - Antenatal Clinic - Free State; 2000. //
RHRU (2000). Reproductive Health Research Unit Behavioural Sentinel Survey data report - Clients of family planning - Gauteng. //
RHRU (2000). Reproductive Health Research Unit Behavioural Sentinel Survey data report - Male STD clinic attenders - Gauteng.</t>
  </si>
  <si>
    <t>conusecom-max</t>
  </si>
  <si>
    <t>Clients report 64.7% (38.3-85.8%) and FSW 38.5% ( 20.2-59.4%)  condom use with the last client in Shisana 2008. Condom use with main partners is low in this group, for FSW condom use of 26.3-44.1% for VI with long term partner (PEFSW 2015, Rao, Baral et al. 2016).  Condom use in FSW-client relationships is not assumed to vary by age</t>
  </si>
  <si>
    <t>Rao, A., S. Baral, N. Phaswana-Mafuya, A. Lambert, Z. Kose, M. McIngana, C. Holland, S. Ketende and S. Schwartz (2016). "Pregnancy Intentions and Safer Pregnancy Knowledge Among Female Sex Workers in Port Elizabeth, South Africa." Obstet Gynecol 128(1): 15-21. // PEFSW (2015). Female Sex Workers in Port Elizabeth.
Peltzer, K., T. A. Mashego and M. Mabeba (2003). "Attitudes and practices of doctors toward domestic violence victims in South Africa." Health Care Women Int 24(2): 149-157. //</t>
  </si>
  <si>
    <t>EMPTY</t>
  </si>
  <si>
    <t>Used in the logistic function, condom use to start increase from 1990</t>
  </si>
  <si>
    <t>conuse3FSW-RR-ai</t>
  </si>
  <si>
    <t>Probability of condom use per AI act for FSW-clients (same by sex and age)</t>
  </si>
  <si>
    <t>Pooled estimates of the prevalence of UAI among those reporting AI were higher than UVI among those reporting  VI  in  4/5  recall  periods   [e.g. general UAI = 46.0% (95%CI–61.3),  UVI = 31.6% (95%CI 18.7–44.5)  ],  although 95% CIs overlap. We use RR of 0.5-1 to capture the uncertainty and potential lower usage of condoms for AI</t>
  </si>
  <si>
    <t>Owen, B.N. et al., 2017. How common and frequent is heterosexual anal intercourse among South Africans? A systematic review and meta-analysis. Journal of the International AIDS Society, 20(1), p.21162. // Owen, B.N. et al., 2019. What Proportion of Female...</t>
  </si>
  <si>
    <t>mix-fm-1</t>
  </si>
  <si>
    <t>ages 9-14, females with same age partners</t>
  </si>
  <si>
    <t>Women can have partners with their own age group or age groups older (most partnerships with older groups had with the +1 age group, and a max 2% given to age groups 2+). Age mixing is defined based on proportion of age groups reporting partners 5 years older (see excel sheet 2005 Survey Mixing), we define the maximum possible proportion that could have partners from the next age group. For 9-14 yos, we use HPTN068 (13-14 yos data): Among sexually active 25.5% report a partner &gt;=5 yos of age and there are 3+ agr groups that can have up to 2% of the mixing.</t>
  </si>
  <si>
    <t>Shisana, O., Simbayi, L. &amp; Council, S.A.M.R., 2008. South African National HIV Prevalence, HIV Incidence, Behaviour and Communication Survey, 2005,</t>
  </si>
  <si>
    <t>mix-fm-2</t>
  </si>
  <si>
    <t>ages 15-24, females with same age partners</t>
  </si>
  <si>
    <t xml:space="preserve">max 24% report partners 5 yrs older, and there are 2 age groups with whom you </t>
  </si>
  <si>
    <t>mix-fm-3</t>
  </si>
  <si>
    <t>ages 25-34, females with same age partners</t>
  </si>
  <si>
    <t>37% report partners 5 yrs older</t>
  </si>
  <si>
    <t>mix-fm-4</t>
  </si>
  <si>
    <t>ages 35-49, females with same age partners</t>
  </si>
  <si>
    <t>36% report partners 5 yrs older</t>
  </si>
  <si>
    <t>mix-fm-5</t>
  </si>
  <si>
    <t>ages 50-74, females with same age partners</t>
  </si>
  <si>
    <t>mix-fm-extra</t>
  </si>
  <si>
    <t>mixing with age groups 2+ (2 groups older than yourself)</t>
  </si>
  <si>
    <t>The proportion of partnerships had with 2+ age groups, assumed to be the same across age groups to reduce the number of params. E.g. in HPTN068 25% of sexually active girls reported partners being &gt;=25 yos</t>
  </si>
  <si>
    <t>mix-mf-1</t>
  </si>
  <si>
    <t>ages 9-14, males with same age partners</t>
  </si>
  <si>
    <t>Men can have partners with their own age group or one age group younger.</t>
  </si>
  <si>
    <t>mix-mf-2</t>
  </si>
  <si>
    <t>ages 15-24, males with same age partners</t>
  </si>
  <si>
    <t>8% report partners 5 yrs younger</t>
  </si>
  <si>
    <t>mix-mf-3</t>
  </si>
  <si>
    <t>ages 25-34, males with same age partners</t>
  </si>
  <si>
    <t>32% report partners 5 yrs younger</t>
  </si>
  <si>
    <t>mix-mf-4</t>
  </si>
  <si>
    <t>ages 35-49, males with same age partners</t>
  </si>
  <si>
    <t>42% report partners 5 yrs younger</t>
  </si>
  <si>
    <t>mix-mf-5</t>
  </si>
  <si>
    <t>ages 50-74, males with same age partners</t>
  </si>
  <si>
    <t>49% report partners 5 yrs younger</t>
  </si>
  <si>
    <t>mix-mf-extra</t>
  </si>
  <si>
    <t>mixing with age groups 2- (2 groups younger than yourself)</t>
  </si>
  <si>
    <t>The proportion of partnerships had with 2- age groups, assumed to be the same across age groups to reduce the number of params.</t>
  </si>
  <si>
    <t>condom-use-age-1</t>
  </si>
  <si>
    <t>RR of condom use by age group, age 9-14 vs 15-24</t>
  </si>
  <si>
    <t>Based on HPTN068 there were approximately 66 VI acts in the past 3 months of which 39 were reported protect (56%).In absence of further data,  we allow for a lower or the same probability of condom used in &lt;15 population.</t>
  </si>
  <si>
    <t>condom-use-age-2</t>
  </si>
  <si>
    <t>RR of condom use by age group, age 15-24</t>
  </si>
  <si>
    <t>In THEMBISA model condom used is estimated to decrease by age (model and data estimate based on DHS data on condom used) -- average decline in condom use is OR 0.9 per +1 yr in age. In SABBS 2005, highest condom use (at last sex) is reported among 15-24 yos, with declining use there after. We apply RR based on the LL and UL of reported estimates to reflect the condom use trends by age. Relative decline is very similar between men and women. Among 15-25 condom used at last sex was : 51.9% (47.7-56.0%) for women and 66.6% (61.9-71.2%) for men</t>
  </si>
  <si>
    <t>condom-use-age-3</t>
  </si>
  <si>
    <t>RR of condom use by age group, age 25-34 vs 15-24</t>
  </si>
  <si>
    <t>SABBS 2005, condom use 34.1% (30.1-38.1%) for women, and 45.7% (37.3-54.1%) for men. In SABBS 2012 Women 38.8% (34.7-42.8), Men 45.5%(41.0-50.0). LL informed by 2005 UL 2012</t>
  </si>
  <si>
    <t>condom-use-age-4</t>
  </si>
  <si>
    <t>RR of condom use by age group, age 35-49 vs 15-24</t>
  </si>
  <si>
    <t>SABBS 2005, condom use 20.2% (17.4-23.0%) for women 23.0% (18.9-27.1%) for men. SABBS 2012, Women 26.7% (23.9-29.6), Men 28.4% (24.3-32.6). LL informed by 2005 UL 2012</t>
  </si>
  <si>
    <t>condom-use-age-5</t>
  </si>
  <si>
    <t>RR of condom use by age group, age 50-74 vs 15-24</t>
  </si>
  <si>
    <t>SABBS 2005, condom use 2.6%  (1.45-3.75%) for women 7.27% (4.99-9.55%) for men. In SABBS 2012, Women 9.56% (6.97-12.2), Men 15.1% (11.6-18.6). LL informed by 2005 UL 2012</t>
  </si>
  <si>
    <t>mix-risk</t>
  </si>
  <si>
    <t>mixing by risk</t>
  </si>
  <si>
    <t>Mixing from assortative to proportionate for non-commercial partnerships</t>
  </si>
  <si>
    <t>betahiv-vi-mf</t>
  </si>
  <si>
    <t xml:space="preserve">Baseline HIV transmission probability (VI) </t>
  </si>
  <si>
    <t>Meta-analysis of 6 studies in HIV asymptomatic stage, not stratified by sex. The asymptomatic stage is selected as the baseline as the rest are RR to this.</t>
  </si>
  <si>
    <r>
      <t xml:space="preserve">Boily, M. C., Baggaley, R. F., Wang, L., Masse, B., White, R. G., Hayes, R. J. and Alary, M. (2009) ‘Heterosexual risk of HIV-1 infection per sexual act: systematic review and meta-analysis of observational studies’, </t>
    </r>
    <r>
      <rPr>
        <i/>
        <sz val="11"/>
        <color theme="1"/>
        <rFont val="Arial"/>
        <family val="2"/>
      </rPr>
      <t>Lancet Infect Dis</t>
    </r>
    <r>
      <rPr>
        <sz val="11"/>
        <color theme="1"/>
        <rFont val="Arial"/>
        <family val="2"/>
      </rPr>
      <t>. 2009/01/31, 9(2), pp. 118–129.</t>
    </r>
  </si>
  <si>
    <t>betahiv-vi-fm</t>
  </si>
  <si>
    <t>Baseline HIV transmission probability (VI) FtoM (RR)</t>
  </si>
  <si>
    <t>betahiv-ai-ins</t>
  </si>
  <si>
    <t>Baseline HIV transmission probability (AI) FtoM (insertive)</t>
  </si>
  <si>
    <t>Meta-analysis of 3 studies, used 95% CI, mixture of pre-ART and early-ART; all MSM</t>
  </si>
  <si>
    <t>Baggaley, R.F. et al., 2018. Does per-act HIV-1 transmission risk through anal sex vary by gender? An updated systematic review and meta-analysis. American Journal of Reproductive Immunology, 80(5), p.e13039.</t>
  </si>
  <si>
    <t>betahiv-ai-rec</t>
  </si>
  <si>
    <t>Baseline HIV transmission probability (AI) MtoF (receptive)</t>
  </si>
  <si>
    <t>Meta-analysis of 4 studies, , used 95% CI, mixture of pre-ART and early-ART; 3 MSM, 1 Hetero -- with hetero sample having potential IDU acquisition contamination. Estimate 95% 0.0055-0.0223, which is 10-22 times that of baseline VI probability</t>
  </si>
  <si>
    <t>acutetrnsm</t>
  </si>
  <si>
    <t>RR  infectivity in acute state vs baseline</t>
  </si>
  <si>
    <t>RR= 9.17 (95% CI  4.47-18.81)</t>
  </si>
  <si>
    <t>arttransm</t>
  </si>
  <si>
    <t>Efficacy of ART among those on ART</t>
  </si>
  <si>
    <t xml:space="preserve"> Being on ART reduced transmission by 92% among serodiscordant couples (mixed sample of CD4 and viral load status) (Donnell 2010; Attia 2009). We set this as the LL. For UL, we take the weighted average of virally supressed and those not virally supressed. Among virally surpressed assumed efficacy is 99.9%. In SA, 87.5% of those on ART are virally suppressed (Among women 89.9% and among men 82.1%. Viral supression highest among older adults. This is where further parameter stratification could be done if calibration seems tricky.)</t>
  </si>
  <si>
    <t>SABSS 2018 // Donnell, D. et al., 2010. Heterosexual HIV-1 transmission after initiation of antiretroviral therapy: a prospective cohort analysis. The Lancet, 375(9731), pp.2092–2098. // Attia, S. et al., 2009. Sexual transmission of HIV according to viral load and antiretroviral therapy: systematic review and meta-analysis. AIDS, 23(11), pp.1397–1404.</t>
  </si>
  <si>
    <t>hpvcof</t>
  </si>
  <si>
    <t>RR susceptibiltiy if HPV (any)</t>
  </si>
  <si>
    <t>Applied to betahiv; used wider range than in the MA; calibrate to IRR from the SR studies</t>
  </si>
  <si>
    <t>Looker &amp; Rönn 2018</t>
  </si>
  <si>
    <t>mcirc-prot</t>
  </si>
  <si>
    <t>Reduced susceptibility if circumcised</t>
  </si>
  <si>
    <t>"Strong evidence that medical male circumcision reduces the acquisition of HIV by heterosexual men by between 38% and 66% over 24 months" based on Cochrane review.</t>
  </si>
  <si>
    <r>
      <t xml:space="preserve">Siegfried, N., M. Muller, J. J. Deeks and J. Volmink (2009). "Male circumcision for prevention of heterosexual acquisition of HIV in men." </t>
    </r>
    <r>
      <rPr>
        <u/>
        <sz val="11"/>
        <color theme="1"/>
        <rFont val="Calibri"/>
        <family val="2"/>
        <scheme val="minor"/>
      </rPr>
      <t>Cochrane Database Syst Rev</t>
    </r>
    <r>
      <rPr>
        <sz val="11"/>
        <color theme="1"/>
        <rFont val="Calibri"/>
        <family val="2"/>
        <scheme val="minor"/>
      </rPr>
      <t>(2): CD003362.</t>
    </r>
  </si>
  <si>
    <t>coneff-hiv</t>
  </si>
  <si>
    <t>Efficacy of condoms for HIV</t>
  </si>
  <si>
    <t xml:space="preserve">Effectiveness is approximately 80.2% but could be as low as 35.4% and as high as 94.2% (worst and best case scenarios). </t>
  </si>
  <si>
    <r>
      <t xml:space="preserve">Weller, S. and K. Davis (2001). "Condom effectiveness in reducing heterosexual HIV transmission." </t>
    </r>
    <r>
      <rPr>
        <u/>
        <sz val="11"/>
        <color theme="1"/>
        <rFont val="Calibri"/>
        <family val="2"/>
        <scheme val="minor"/>
      </rPr>
      <t>Cochrane Database Syst Rev</t>
    </r>
    <r>
      <rPr>
        <sz val="11"/>
        <color theme="1"/>
        <rFont val="Calibri"/>
        <family val="2"/>
        <scheme val="minor"/>
      </rPr>
      <t>(3): CD003255.</t>
    </r>
  </si>
  <si>
    <t>eta</t>
  </si>
  <si>
    <t>Rate (py) from acute phase</t>
  </si>
  <si>
    <t>0.24 (95% CI 0.10-0.50) years. Estimated based on serodiscordant couples study in Rakai, Uganda.</t>
  </si>
  <si>
    <r>
      <t xml:space="preserve">Hollingsworth, T. D., R. M. Anderson and C. Fraser (2008). "HIV-1 transmission, by stage of infection." </t>
    </r>
    <r>
      <rPr>
        <u/>
        <sz val="11"/>
        <color theme="1"/>
        <rFont val="Calibri"/>
        <family val="2"/>
        <scheme val="minor"/>
      </rPr>
      <t>J Infect Dis</t>
    </r>
    <r>
      <rPr>
        <sz val="11"/>
        <color theme="1"/>
        <rFont val="Calibri"/>
        <family val="2"/>
        <scheme val="minor"/>
      </rPr>
      <t xml:space="preserve"> </t>
    </r>
    <r>
      <rPr>
        <b/>
        <sz val="11"/>
        <color theme="1"/>
        <rFont val="Calibri"/>
        <family val="2"/>
        <scheme val="minor"/>
      </rPr>
      <t>198</t>
    </r>
    <r>
      <rPr>
        <sz val="11"/>
        <color theme="1"/>
        <rFont val="Calibri"/>
        <family val="2"/>
        <scheme val="minor"/>
      </rPr>
      <t>(5): 687-693.</t>
    </r>
  </si>
  <si>
    <t>tau-year2</t>
  </si>
  <si>
    <t>year ART use starts to accelerate</t>
  </si>
  <si>
    <t>No ART before 2004</t>
  </si>
  <si>
    <t>tau-year1</t>
  </si>
  <si>
    <t>Year ART use accelaration ends</t>
  </si>
  <si>
    <t>Rate increase to stop after 2020</t>
  </si>
  <si>
    <t>tau-max</t>
  </si>
  <si>
    <t xml:space="preserve">Rate of initiation of ART </t>
  </si>
  <si>
    <t xml:space="preserve">Linear increase in ART initiation based on two points tau-med, and tau-max. Assume initiation rate becomes stable after 2025. Should be around 80-90% coverage after 2020 </t>
  </si>
  <si>
    <t>Calibrate to data</t>
  </si>
  <si>
    <t>Houben, R. M., Menzies, N. A., Sumner, T., Huynh, G. H., Arinaminpathy, N., Goldhaber-Fiebert, J. D., ... &amp; Suen, S. C. (2016). Feasibility of achieving the 2025 WHO global tuberculosis targets in South Africa, China, and India: a combined analysis of 11 mathematical models. The Lancet Global Health, 4(11), e806-e815.</t>
  </si>
  <si>
    <t>omikron-f</t>
  </si>
  <si>
    <t>Rate of stopping ART in the general population women</t>
  </si>
  <si>
    <t>In Rosen, ART initiation within 3 months of study start, at 10 months LTFU was 7.9% (15/190); LTFU per year is 11.6% assuming people started on average 1.5 months after study start; 95% CI 5.8-17.6%. Similar range found in a cohort study (Mberi 2015) following general population: 10.9 per 100 person-years (95%CI: 9.2-12.8).</t>
  </si>
  <si>
    <r>
      <t xml:space="preserve">Rosen, S., M. Maskew, M. P. Fox, C. Nyoni, C. Mongwenyana, G. Malete, I. Sanne, D. Bokaba, C. Sauls, J. Rohr and L. Long (2016). "Initiating Antiretroviral Therapy for HIV at a Patient's First Clinic Visit: The RapIT Randomized Controlled Trial." </t>
    </r>
    <r>
      <rPr>
        <u/>
        <sz val="11"/>
        <color theme="1"/>
        <rFont val="Calibri"/>
        <family val="2"/>
        <scheme val="minor"/>
      </rPr>
      <t>PLoS Med</t>
    </r>
    <r>
      <rPr>
        <sz val="11"/>
        <color theme="1"/>
        <rFont val="Calibri"/>
        <family val="2"/>
        <scheme val="minor"/>
      </rPr>
      <t xml:space="preserve"> </t>
    </r>
    <r>
      <rPr>
        <b/>
        <sz val="11"/>
        <color theme="1"/>
        <rFont val="Calibri"/>
        <family val="2"/>
        <scheme val="minor"/>
      </rPr>
      <t>13</t>
    </r>
    <r>
      <rPr>
        <sz val="11"/>
        <color theme="1"/>
        <rFont val="Calibri"/>
        <family val="2"/>
        <scheme val="minor"/>
      </rPr>
      <t>(5): e1002015. /// ﻿Mberi, M.N. et al., 2015. Determinants of loss to follow-up in patients on antiretroviral treatment, South Africa, 2004–2012: a cohort study. BMC Health Services Research, 15(1), p.259.</t>
    </r>
  </si>
  <si>
    <t>omikron-m</t>
  </si>
  <si>
    <t>Rate of stopping ART in the general population men RR</t>
  </si>
  <si>
    <t>Lower coverage in men, RR  used to increase rate of stopping in men. See params # 34-38 for age-specific trends</t>
  </si>
  <si>
    <t>omikorn-fsw</t>
  </si>
  <si>
    <t>Rate of stopping ART among FSW</t>
  </si>
  <si>
    <t xml:space="preserve">Among women offered early ART, 30.2% (22.7-38.6%) were LTFU in the first 12 months .This does not account for women who should be on ART based on guidelines, and may be an overestimate of LTFU in the total FSW population. Rate per year calculated from the 95% CI of 12 month proportion, and the range minimum is divided by 2 to allow for more uncertainty in the LTFU in FSW. </t>
  </si>
  <si>
    <r>
      <t xml:space="preserve">Eakle, R., G. B. Gomez, N. Naicker, R. Bothma, J. Mbogua, M. A. Cabrera Escobar, E. Saayman, M. Moorhouse, W. D. F. Venter, H. Rees and T. D. P. Team (2017). "HIV pre-exposure prophylaxis and early antiretroviral treatment among female sex workers in South Africa: Results from a prospective observational demonstration project." </t>
    </r>
    <r>
      <rPr>
        <u/>
        <sz val="11"/>
        <color theme="1"/>
        <rFont val="Calibri"/>
        <family val="2"/>
        <scheme val="minor"/>
      </rPr>
      <t>PLoS Med</t>
    </r>
    <r>
      <rPr>
        <sz val="11"/>
        <color theme="1"/>
        <rFont val="Calibri"/>
        <family val="2"/>
        <scheme val="minor"/>
      </rPr>
      <t xml:space="preserve"> </t>
    </r>
    <r>
      <rPr>
        <b/>
        <sz val="11"/>
        <color theme="1"/>
        <rFont val="Calibri"/>
        <family val="2"/>
        <scheme val="minor"/>
      </rPr>
      <t>14</t>
    </r>
    <r>
      <rPr>
        <sz val="11"/>
        <color theme="1"/>
        <rFont val="Calibri"/>
        <family val="2"/>
        <scheme val="minor"/>
      </rPr>
      <t>(11): e1002444.</t>
    </r>
  </si>
  <si>
    <t>nu</t>
  </si>
  <si>
    <t>HIV related deaths not on ART</t>
  </si>
  <si>
    <t>Morghan 2002 estimated 9.8 years survival from seroconversion. Add references from Ailsa's review</t>
  </si>
  <si>
    <r>
      <t xml:space="preserve">Morgan, D., C. Mahe, B. Mayanja, J. M. Okongo, R. Lubega and J. A. Whitworth (2002). HIV-1 infection in rural Africa: is there a difference in median time to AIDS and survival compared with that in industrialized countries? </t>
    </r>
    <r>
      <rPr>
        <u/>
        <sz val="11"/>
        <color theme="1"/>
        <rFont val="Calibri"/>
        <family val="2"/>
        <scheme val="minor"/>
      </rPr>
      <t>AIDS</t>
    </r>
    <r>
      <rPr>
        <sz val="11"/>
        <color theme="1"/>
        <rFont val="Calibri"/>
        <family val="2"/>
        <scheme val="minor"/>
      </rPr>
      <t xml:space="preserve"> </t>
    </r>
    <r>
      <rPr>
        <b/>
        <sz val="11"/>
        <color theme="1"/>
        <rFont val="Calibri"/>
        <family val="2"/>
        <scheme val="minor"/>
      </rPr>
      <t>16</t>
    </r>
    <r>
      <rPr>
        <sz val="11"/>
        <color theme="1"/>
        <rFont val="Calibri"/>
        <family val="2"/>
        <scheme val="minor"/>
      </rPr>
      <t>(4): 597-603.</t>
    </r>
  </si>
  <si>
    <t>nu-art</t>
  </si>
  <si>
    <t>HIV related deaths if on ART (RR to HIV deaths not on ART)</t>
  </si>
  <si>
    <r>
      <t xml:space="preserve">HIV-CAUSAL Collaboration et al., 2010. The effect of combined antiretroviral therapy on the overall mortality of HIV-infected individuals. </t>
    </r>
    <r>
      <rPr>
        <i/>
        <sz val="12"/>
        <color theme="1"/>
        <rFont val="Calibri"/>
        <family val="2"/>
        <scheme val="minor"/>
      </rPr>
      <t>AIDS</t>
    </r>
    <r>
      <rPr>
        <sz val="12"/>
        <color theme="1"/>
        <rFont val="Calibri"/>
        <family val="2"/>
        <scheme val="minor"/>
      </rPr>
      <t>, 24(1), pp.123–137. // ﻿Maheu-Giroux, M. et al., 2017. Changing Dynamics of HIV Transmission in Côte dʼIvoire. JAIDS Journal of Acquired Immune Deficiency Syndromes, 75(5), pp.517–527. // ﻿Johnson, L.F. et al., 2013. Life Expectancies of South African Adults Starting Antiretroviral Treatment: Collaborative Analysis of Cohort Studies D. D. Celentano, ed. PLoS Medicine, 10(4), p.e1001418.</t>
    </r>
  </si>
  <si>
    <t>mcirc-year</t>
  </si>
  <si>
    <t>when growth in mcirc starts</t>
  </si>
  <si>
    <t>mcirc-year2</t>
  </si>
  <si>
    <t>when growth in mcirc stops</t>
  </si>
  <si>
    <t xml:space="preserve">Assume remains stable after 2017 at levels 55-70%. </t>
  </si>
  <si>
    <t>mcirc-min</t>
  </si>
  <si>
    <t>Proportion of men with VMC (at min; timevarying)</t>
  </si>
  <si>
    <t xml:space="preserve">Male circumcision was 38.0% (32.4-42.0%) in 2002 (Shisana, Simbayi et al. 2002). This is taken as the baseline level of circumcision (larger trials were done in late 2000s and here we assume these would not have impacted men's circumcision status prior to 2002). In 2007 WHO recommended VMMC as a key component of HIV prevention. In 2010 in SA, VMMC program was initiated. We assume VMMC scale up starts in 2007 in SA. </t>
  </si>
  <si>
    <t>Shisana, O., L. Simbayi and E. Dorkenoo (2002). South African National HIV Prevalence, Behavioural Risks and Mass Media, Household Survey 2002. ﻿Centers for Disease Control and Prevention, 2015 STD Treatment Guidelines. Available at: https://www.cdc.gov/std/tg2015/default.htm [Accessed May 26, 2019]. // ﻿Wilcken, A., Keil, T. &amp; Dick, B., 2010. Traditional male circumcision in eastern and southern Africa: a systematic review of prevalence and complications. Bulletin of the World Health Organization, 88(12), pp.907–914.</t>
  </si>
  <si>
    <t>mcirc-max</t>
  </si>
  <si>
    <t>Proportion of men with VMC (at max; timevarying)</t>
  </si>
  <si>
    <r>
      <rPr>
        <sz val="12"/>
        <color theme="1"/>
        <rFont val="Calibri (Body)_x0000_"/>
      </rPr>
      <t>Assume</t>
    </r>
    <r>
      <rPr>
        <sz val="12"/>
        <color theme="1"/>
        <rFont val="Calibri"/>
        <family val="2"/>
        <scheme val="minor"/>
      </rPr>
      <t xml:space="preserve"> remains stable after 2017 at 70%.</t>
    </r>
    <r>
      <rPr>
        <sz val="12"/>
        <color rgb="FFFF0000"/>
        <rFont val="Calibri (Body)"/>
      </rPr>
      <t xml:space="preserve"> </t>
    </r>
  </si>
  <si>
    <t>Shisana, O. et al. 2017 South African National HIV Prevalence, Incidence, and Behavior Survey: Early Data Resease. Available at: http://www.hsrc.ac.za/uploads/pageContent/9234/FINAL%20Presentation%20for%2017%20July%20launch.pdf. Accessed 8/10/18.</t>
  </si>
  <si>
    <t>hiv-seed</t>
  </si>
  <si>
    <t>Amount of HIV seeded in the population</t>
  </si>
  <si>
    <t>x2 (women and men get the same amount)</t>
  </si>
  <si>
    <t>hiv-perinatal0</t>
  </si>
  <si>
    <t>Perinatally infected children 9 years old, from epidemic start to 1997.5</t>
  </si>
  <si>
    <t>No perinatally infected children 9-14 years of age prior to 1997.5</t>
  </si>
  <si>
    <t>Ferrand, R.A. et al., 2012. Europe PMC Funders Group Europe PMC Funders Author Manuscripts AIDS among older children and adolescents in Southern Africa : projecting the time course and magnitude of the epidemic. , 23(15), pp.2039–2046.</t>
  </si>
  <si>
    <t>hiv-perinatal1</t>
  </si>
  <si>
    <t>Perinatally infected children 9 years old  1997.5-2004</t>
  </si>
  <si>
    <r>
      <t xml:space="preserve">HIV prevalence among 10 year olds was less than 0.2% in 2000 due to low survival. </t>
    </r>
    <r>
      <rPr>
        <sz val="12"/>
        <color theme="1"/>
        <rFont val="Calibri (Body)"/>
      </rPr>
      <t>Children enter the model in non-ART non-acute HIV state until 2004, after 2004, the perinatally infected children enter the model in ART state.</t>
    </r>
  </si>
  <si>
    <t>hiv-perinatal2</t>
  </si>
  <si>
    <t>Perinatally infected children 9 years old 2004-2013</t>
  </si>
  <si>
    <t xml:space="preserve">HIV prevalence among 10 year olds was estimated as approximately 2.1% in 2008 in absence of PMTCT (Ferrand 2012).  Johnson (2016) estimates a stable and high MtoCT rate until 2002-2005 after which it starts declining (a child born in 2003 would be 9 2012). We assume that up to 2013 children entering the model at 9 years would have 1.5-2.1% probability of being HIV infected </t>
  </si>
  <si>
    <t>Ferrand, R.A. et al., 2012. Europe PMC Funders Group Europe PMC Funders Author Manuscripts AIDS among older children and adolescents in Southern Africa : projecting the time course and magnitude of the epidemic. , 23(15), pp.2039–2046. // ﻿Johnson, L.F. et al., 2016. Prospects for HIV control in South Africa: a model-based analysis. Global Health Action, 9(1), p.30314.</t>
  </si>
  <si>
    <t>hiv-perinatal3</t>
  </si>
  <si>
    <t>Perinatally infected children 9 years old 2013-2020 - RR to 2004-2013</t>
  </si>
  <si>
    <t>hiv-perinatal4</t>
  </si>
  <si>
    <t>Perinatally infected children 9 years old 2020 onwards - RR to 2013-2020 estimate</t>
  </si>
  <si>
    <t xml:space="preserve"> ﻿Johnson, L.F. et al., 2016. Prospects for HIV control in South Africa: a model-based analysis. Global Health Action, 9(1), p.30314.</t>
  </si>
  <si>
    <t>hiv-perinatal0-year</t>
  </si>
  <si>
    <t>Time point 1 for perinatally infected 9 years old</t>
  </si>
  <si>
    <t>hiv-perinatal1-year</t>
  </si>
  <si>
    <t>Time point 2 for perinatally infected 9 years old</t>
  </si>
  <si>
    <t>hiv-perinatal2-year</t>
  </si>
  <si>
    <t>Time point 3 for perinatally infected 9 years old</t>
  </si>
  <si>
    <t>hiv-perinatal3-year</t>
  </si>
  <si>
    <t>Time point 4 for perinatally infected 9 years old</t>
  </si>
  <si>
    <t>omikron-age-1</t>
  </si>
  <si>
    <t>LTFU on ART if 9-14 - RR to LTFU rate</t>
  </si>
  <si>
    <t>ART coverage lower in younger age groups. Model this by adding increased LTFU for younger people in comparison to older. Not applied to fsw (same across age in absence of data)</t>
  </si>
  <si>
    <t>omikron-age-2</t>
  </si>
  <si>
    <t>LTFU on ART if 15-24 - RR to LTFU rate</t>
  </si>
  <si>
    <t>omikron-age-3</t>
  </si>
  <si>
    <t>LTFU on ART if 25-34 - RR to LTFU rate</t>
  </si>
  <si>
    <t>omikron-age-4</t>
  </si>
  <si>
    <t>LTFU on ART if 35-49 - RR to LTFU rate</t>
  </si>
  <si>
    <t>omikron-age-5</t>
  </si>
  <si>
    <t>LTFU on ART if 50-74 - RR to LTFU rate</t>
  </si>
  <si>
    <t>former 50-74 yos groups split into two: 50-59 and 60-74.</t>
  </si>
  <si>
    <r>
      <t xml:space="preserve">HIV prevalence among 10 year olds is estimated at approximately 3.3% in 2020 in absence of PMTCT. PMTCT coverage was 57% in 2007 (reducing MTCT probability to 2% from 35%). Ferrand (2012) estimates HIV related moratlity will be halved in 5 year olds by 2005 and 16 year olds by 2020 in presence of PMTCT at coverage levels corresponding to SA. Johnson (2016) estimated the rate of MtoCT to be 9.1% in 2011-12 and 5.2% in 2019-20. </t>
    </r>
    <r>
      <rPr>
        <sz val="12"/>
        <color rgb="FFFF0000"/>
        <rFont val="Calibri (Body)"/>
      </rPr>
      <t xml:space="preserve"> We set the prevalence of HIV in 9 years olds as 1/1.5-1/3 times that in  2004-2013 for 2014-2020. </t>
    </r>
  </si>
  <si>
    <r>
      <t xml:space="preserve">South Africa is aiming for universal PMTCT coverage. Johnson (2016) estimated the rate of MtoCT to be 5.2% in 2019-20, and remain relatively stable after in presence of declining background HIV incidence in  the population. We allow for low level of perinatal HIV in the model with the assumption that MtoCT would not be fully eliminated. For simplicity, we assume a stable level of HIV-prevalence in 9 years olds after 2020 (between 0.1-0.9% of 9yos perinatally infected with HIV) </t>
    </r>
    <r>
      <rPr>
        <sz val="12"/>
        <color rgb="FFFF0000"/>
        <rFont val="Calibri (Body)"/>
      </rPr>
      <t>implemented as 1/1.5-1/3 times that in  2014-2020.</t>
    </r>
  </si>
  <si>
    <t>Pshort</t>
  </si>
  <si>
    <t>p-lr-m</t>
  </si>
  <si>
    <t>p-hr-m</t>
  </si>
  <si>
    <t>p-cli-m</t>
  </si>
  <si>
    <t>p-lr-f</t>
  </si>
  <si>
    <t>p-hr-f</t>
  </si>
  <si>
    <t>p-fsw-f</t>
  </si>
  <si>
    <t>pcr1-fsw-nc</t>
  </si>
  <si>
    <t>pcr1-fsw-comm</t>
  </si>
  <si>
    <t>pcr1-lr-f</t>
  </si>
  <si>
    <t>pcr1-hr-f</t>
  </si>
  <si>
    <t>pcr1-hr-m</t>
  </si>
  <si>
    <t>pcr1-cli-nc</t>
  </si>
  <si>
    <t>ValueFixed2</t>
  </si>
  <si>
    <t>ValueMin2</t>
  </si>
  <si>
    <t>ValueMax2</t>
  </si>
  <si>
    <t>In HIV_CAUSAL, the mortality hazard ratio was 0.48 (95%CI: 0.41, 0.57) for cART initiation versus no initiation. In Mahou 2017 1/RR of 2-3 was used as a prior. Given improved survival, lower LL was chosen.</t>
  </si>
  <si>
    <t>betahpv1</t>
  </si>
  <si>
    <t>Per person HPV transmission probability (16/18)</t>
  </si>
  <si>
    <t>Median 0.5 (IQR 0.3-0.8) in the original scale</t>
  </si>
  <si>
    <t>In Van der Valde varied from 0.05-1 (no citations) - HPV 16/18 was assgned the highest prob and others were relatively lower in (scaler)</t>
  </si>
  <si>
    <t>betahpv2</t>
  </si>
  <si>
    <t>Per person HPV transmission probability (31/33/45/52/58) - RR to 16/18</t>
  </si>
  <si>
    <t>RR to 16/18</t>
  </si>
  <si>
    <t>betahpv3</t>
  </si>
  <si>
    <t>Per person HPV transmission probability (nvtHPV) - RR to 16/18</t>
  </si>
  <si>
    <t xml:space="preserve">RR susceptibiltiy if HIV (any HPV) </t>
  </si>
  <si>
    <t xml:space="preserve">Any 1.60 (95%CI 1.33, 1.93)
HR   2.36 (95%CI 2.11, 2.64)  </t>
  </si>
  <si>
    <t>hpvclr</t>
  </si>
  <si>
    <t>RR - Reduced clearance of HPV in PLHIV (any HPV)</t>
  </si>
  <si>
    <t>Any 0.53 (95%CI 0.42, 0.67)
HR   0.63 (95%CI 0.55, 0.74)</t>
  </si>
  <si>
    <t>Looker &amp; Rönn 2019</t>
  </si>
  <si>
    <t>art_coff</t>
  </si>
  <si>
    <t>ART efficacy in reducing the HPV cofactor effects, applied on top of hpvcof, hpvclr, deltahiv, omegahiv</t>
  </si>
  <si>
    <t xml:space="preserve">Impact of ART on HPV (susceptibility, clearance,  waning of immunity, progression and regression) -- assumed to operate in the same quantity when on ART to reduce the impact of HIV on HPV (susceptibility, clearance, waning of immunity) </t>
  </si>
  <si>
    <t>Add references. // NEED TO BE CAREFUL AS THIS IS APPLIED TO MULTIPLE PATHWAYS --&gt; HAS A HUGE IMPACT IF LARGE</t>
  </si>
  <si>
    <t>em</t>
  </si>
  <si>
    <t>Proportion who develop immunity</t>
  </si>
  <si>
    <t>Unknown, uninformative prior - in Van de Velde posterior estimates broad with median ~0.5 and IQR ~0.3-0.8 (for lifelong natural immunity)</t>
  </si>
  <si>
    <t>zeta</t>
  </si>
  <si>
    <t>People who are treated who clear their infection during regression from CIN2+/CIN3</t>
  </si>
  <si>
    <t>Ruanne estimated 0.7</t>
  </si>
  <si>
    <t>qu</t>
  </si>
  <si>
    <t>People who are regress from CIN2+ who clear their infection</t>
  </si>
  <si>
    <t>sigma1</t>
  </si>
  <si>
    <t>Clearance - 16/18</t>
  </si>
  <si>
    <t>Based on model posterior estimates estimated in Van de Velde -- This was earlier 0.667-2; chaned based on email convo with MC on July2</t>
  </si>
  <si>
    <t xml:space="preserve"> Van de Velde, N., Brisson, M. &amp; Boily, M.-C., 2007. Modeling Human Papillomavirus Vaccine Effectiveness: Quantifying the Impact of Parameter Uncertainty. American Journal of Epidemiology, 165(7), pp.762–775.</t>
  </si>
  <si>
    <t>sigma2</t>
  </si>
  <si>
    <t>Clearance - (31/33/45/52/58) - RR to 16/18</t>
  </si>
  <si>
    <t>RR  to 16/18 clreanace. Faster clearance or slower clearance, don’t know</t>
  </si>
  <si>
    <t>sigma3</t>
  </si>
  <si>
    <t>Clearance - nvtHPV - RR to 16/18</t>
  </si>
  <si>
    <t xml:space="preserve">RR  to 16/18 clreanace. </t>
  </si>
  <si>
    <t>delta1</t>
  </si>
  <si>
    <t>Waning natural immunity - 16/18</t>
  </si>
  <si>
    <t>1 year to lifetime immunity</t>
  </si>
  <si>
    <t>delta2</t>
  </si>
  <si>
    <t>Waning natural immunit - (31/33/45/52/58) - RR to 16/18</t>
  </si>
  <si>
    <t>delta3</t>
  </si>
  <si>
    <t>Waning natural immunit - nvtHPV - RR to 16/18</t>
  </si>
  <si>
    <t>deltahiv</t>
  </si>
  <si>
    <t>Waning immunity if HIV</t>
  </si>
  <si>
    <t>RR to others, so that immunity wanes faster; assumed the same RR applies to all HPV; assumed an upper limit of 3x as fast</t>
  </si>
  <si>
    <t>psi1</t>
  </si>
  <si>
    <t>Progression to CIN2/CIN3 (16/18)</t>
  </si>
  <si>
    <t>In Campos progression to CIN2+ between 0.003 and 0.02 per month for HPV 16 and HPV18 depending on time from infection. In HPV Advise from infected to CIN1 0.25-1.33,  CIN1 to CIN2 0.07-3.84, and from CIN2 to CIN3 0.43-4.27 per year for HPV 16. Here  from infected/CIN1 to CIN2+, we take half of upper bound of 0.07-3.84</t>
  </si>
  <si>
    <r>
      <t xml:space="preserve"> Van de Velde, N., Brisson, M. &amp; Boily, M.-C., 2007. Modeling Human Papillomavirus Vaccine Effectiveness: Quantifying the Impact of Parameter Uncertainty. American Journal of Epidemiology, 165(7), pp.762–775. // Campos, N.G. et al., 2014. An Updated Natural History Model of Cervical Cancer: Derivation of Model Parameters. </t>
    </r>
    <r>
      <rPr>
        <i/>
        <sz val="12"/>
        <color theme="1"/>
        <rFont val="Calibri"/>
        <family val="2"/>
        <scheme val="minor"/>
      </rPr>
      <t>American Journal of Epidemiology</t>
    </r>
    <r>
      <rPr>
        <sz val="12"/>
        <color theme="1"/>
        <rFont val="Calibri"/>
        <family val="2"/>
        <scheme val="minor"/>
      </rPr>
      <t>, 180(5), pp.545–555.</t>
    </r>
  </si>
  <si>
    <t>psi2</t>
  </si>
  <si>
    <t>Progression to CIN2/CIN3 (31/33/45/52/58) RR to 16/8</t>
  </si>
  <si>
    <t>RR to 16/18 progression so that progression tends to be slower. As in Campos , Van de Velde and others. In HPV Advise the relative rate is between 0.5-1.5 (cross-protective types) and 0.25-1 for oth HPV types</t>
  </si>
  <si>
    <t>psi3</t>
  </si>
  <si>
    <t>Progression to CIN2/CIN3 (nvtHPV) RR to 16/18</t>
  </si>
  <si>
    <t>omega1</t>
  </si>
  <si>
    <t>Regression from CIN2/CIN3 (16/18)</t>
  </si>
  <si>
    <t>In Campos regression of CIN3 is 0.00435 per month and for CIN2 0.0087 per month. We take the average of these two as the lower bbound. In HPV Advise,  regression from CIN1 is 0=3.62 and CIN2 to CIN1 0-2.48 per year for HPV 16. We take half of CIN2 to CIN1 upper bound as the upper limit.</t>
  </si>
  <si>
    <t>Campos, N.G. et al., 2014. An Updated Natural History Model of Cervical Cancer: Derivation of Model Parameters. American Journal of Epidemiology, 180(5), pp.545–555.</t>
  </si>
  <si>
    <t>omega2</t>
  </si>
  <si>
    <t>Regression from  CIN2/CIN3 (31/33/45/52/58) RR to 16/18</t>
  </si>
  <si>
    <t>In Campos regression is the same across HPV types. In HPV Advise, relative regression is 1-2 for other HPV HPV. Here allow for higher upper bound due to grouped type behaving differently to individual types</t>
  </si>
  <si>
    <t>omega3</t>
  </si>
  <si>
    <t>Regression from  CIN2/CIN3 (nvtHPV)  RR to 16/18</t>
  </si>
  <si>
    <t>omega-hiv</t>
  </si>
  <si>
    <t>Regression from CIN2/CIN3 if HIV, RR to HIV-</t>
  </si>
  <si>
    <t>Uncertain evdience, add numbers from interactions table</t>
  </si>
  <si>
    <t>omega_old</t>
  </si>
  <si>
    <t>See data for values (use 1/1.5)</t>
  </si>
  <si>
    <t>pi1</t>
  </si>
  <si>
    <t>Rate of CC development all types</t>
  </si>
  <si>
    <t>Same development probability assumed in Campos across HPV types (0.000012-0.00742 pm). In HPV Advise progression from CIN3 to CC1 0.03-0.07. For Older age groups CC transition closer to HPV Advise</t>
  </si>
  <si>
    <t>pi1_codd</t>
  </si>
  <si>
    <t>Transition towards CC may vary by age</t>
  </si>
  <si>
    <t>Rate of CC developmentin older individuals 50+ yos</t>
  </si>
  <si>
    <t>ups1</t>
  </si>
  <si>
    <t xml:space="preserve">Rate of CC death all types </t>
  </si>
  <si>
    <t>In Campos, invasive cancer mortalilty is between 0.0016-0.03 per month depending on CC stage and legnth of illenss. In HPV Advise, mortality rates vary between 0.018-0.354 depending on CC stage. These are the same rate estimates. We use the range as a prior.</t>
  </si>
  <si>
    <t>ups2</t>
  </si>
  <si>
    <t>Rate of CC death  35-49 (RR)</t>
  </si>
  <si>
    <t>ups3</t>
  </si>
  <si>
    <t>Rate of CC death 50+ (RR)</t>
  </si>
  <si>
    <t>sigma-men</t>
  </si>
  <si>
    <t>clesigman-men</t>
  </si>
  <si>
    <t>Used to assign vaccination among 9-14 yos girls</t>
  </si>
  <si>
    <t>Flexible, assigned during scenario run</t>
  </si>
  <si>
    <t>Vacc2</t>
  </si>
  <si>
    <t>Used to assign vaccination among15-24 yos women</t>
  </si>
  <si>
    <t>Vacc3</t>
  </si>
  <si>
    <t>Used to adding vaccination among 25-26 yos women</t>
  </si>
  <si>
    <t>Adjust for age band!</t>
  </si>
  <si>
    <t>Screen1p</t>
  </si>
  <si>
    <t>Used to adding screening in scenarios</t>
  </si>
  <si>
    <t>Screen2p</t>
  </si>
  <si>
    <t>Screen3p</t>
  </si>
  <si>
    <t>phi</t>
  </si>
  <si>
    <t>Vaccine efficacy</t>
  </si>
  <si>
    <t>Estimated at very high ~ 95% effectiveness -- for the WHO scenarios 100%</t>
  </si>
  <si>
    <r>
      <t xml:space="preserve">(Muñoz </t>
    </r>
    <r>
      <rPr>
        <i/>
        <sz val="11"/>
        <color theme="1"/>
        <rFont val="Arial"/>
        <family val="2"/>
      </rPr>
      <t>et al.</t>
    </r>
    <r>
      <rPr>
        <sz val="11"/>
        <color theme="1"/>
        <rFont val="Arial"/>
        <family val="2"/>
      </rPr>
      <t xml:space="preserve">, 2009; Deleré </t>
    </r>
    <r>
      <rPr>
        <i/>
        <sz val="11"/>
        <color theme="1"/>
        <rFont val="Arial"/>
        <family val="2"/>
      </rPr>
      <t>et al.</t>
    </r>
    <r>
      <rPr>
        <sz val="11"/>
        <color theme="1"/>
        <rFont val="Arial"/>
        <family val="2"/>
      </rPr>
      <t>, 2014)</t>
    </r>
  </si>
  <si>
    <t>phi-hiv</t>
  </si>
  <si>
    <t>Vaccine efficacy / same</t>
  </si>
  <si>
    <t>' Assume the same fror baseline analysis - can be varied later</t>
  </si>
  <si>
    <t>phi2</t>
  </si>
  <si>
    <t>Vaccine cross-protection for nvtHPV</t>
  </si>
  <si>
    <t>At baseline, assume 0 - to be explored</t>
  </si>
  <si>
    <t>art-coff-yr</t>
  </si>
  <si>
    <t>art-coff-eff1</t>
  </si>
  <si>
    <t>Reduction in ART efficacy on reducing HPV cofactor effect prior to 2010</t>
  </si>
  <si>
    <t>psi-hiv</t>
  </si>
  <si>
    <t>Progression to CIN2/CIn3 if HIV positive</t>
  </si>
  <si>
    <t>Incidence of CIN higher in HIV+</t>
  </si>
  <si>
    <t>gscreen1</t>
  </si>
  <si>
    <t>Change in screening rate as a function of X Y Z</t>
  </si>
  <si>
    <t>gscreen2</t>
  </si>
  <si>
    <t>gscreen3</t>
  </si>
  <si>
    <t>gscreen4</t>
  </si>
  <si>
    <t>gscreen5</t>
  </si>
  <si>
    <t>gscreen6</t>
  </si>
  <si>
    <t>gscreen7</t>
  </si>
  <si>
    <t>gscreen8</t>
  </si>
  <si>
    <t>gscreen9</t>
  </si>
  <si>
    <t>gscreen10</t>
  </si>
  <si>
    <t>gscreen11</t>
  </si>
  <si>
    <t>gscreen12</t>
  </si>
  <si>
    <t>gscreen13</t>
  </si>
  <si>
    <t>gscreen14</t>
  </si>
  <si>
    <t>gscreen15</t>
  </si>
  <si>
    <t>cin2-cure</t>
  </si>
  <si>
    <t>Succesful treatment of CIN2+ among HIV -</t>
  </si>
  <si>
    <t>See screening summary</t>
  </si>
  <si>
    <t>Succesful treatment of CIN2+ among HIV+</t>
  </si>
  <si>
    <t>cc-cure</t>
  </si>
  <si>
    <t>Succesful treatment of CC among HIV-</t>
  </si>
  <si>
    <t>cc-cure2</t>
  </si>
  <si>
    <t>Succesful treatment of CC among HIV+</t>
  </si>
  <si>
    <t>screen-yr1</t>
  </si>
  <si>
    <t>1st year of screen</t>
  </si>
  <si>
    <t>screen-yr2</t>
  </si>
  <si>
    <t>2nd year of screen</t>
  </si>
  <si>
    <t>screen-yr3</t>
  </si>
  <si>
    <t>3rd year of screen</t>
  </si>
  <si>
    <t>screen-yr4</t>
  </si>
  <si>
    <t>4th year of screen</t>
  </si>
  <si>
    <t>screen-yr5</t>
  </si>
  <si>
    <t>5th year of screen</t>
  </si>
  <si>
    <t>RR to 16/18 immunity</t>
  </si>
  <si>
    <t xml:space="preserve"> </t>
  </si>
  <si>
    <t>ValueFixed3</t>
  </si>
  <si>
    <t>ValueMin3</t>
  </si>
  <si>
    <t>ValueMax3</t>
  </si>
  <si>
    <t>ART Cofactor -RR reduction prior to 2010</t>
  </si>
  <si>
    <t>hiv_intro</t>
  </si>
  <si>
    <t>year HIV is introduced in the model</t>
  </si>
  <si>
    <t>19-24- 2008</t>
  </si>
  <si>
    <t>19-24 -2010</t>
  </si>
  <si>
    <t>19-24- 2012</t>
  </si>
  <si>
    <t>19-24- 2017</t>
  </si>
  <si>
    <t>35-39- 2002</t>
  </si>
  <si>
    <t>35-39- 2008</t>
  </si>
  <si>
    <t>35-39- 2010</t>
  </si>
  <si>
    <t>35-39 - 2012</t>
  </si>
  <si>
    <t>35-39 - 2017</t>
  </si>
  <si>
    <t>45-49 - 2002</t>
  </si>
  <si>
    <t>45-49 - 2008</t>
  </si>
  <si>
    <t>45-49 - 2010</t>
  </si>
  <si>
    <t>45-49 - 2012</t>
  </si>
  <si>
    <t>45-49 - 2017</t>
  </si>
  <si>
    <t xml:space="preserve">Time steps </t>
  </si>
  <si>
    <t>pi2_codd</t>
  </si>
  <si>
    <t>Rate of CC developmentin older individuals 60+ yos</t>
  </si>
  <si>
    <t>pi3_codd</t>
  </si>
  <si>
    <t>Regression among &gt;35 yos, 1/RR to omega</t>
  </si>
  <si>
    <t>vxxwane</t>
  </si>
  <si>
    <t>25-29- 2002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</si>
</sst>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 ###\ ###\ ##0;\-#\ ###\ ###\ ##0;0"/>
    <numFmt numFmtId="165" formatCode="_(* #,##0_);_(* \(#,##0\);_(* &quot;-&quot;??_);_(@_)"/>
    <numFmt numFmtId="166" formatCode="0.000"/>
    <numFmt numFmtId="167" formatCode="0.000_);\(0.000\)"/>
  </numFmts>
  <fonts count="39">
    <font>
      <sz val="12"/>
      <color theme="1"/>
      <name val="Calibri"/>
      <family val="2"/>
      <scheme val="minor"/>
    </font>
    <font>
      <sz val="12"/>
      <color theme="1"/>
      <name val="Calibri"/>
      <family val="2"/>
      <scheme val="minor"/>
    </font>
    <font>
      <b/>
      <sz val="12"/>
      <color theme="1"/>
      <name val="Calibri"/>
      <family val="2"/>
      <scheme val="minor"/>
    </font>
    <font>
      <sz val="11"/>
      <color theme="1"/>
      <name val="Arial"/>
      <family val="2"/>
    </font>
    <font>
      <b/>
      <sz val="12"/>
      <name val="Calibri"/>
      <family val="2"/>
      <scheme val="minor"/>
    </font>
    <font>
      <sz val="12"/>
      <color rgb="FF2E2E2E"/>
      <name val="Calibri"/>
      <family val="2"/>
      <scheme val="minor"/>
    </font>
    <font>
      <b/>
      <sz val="12"/>
      <color rgb="FF2E2E2E"/>
      <name val="Calibri"/>
      <family val="2"/>
      <scheme val="minor"/>
    </font>
    <font>
      <sz val="12"/>
      <color theme="1"/>
      <name val="Calibri"/>
      <family val="2"/>
    </font>
    <font>
      <sz val="11"/>
      <color rgb="FF363031"/>
      <name val="Arial"/>
      <family val="2"/>
    </font>
    <font>
      <sz val="11"/>
      <color rgb="FF2E2E2E"/>
      <name val="Arial"/>
      <family val="2"/>
    </font>
    <font>
      <b/>
      <sz val="9"/>
      <name val="Garamond"/>
      <family val="1"/>
    </font>
    <font>
      <b/>
      <sz val="9"/>
      <color rgb="FF292425"/>
      <name val="Garamond"/>
      <family val="1"/>
    </font>
    <font>
      <sz val="12"/>
      <name val="Calibri"/>
      <family val="2"/>
      <scheme val="minor"/>
    </font>
    <font>
      <sz val="8"/>
      <color theme="1"/>
      <name val="Calibri"/>
      <family val="2"/>
      <scheme val="minor"/>
    </font>
    <font>
      <sz val="7"/>
      <color theme="1"/>
      <name val="Times New Roman"/>
      <family val="1"/>
    </font>
    <font>
      <sz val="12"/>
      <color rgb="FF000000"/>
      <name val="Calibri"/>
      <family val="2"/>
      <scheme val="minor"/>
    </font>
    <font>
      <b/>
      <sz val="10"/>
      <name val="Arial"/>
      <family val="2"/>
    </font>
    <font>
      <sz val="8"/>
      <name val="Calibri"/>
      <family val="2"/>
      <scheme val="minor"/>
    </font>
    <font>
      <sz val="10"/>
      <color theme="1"/>
      <name val="Calibri"/>
      <family val="2"/>
      <scheme val="minor"/>
    </font>
    <font>
      <sz val="10"/>
      <color rgb="FF000000"/>
      <name val="Helvetica Neue"/>
      <family val="2"/>
    </font>
    <font>
      <b/>
      <sz val="10"/>
      <color rgb="FF000000"/>
      <name val="Helvetica Neue"/>
      <family val="2"/>
    </font>
    <font>
      <sz val="12"/>
      <color rgb="FF292425"/>
      <name val="Calibri"/>
      <family val="2"/>
      <scheme val="minor"/>
    </font>
    <font>
      <vertAlign val="superscript"/>
      <sz val="12"/>
      <color rgb="FF292425"/>
      <name val="Calibri"/>
      <family val="2"/>
      <scheme val="minor"/>
    </font>
    <font>
      <b/>
      <sz val="12"/>
      <color rgb="FF292425"/>
      <name val="Calibri"/>
      <family val="2"/>
      <scheme val="minor"/>
    </font>
    <font>
      <sz val="12"/>
      <color rgb="FF363031"/>
      <name val="Calibri"/>
      <family val="2"/>
      <scheme val="minor"/>
    </font>
    <font>
      <sz val="12"/>
      <color rgb="FFFF0000"/>
      <name val="Calibri"/>
      <family val="2"/>
      <scheme val="minor"/>
    </font>
    <font>
      <sz val="12"/>
      <color rgb="FF333333"/>
      <name val="Calibri"/>
      <family val="2"/>
      <scheme val="minor"/>
    </font>
    <font>
      <sz val="11"/>
      <color theme="1"/>
      <name val="Calibri"/>
      <family val="2"/>
      <scheme val="minor"/>
    </font>
    <font>
      <u/>
      <sz val="11"/>
      <color theme="1"/>
      <name val="Calibri"/>
      <family val="2"/>
      <scheme val="minor"/>
    </font>
    <font>
      <b/>
      <sz val="11"/>
      <color theme="1"/>
      <name val="Calibri"/>
      <family val="2"/>
      <scheme val="minor"/>
    </font>
    <font>
      <sz val="12"/>
      <color rgb="FF222222"/>
      <name val="Calibri"/>
      <family val="2"/>
      <scheme val="minor"/>
    </font>
    <font>
      <i/>
      <sz val="12"/>
      <color theme="1"/>
      <name val="Calibri"/>
      <family val="2"/>
      <scheme val="minor"/>
    </font>
    <font>
      <i/>
      <sz val="11"/>
      <color theme="1"/>
      <name val="Arial"/>
      <family val="2"/>
    </font>
    <font>
      <sz val="12"/>
      <color theme="1"/>
      <name val="Calibri (Body)_x0000_"/>
    </font>
    <font>
      <sz val="12"/>
      <color rgb="FFFF0000"/>
      <name val="Calibri (Body)"/>
    </font>
    <font>
      <sz val="12"/>
      <color theme="1"/>
      <name val="Calibri (Body)"/>
    </font>
    <font>
      <b/>
      <sz val="12"/>
      <color rgb="FFFF0000"/>
      <name val="Calibri"/>
      <family val="2"/>
      <scheme val="minor"/>
    </font>
    <font>
      <sz val="11"/>
      <color rgb="FFFF0000"/>
      <name val="Arial"/>
      <family val="2"/>
    </font>
    <font>
      <sz val="12"/>
      <color rgb="FF000000"/>
      <name val="Calibri"/>
      <family val="2"/>
    </font>
  </fonts>
  <fills count="7">
    <fill>
      <patternFill patternType="none"/>
    </fill>
    <fill>
      <patternFill patternType="gray125"/>
    </fill>
    <fill>
      <patternFill patternType="solid">
        <fgColor theme="5"/>
        <bgColor indexed="64"/>
      </patternFill>
    </fill>
    <fill>
      <patternFill patternType="solid">
        <fgColor rgb="FFC2DDC9"/>
      </patternFill>
    </fill>
    <fill>
      <patternFill patternType="solid">
        <fgColor theme="7"/>
        <bgColor indexed="64"/>
      </patternFill>
    </fill>
    <fill>
      <patternFill patternType="solid">
        <fgColor rgb="FFFFFF00"/>
        <bgColor indexed="64"/>
      </patternFill>
    </fill>
    <fill>
      <patternFill patternType="solid">
        <fgColor theme="5" tint="0.39997558519241921"/>
        <bgColor indexed="64"/>
      </patternFill>
    </fill>
  </fills>
  <borders count="10">
    <border>
      <left/>
      <right/>
      <top/>
      <bottom/>
      <diagonal/>
    </border>
    <border>
      <left style="thin">
        <color auto="1"/>
      </left>
      <right/>
      <top style="thin">
        <color auto="1"/>
      </top>
      <bottom/>
      <diagonal/>
    </border>
    <border>
      <left/>
      <right/>
      <top style="thin">
        <color auto="1"/>
      </top>
      <bottom/>
      <diagonal/>
    </border>
    <border>
      <left style="thin">
        <color auto="1"/>
      </left>
      <right/>
      <top/>
      <bottom/>
      <diagonal/>
    </border>
    <border>
      <left style="thin">
        <color auto="1"/>
      </left>
      <right/>
      <top/>
      <bottom style="thin">
        <color auto="1"/>
      </bottom>
      <diagonal/>
    </border>
    <border>
      <left style="thin">
        <color rgb="FF333592"/>
      </left>
      <right style="thin">
        <color rgb="FF333592"/>
      </right>
      <top style="thin">
        <color rgb="FF333592"/>
      </top>
      <bottom style="thin">
        <color rgb="FF333592"/>
      </bottom>
      <diagonal/>
    </border>
    <border>
      <left style="thin">
        <color rgb="FF333592"/>
      </left>
      <right/>
      <top style="thin">
        <color rgb="FF333592"/>
      </top>
      <bottom style="thin">
        <color rgb="FF333592"/>
      </bottom>
      <diagonal/>
    </border>
    <border>
      <left style="thin">
        <color rgb="FFF89422"/>
      </left>
      <right/>
      <top/>
      <bottom/>
      <diagonal/>
    </border>
    <border>
      <left/>
      <right style="thin">
        <color indexed="64"/>
      </right>
      <top/>
      <bottom style="thin">
        <color indexed="64"/>
      </bottom>
      <diagonal/>
    </border>
    <border>
      <left/>
      <right/>
      <top/>
      <bottom style="thin">
        <color indexed="64"/>
      </bottom>
      <diagonal/>
    </border>
  </borders>
  <cellStyleXfs count="2">
    <xf numFmtId="0" fontId="0" fillId="0" borderId="0"/>
    <xf numFmtId="43" fontId="1" fillId="0" borderId="0" applyFont="0" applyFill="0" applyBorder="0" applyAlignment="0" applyProtection="0"/>
  </cellStyleXfs>
  <cellXfs count="116">
    <xf numFmtId="0" fontId="0" fillId="0" borderId="0" xfId="0"/>
    <xf numFmtId="0" fontId="3" fillId="0" borderId="0" xfId="0" applyFont="1"/>
    <xf numFmtId="0" fontId="0" fillId="0" borderId="0" xfId="0" applyAlignment="1">
      <alignment horizontal="left"/>
    </xf>
    <xf numFmtId="0" fontId="4" fillId="0" borderId="0" xfId="0" applyFont="1" applyAlignment="1">
      <alignment horizontal="left"/>
    </xf>
    <xf numFmtId="0" fontId="2" fillId="0" borderId="0" xfId="0" applyFont="1" applyAlignment="1">
      <alignment horizontal="left"/>
    </xf>
    <xf numFmtId="0" fontId="0" fillId="0" borderId="3" xfId="0" applyBorder="1" applyAlignment="1">
      <alignment horizontal="left"/>
    </xf>
    <xf numFmtId="0" fontId="2" fillId="0" borderId="1" xfId="0" applyFont="1" applyBorder="1" applyAlignment="1">
      <alignment horizontal="left"/>
    </xf>
    <xf numFmtId="0" fontId="2" fillId="0" borderId="2" xfId="0" applyFont="1" applyBorder="1" applyAlignment="1">
      <alignment horizontal="left"/>
    </xf>
    <xf numFmtId="4" fontId="6" fillId="0" borderId="0" xfId="0" applyNumberFormat="1" applyFont="1" applyAlignment="1">
      <alignment horizontal="left"/>
    </xf>
    <xf numFmtId="1" fontId="0" fillId="0" borderId="0" xfId="1" applyNumberFormat="1" applyFont="1" applyBorder="1" applyAlignment="1">
      <alignment horizontal="left"/>
    </xf>
    <xf numFmtId="1" fontId="0" fillId="0" borderId="0" xfId="0" applyNumberFormat="1" applyAlignment="1">
      <alignment horizontal="left"/>
    </xf>
    <xf numFmtId="1" fontId="5" fillId="0" borderId="0" xfId="0" applyNumberFormat="1" applyFont="1" applyAlignment="1">
      <alignment horizontal="left"/>
    </xf>
    <xf numFmtId="4" fontId="5" fillId="0" borderId="0" xfId="0" applyNumberFormat="1" applyFont="1" applyAlignment="1">
      <alignment horizontal="left"/>
    </xf>
    <xf numFmtId="164" fontId="0" fillId="0" borderId="0" xfId="0" applyNumberFormat="1" applyAlignment="1">
      <alignment horizontal="left"/>
    </xf>
    <xf numFmtId="165" fontId="7" fillId="0" borderId="0" xfId="1" applyNumberFormat="1" applyFont="1" applyBorder="1" applyAlignment="1">
      <alignment horizontal="right"/>
    </xf>
    <xf numFmtId="165" fontId="0" fillId="0" borderId="0" xfId="1" applyNumberFormat="1" applyFont="1" applyBorder="1"/>
    <xf numFmtId="166" fontId="5" fillId="0" borderId="0" xfId="0" applyNumberFormat="1" applyFont="1" applyAlignment="1">
      <alignment horizontal="left"/>
    </xf>
    <xf numFmtId="0" fontId="8" fillId="0" borderId="0" xfId="0" applyFont="1"/>
    <xf numFmtId="166" fontId="0" fillId="0" borderId="0" xfId="0" applyNumberFormat="1" applyAlignment="1">
      <alignment horizontal="left"/>
    </xf>
    <xf numFmtId="0" fontId="12" fillId="0" borderId="0" xfId="0" applyFont="1" applyAlignment="1">
      <alignment horizontal="left"/>
    </xf>
    <xf numFmtId="0" fontId="0" fillId="2" borderId="0" xfId="0" applyFill="1" applyAlignment="1">
      <alignment horizontal="left"/>
    </xf>
    <xf numFmtId="0" fontId="13" fillId="0" borderId="0" xfId="0" applyFont="1"/>
    <xf numFmtId="0" fontId="14" fillId="0" borderId="0" xfId="0" applyFont="1"/>
    <xf numFmtId="0" fontId="15" fillId="0" borderId="0" xfId="0" applyFont="1" applyAlignment="1">
      <alignment horizontal="left"/>
    </xf>
    <xf numFmtId="0" fontId="16" fillId="0" borderId="0" xfId="0" applyFont="1" applyAlignment="1">
      <alignment horizontal="left"/>
    </xf>
    <xf numFmtId="0" fontId="15" fillId="0" borderId="2" xfId="0" applyFont="1" applyBorder="1" applyAlignment="1">
      <alignment horizontal="left" vertical="center"/>
    </xf>
    <xf numFmtId="0" fontId="15" fillId="0" borderId="2" xfId="0" applyFont="1" applyBorder="1" applyAlignment="1">
      <alignment horizontal="center" vertical="center"/>
    </xf>
    <xf numFmtId="0" fontId="10" fillId="3" borderId="5" xfId="0" applyFont="1" applyFill="1" applyBorder="1" applyAlignment="1">
      <alignment vertical="top"/>
    </xf>
    <xf numFmtId="0" fontId="11" fillId="3" borderId="6" xfId="0" applyFont="1" applyFill="1" applyBorder="1" applyAlignment="1">
      <alignment vertical="top"/>
    </xf>
    <xf numFmtId="1" fontId="5" fillId="5" borderId="0" xfId="0" applyNumberFormat="1" applyFont="1" applyFill="1" applyAlignment="1">
      <alignment horizontal="left"/>
    </xf>
    <xf numFmtId="0" fontId="0" fillId="0" borderId="4" xfId="0" applyBorder="1" applyAlignment="1">
      <alignment horizontal="left"/>
    </xf>
    <xf numFmtId="166" fontId="5" fillId="5" borderId="0" xfId="0" applyNumberFormat="1" applyFont="1" applyFill="1" applyAlignment="1">
      <alignment horizontal="left"/>
    </xf>
    <xf numFmtId="0" fontId="0" fillId="5" borderId="0" xfId="0" applyFill="1" applyAlignment="1">
      <alignment horizontal="left"/>
    </xf>
    <xf numFmtId="0" fontId="0" fillId="0" borderId="0" xfId="0" quotePrefix="1" applyAlignment="1">
      <alignment horizontal="left"/>
    </xf>
    <xf numFmtId="0" fontId="0" fillId="0" borderId="0" xfId="0" applyAlignment="1">
      <alignment horizontal="left" wrapText="1"/>
    </xf>
    <xf numFmtId="0" fontId="0" fillId="0" borderId="0" xfId="0" applyAlignment="1">
      <alignment horizontal="left" vertical="top"/>
    </xf>
    <xf numFmtId="0" fontId="0" fillId="0" borderId="8" xfId="0" applyBorder="1" applyAlignment="1">
      <alignment horizontal="left" vertical="top"/>
    </xf>
    <xf numFmtId="49" fontId="0" fillId="0" borderId="0" xfId="0" applyNumberFormat="1" applyAlignment="1">
      <alignment horizontal="left"/>
    </xf>
    <xf numFmtId="49" fontId="0" fillId="0" borderId="0" xfId="0" quotePrefix="1" applyNumberFormat="1" applyAlignment="1">
      <alignment horizontal="left"/>
    </xf>
    <xf numFmtId="0" fontId="0" fillId="0" borderId="0" xfId="0" applyAlignment="1">
      <alignment horizontal="left" vertical="top" wrapText="1"/>
    </xf>
    <xf numFmtId="165" fontId="0" fillId="0" borderId="0" xfId="1" applyNumberFormat="1" applyFont="1" applyFill="1" applyAlignment="1">
      <alignment horizontal="left"/>
    </xf>
    <xf numFmtId="165" fontId="15" fillId="0" borderId="0" xfId="0" applyNumberFormat="1" applyFont="1" applyAlignment="1">
      <alignment horizontal="left"/>
    </xf>
    <xf numFmtId="0" fontId="18" fillId="0" borderId="0" xfId="0" applyFont="1" applyAlignment="1">
      <alignment horizontal="left" vertical="top" wrapText="1"/>
    </xf>
    <xf numFmtId="0" fontId="20" fillId="0" borderId="0" xfId="0" applyFont="1"/>
    <xf numFmtId="0" fontId="19" fillId="0" borderId="0" xfId="0" applyFont="1"/>
    <xf numFmtId="0" fontId="19" fillId="0" borderId="0" xfId="0" applyFont="1" applyAlignment="1">
      <alignment horizontal="left"/>
    </xf>
    <xf numFmtId="16" fontId="2" fillId="4" borderId="0" xfId="0" applyNumberFormat="1" applyFont="1" applyFill="1" applyAlignment="1">
      <alignment horizontal="left"/>
    </xf>
    <xf numFmtId="167" fontId="0" fillId="0" borderId="0" xfId="0" applyNumberFormat="1" applyAlignment="1">
      <alignment horizontal="left"/>
    </xf>
    <xf numFmtId="4" fontId="9" fillId="0" borderId="0" xfId="0" applyNumberFormat="1" applyFont="1"/>
    <xf numFmtId="0" fontId="8" fillId="5" borderId="0" xfId="0" applyFont="1" applyFill="1"/>
    <xf numFmtId="0" fontId="3" fillId="5" borderId="0" xfId="0" applyFont="1" applyFill="1"/>
    <xf numFmtId="0" fontId="21" fillId="0" borderId="0" xfId="0" applyFont="1" applyAlignment="1">
      <alignment horizontal="left" vertical="top" wrapText="1"/>
    </xf>
    <xf numFmtId="9" fontId="23" fillId="0" borderId="7" xfId="0" applyNumberFormat="1" applyFont="1" applyBorder="1" applyAlignment="1">
      <alignment horizontal="left" vertical="top" shrinkToFit="1"/>
    </xf>
    <xf numFmtId="0" fontId="24" fillId="0" borderId="0" xfId="0" applyFont="1" applyAlignment="1">
      <alignment horizontal="left"/>
    </xf>
    <xf numFmtId="1" fontId="21" fillId="0" borderId="0" xfId="0" applyNumberFormat="1" applyFont="1" applyAlignment="1">
      <alignment horizontal="left" vertical="top" shrinkToFit="1"/>
    </xf>
    <xf numFmtId="0" fontId="0" fillId="5" borderId="0" xfId="0" applyFill="1"/>
    <xf numFmtId="166" fontId="0" fillId="5" borderId="0" xfId="0" applyNumberFormat="1" applyFill="1" applyAlignment="1">
      <alignment horizontal="left"/>
    </xf>
    <xf numFmtId="0" fontId="3" fillId="5" borderId="2" xfId="0" applyFont="1" applyFill="1" applyBorder="1"/>
    <xf numFmtId="4" fontId="6" fillId="5" borderId="0" xfId="0" applyNumberFormat="1" applyFont="1" applyFill="1" applyAlignment="1">
      <alignment horizontal="left"/>
    </xf>
    <xf numFmtId="16" fontId="2" fillId="5" borderId="0" xfId="0" applyNumberFormat="1" applyFont="1" applyFill="1" applyAlignment="1">
      <alignment horizontal="left"/>
    </xf>
    <xf numFmtId="0" fontId="2" fillId="5" borderId="0" xfId="0" applyFont="1" applyFill="1" applyAlignment="1">
      <alignment horizontal="left"/>
    </xf>
    <xf numFmtId="0" fontId="2" fillId="0" borderId="0" xfId="0" applyFont="1"/>
    <xf numFmtId="0" fontId="2" fillId="0" borderId="0" xfId="0" applyFont="1" applyAlignment="1">
      <alignment horizontal="left" vertical="top" wrapText="1"/>
    </xf>
    <xf numFmtId="0" fontId="2" fillId="0" borderId="0" xfId="0" applyFont="1" applyAlignment="1">
      <alignment horizontal="left" vertical="top"/>
    </xf>
    <xf numFmtId="0" fontId="0" fillId="0" borderId="0" xfId="0" applyAlignment="1">
      <alignment wrapText="1"/>
    </xf>
    <xf numFmtId="0" fontId="26" fillId="0" borderId="0" xfId="0" applyFont="1" applyAlignment="1">
      <alignment horizontal="left" vertical="top" wrapText="1"/>
    </xf>
    <xf numFmtId="0" fontId="27" fillId="0" borderId="0" xfId="0" applyFont="1" applyAlignment="1">
      <alignment horizontal="left" vertical="center" wrapText="1"/>
    </xf>
    <xf numFmtId="0" fontId="30" fillId="0" borderId="0" xfId="0" applyFont="1" applyAlignment="1">
      <alignment horizontal="left" wrapText="1"/>
    </xf>
    <xf numFmtId="0" fontId="30" fillId="0" borderId="0" xfId="0" quotePrefix="1" applyFont="1" applyAlignment="1">
      <alignment horizontal="left" wrapText="1"/>
    </xf>
    <xf numFmtId="0" fontId="0" fillId="0" borderId="0" xfId="0" quotePrefix="1" applyAlignment="1">
      <alignment horizontal="left" vertical="top" wrapText="1"/>
    </xf>
    <xf numFmtId="0" fontId="26" fillId="0" borderId="0" xfId="0" quotePrefix="1" applyFont="1" applyAlignment="1">
      <alignment horizontal="left" vertical="top" wrapText="1"/>
    </xf>
    <xf numFmtId="0" fontId="0" fillId="0" borderId="0" xfId="0" applyAlignment="1">
      <alignment horizontal="left" vertical="center" wrapText="1"/>
    </xf>
    <xf numFmtId="0" fontId="25" fillId="0" borderId="0" xfId="0" applyFont="1" applyAlignment="1">
      <alignment horizontal="left" vertical="top" wrapText="1"/>
    </xf>
    <xf numFmtId="0" fontId="25" fillId="0" borderId="0" xfId="0" applyFont="1" applyAlignment="1">
      <alignment horizontal="left"/>
    </xf>
    <xf numFmtId="0" fontId="25" fillId="0" borderId="0" xfId="0" applyFont="1" applyAlignment="1">
      <alignment horizontal="left" wrapText="1"/>
    </xf>
    <xf numFmtId="0" fontId="25" fillId="0" borderId="0" xfId="0" applyFont="1" applyAlignment="1">
      <alignment horizontal="left" vertical="top"/>
    </xf>
    <xf numFmtId="0" fontId="0" fillId="0" borderId="0" xfId="0" quotePrefix="1" applyAlignment="1">
      <alignment horizontal="left" wrapText="1"/>
    </xf>
    <xf numFmtId="0" fontId="2" fillId="0" borderId="0" xfId="0" applyFont="1" applyAlignment="1">
      <alignment wrapText="1"/>
    </xf>
    <xf numFmtId="0" fontId="3" fillId="0" borderId="0" xfId="0" applyFont="1" applyAlignment="1">
      <alignment wrapText="1"/>
    </xf>
    <xf numFmtId="0" fontId="0" fillId="0" borderId="0" xfId="0" quotePrefix="1" applyAlignment="1">
      <alignment wrapText="1"/>
    </xf>
    <xf numFmtId="0" fontId="27" fillId="0" borderId="0" xfId="0" applyFont="1" applyAlignment="1">
      <alignment wrapText="1"/>
    </xf>
    <xf numFmtId="0" fontId="27" fillId="0" borderId="0" xfId="0" applyFont="1" applyAlignment="1">
      <alignment vertical="center" wrapText="1"/>
    </xf>
    <xf numFmtId="2" fontId="0" fillId="0" borderId="0" xfId="0" applyNumberFormat="1"/>
    <xf numFmtId="0" fontId="36" fillId="0" borderId="0" xfId="0" applyFont="1" applyAlignment="1">
      <alignment horizontal="left" vertical="top"/>
    </xf>
    <xf numFmtId="0" fontId="36" fillId="0" borderId="0" xfId="0" applyFont="1"/>
    <xf numFmtId="0" fontId="25" fillId="0" borderId="0" xfId="0" applyFont="1"/>
    <xf numFmtId="0" fontId="25" fillId="0" borderId="0" xfId="0" applyFont="1" applyAlignment="1">
      <alignment wrapText="1"/>
    </xf>
    <xf numFmtId="2" fontId="25" fillId="0" borderId="0" xfId="0" applyNumberFormat="1" applyFont="1"/>
    <xf numFmtId="0" fontId="25" fillId="5" borderId="0" xfId="0" applyFont="1" applyFill="1"/>
    <xf numFmtId="0" fontId="25" fillId="5" borderId="0" xfId="0" applyFont="1" applyFill="1" applyAlignment="1">
      <alignment horizontal="left" vertical="top"/>
    </xf>
    <xf numFmtId="0" fontId="2" fillId="0" borderId="0" xfId="0" applyFont="1" applyAlignment="1">
      <alignment vertical="top"/>
    </xf>
    <xf numFmtId="1" fontId="0" fillId="0" borderId="0" xfId="0" applyNumberFormat="1" applyAlignment="1">
      <alignment horizontal="left" vertical="top"/>
    </xf>
    <xf numFmtId="0" fontId="0" fillId="0" borderId="0" xfId="0" applyAlignment="1">
      <alignment vertical="top"/>
    </xf>
    <xf numFmtId="0" fontId="3" fillId="0" borderId="0" xfId="0" applyFont="1" applyAlignment="1">
      <alignment vertical="top"/>
    </xf>
    <xf numFmtId="0" fontId="3" fillId="0" borderId="0" xfId="0" applyFont="1" applyAlignment="1">
      <alignment horizontal="left" vertical="top" wrapText="1"/>
    </xf>
    <xf numFmtId="0" fontId="3" fillId="0" borderId="0" xfId="0" quotePrefix="1" applyFont="1" applyAlignment="1">
      <alignment vertical="top" wrapText="1"/>
    </xf>
    <xf numFmtId="0" fontId="0" fillId="0" borderId="0" xfId="0" applyAlignment="1">
      <alignment vertical="top" wrapText="1"/>
    </xf>
    <xf numFmtId="0" fontId="37" fillId="0" borderId="0" xfId="0" applyFont="1" applyAlignment="1">
      <alignment horizontal="left" vertical="top" wrapText="1"/>
    </xf>
    <xf numFmtId="0" fontId="3" fillId="0" borderId="0" xfId="0" applyFont="1" applyAlignment="1">
      <alignment vertical="top" wrapText="1"/>
    </xf>
    <xf numFmtId="0" fontId="38" fillId="0" borderId="0" xfId="0" applyFont="1"/>
    <xf numFmtId="0" fontId="0" fillId="0" borderId="9" xfId="0" applyBorder="1" applyAlignment="1">
      <alignment horizontal="left" vertical="top"/>
    </xf>
    <xf numFmtId="0" fontId="38" fillId="0" borderId="9" xfId="0" applyFont="1" applyBorder="1"/>
    <xf numFmtId="0" fontId="0" fillId="0" borderId="9" xfId="0" applyBorder="1" applyAlignment="1">
      <alignment horizontal="left"/>
    </xf>
    <xf numFmtId="2" fontId="25" fillId="0" borderId="0" xfId="0" applyNumberFormat="1" applyFont="1" applyAlignment="1">
      <alignment horizontal="left" vertical="top"/>
    </xf>
    <xf numFmtId="0" fontId="25" fillId="0" borderId="9" xfId="0" applyFont="1" applyBorder="1" applyAlignment="1">
      <alignment horizontal="left" vertical="top"/>
    </xf>
    <xf numFmtId="0" fontId="25" fillId="0" borderId="9" xfId="0" applyFont="1" applyBorder="1" applyAlignment="1">
      <alignment horizontal="left"/>
    </xf>
    <xf numFmtId="0" fontId="25" fillId="6" borderId="0" xfId="0" applyFont="1" applyFill="1"/>
    <xf numFmtId="166" fontId="0" fillId="0" borderId="0" xfId="0" applyNumberFormat="1" applyAlignment="1">
      <alignment horizontal="left" vertical="top"/>
    </xf>
    <xf numFmtId="166" fontId="0" fillId="0" borderId="9" xfId="0" applyNumberFormat="1" applyBorder="1" applyAlignment="1">
      <alignment horizontal="left" vertical="top"/>
    </xf>
    <xf numFmtId="1" fontId="0" fillId="0" borderId="0" xfId="0" applyNumberFormat="1"/>
    <xf numFmtId="0" fontId="0" fillId="0" borderId="0" xfId="0" applyFill="1"/>
    <xf numFmtId="0" fontId="0" fillId="0" borderId="0" xfId="0" applyFill="1" applyAlignment="1">
      <alignment wrapText="1"/>
    </xf>
    <xf numFmtId="0" fontId="25" fillId="0" borderId="0" xfId="0" applyFont="1" applyFill="1"/>
    <xf numFmtId="0" fontId="0" fillId="0" borderId="0" xfId="0" applyFill="1" applyAlignment="1">
      <alignment horizontal="left" vertical="top" wrapText="1"/>
    </xf>
    <xf numFmtId="0" fontId="0" fillId="0" borderId="0" xfId="0" applyFont="1" applyFill="1"/>
    <xf numFmtId="0" fontId="0" fillId="0" borderId="0" xfId="0" applyFill="1" applyAlignment="1">
      <alignment horizontal="left" vertical="top"/>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2265026011533504"/>
          <c:y val="0.11756390977443611"/>
          <c:w val="0.84016933367200064"/>
          <c:h val="0.81266686401041976"/>
        </c:manualLayout>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Calib_Demogr!$A$2:$A$48</c:f>
              <c:numCache>
                <c:formatCode>General</c:formatCode>
                <c:ptCount val="47"/>
                <c:pt idx="0">
                  <c:v>1950</c:v>
                </c:pt>
                <c:pt idx="1">
                  <c:v>1955</c:v>
                </c:pt>
                <c:pt idx="2">
                  <c:v>1960</c:v>
                </c:pt>
                <c:pt idx="3">
                  <c:v>1965</c:v>
                </c:pt>
                <c:pt idx="4">
                  <c:v>1970</c:v>
                </c:pt>
                <c:pt idx="5">
                  <c:v>1975</c:v>
                </c:pt>
                <c:pt idx="6">
                  <c:v>1980</c:v>
                </c:pt>
                <c:pt idx="7">
                  <c:v>1985</c:v>
                </c:pt>
                <c:pt idx="8">
                  <c:v>1990</c:v>
                </c:pt>
                <c:pt idx="9">
                  <c:v>1995</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2025</c:v>
                </c:pt>
                <c:pt idx="32">
                  <c:v>2030</c:v>
                </c:pt>
                <c:pt idx="33">
                  <c:v>2035</c:v>
                </c:pt>
                <c:pt idx="34">
                  <c:v>2040</c:v>
                </c:pt>
                <c:pt idx="35">
                  <c:v>2045</c:v>
                </c:pt>
                <c:pt idx="36">
                  <c:v>2050</c:v>
                </c:pt>
                <c:pt idx="37">
                  <c:v>2055</c:v>
                </c:pt>
                <c:pt idx="38">
                  <c:v>2060</c:v>
                </c:pt>
                <c:pt idx="39">
                  <c:v>2065</c:v>
                </c:pt>
                <c:pt idx="40">
                  <c:v>2070</c:v>
                </c:pt>
                <c:pt idx="41">
                  <c:v>2075</c:v>
                </c:pt>
                <c:pt idx="42">
                  <c:v>2080</c:v>
                </c:pt>
                <c:pt idx="43">
                  <c:v>2085</c:v>
                </c:pt>
                <c:pt idx="44">
                  <c:v>2090</c:v>
                </c:pt>
                <c:pt idx="45">
                  <c:v>2095</c:v>
                </c:pt>
                <c:pt idx="46">
                  <c:v>2100</c:v>
                </c:pt>
              </c:numCache>
            </c:numRef>
          </c:xVal>
          <c:yVal>
            <c:numRef>
              <c:f>Calib_Demogr!$Y$2:$Y$48</c:f>
              <c:numCache>
                <c:formatCode>0</c:formatCode>
                <c:ptCount val="47"/>
                <c:pt idx="0">
                  <c:v>10072803</c:v>
                </c:pt>
                <c:pt idx="1">
                  <c:v>11120440</c:v>
                </c:pt>
                <c:pt idx="2">
                  <c:v>12429782.6</c:v>
                </c:pt>
                <c:pt idx="3">
                  <c:v>14262811</c:v>
                </c:pt>
                <c:pt idx="4">
                  <c:v>16470071.6</c:v>
                </c:pt>
                <c:pt idx="5">
                  <c:v>18946672.800000001</c:v>
                </c:pt>
                <c:pt idx="6">
                  <c:v>21579425.800000001</c:v>
                </c:pt>
                <c:pt idx="7">
                  <c:v>24691984.399999999</c:v>
                </c:pt>
                <c:pt idx="8">
                  <c:v>27989392.800000001</c:v>
                </c:pt>
                <c:pt idx="9">
                  <c:v>32379414</c:v>
                </c:pt>
                <c:pt idx="10">
                  <c:v>35956745.200000003</c:v>
                </c:pt>
                <c:pt idx="11">
                  <c:v>36545934.799999997</c:v>
                </c:pt>
                <c:pt idx="12">
                  <c:v>37134858</c:v>
                </c:pt>
                <c:pt idx="13">
                  <c:v>37716737.799999997</c:v>
                </c:pt>
                <c:pt idx="14">
                  <c:v>38282080.200000003</c:v>
                </c:pt>
                <c:pt idx="15">
                  <c:v>38827319.399999999</c:v>
                </c:pt>
                <c:pt idx="16">
                  <c:v>39298912</c:v>
                </c:pt>
                <c:pt idx="17">
                  <c:v>39759544.799999997</c:v>
                </c:pt>
                <c:pt idx="18">
                  <c:v>40225874.799999997</c:v>
                </c:pt>
                <c:pt idx="19">
                  <c:v>40720392.399999999</c:v>
                </c:pt>
                <c:pt idx="20">
                  <c:v>41256958.200000003</c:v>
                </c:pt>
                <c:pt idx="21">
                  <c:v>41833358.399999999</c:v>
                </c:pt>
                <c:pt idx="22">
                  <c:v>42453686.600000001</c:v>
                </c:pt>
                <c:pt idx="23">
                  <c:v>43102875.399999999</c:v>
                </c:pt>
                <c:pt idx="24">
                  <c:v>43763235</c:v>
                </c:pt>
                <c:pt idx="25">
                  <c:v>44422291.600000001</c:v>
                </c:pt>
                <c:pt idx="26">
                  <c:v>45022190.200000003</c:v>
                </c:pt>
                <c:pt idx="27">
                  <c:v>45632719.399999999</c:v>
                </c:pt>
                <c:pt idx="28">
                  <c:v>46249612.799999997</c:v>
                </c:pt>
                <c:pt idx="29">
                  <c:v>46869280.399999999</c:v>
                </c:pt>
                <c:pt idx="30">
                  <c:v>47492133</c:v>
                </c:pt>
                <c:pt idx="31">
                  <c:v>50475692</c:v>
                </c:pt>
                <c:pt idx="32">
                  <c:v>53047060.399999999</c:v>
                </c:pt>
                <c:pt idx="33">
                  <c:v>55332499</c:v>
                </c:pt>
                <c:pt idx="34">
                  <c:v>57340621</c:v>
                </c:pt>
                <c:pt idx="35">
                  <c:v>59096408.799999997</c:v>
                </c:pt>
                <c:pt idx="36">
                  <c:v>60603853.600000001</c:v>
                </c:pt>
                <c:pt idx="37">
                  <c:v>61809749.200000003</c:v>
                </c:pt>
                <c:pt idx="38">
                  <c:v>62546173.399999999</c:v>
                </c:pt>
                <c:pt idx="39">
                  <c:v>62909068</c:v>
                </c:pt>
                <c:pt idx="40">
                  <c:v>63086681.600000001</c:v>
                </c:pt>
                <c:pt idx="41">
                  <c:v>63116972.399999999</c:v>
                </c:pt>
                <c:pt idx="42">
                  <c:v>62978818.200000003</c:v>
                </c:pt>
                <c:pt idx="43">
                  <c:v>62569023.200000003</c:v>
                </c:pt>
                <c:pt idx="44">
                  <c:v>61840436.200000003</c:v>
                </c:pt>
                <c:pt idx="45">
                  <c:v>60987277.200000003</c:v>
                </c:pt>
                <c:pt idx="46">
                  <c:v>60081569.600000001</c:v>
                </c:pt>
              </c:numCache>
            </c:numRef>
          </c:yVal>
          <c:smooth val="0"/>
          <c:extLst>
            <c:ext xmlns:c16="http://schemas.microsoft.com/office/drawing/2014/chart" uri="{C3380CC4-5D6E-409C-BE32-E72D297353CC}">
              <c16:uniqueId val="{00000000-9EBB-3D43-BCE5-4720F3DA30E5}"/>
            </c:ext>
          </c:extLst>
        </c:ser>
        <c:dLbls>
          <c:showLegendKey val="0"/>
          <c:showVal val="0"/>
          <c:showCatName val="0"/>
          <c:showSerName val="0"/>
          <c:showPercent val="0"/>
          <c:showBubbleSize val="0"/>
        </c:dLbls>
        <c:axId val="934697216"/>
        <c:axId val="934706032"/>
      </c:scatterChart>
      <c:valAx>
        <c:axId val="934697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4706032"/>
        <c:crosses val="autoZero"/>
        <c:crossBetween val="midCat"/>
      </c:valAx>
      <c:valAx>
        <c:axId val="93470603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469721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16</xdr:col>
      <xdr:colOff>0</xdr:colOff>
      <xdr:row>19</xdr:row>
      <xdr:rowOff>0</xdr:rowOff>
    </xdr:from>
    <xdr:to>
      <xdr:col>26</xdr:col>
      <xdr:colOff>115338</xdr:colOff>
      <xdr:row>23</xdr:row>
      <xdr:rowOff>670437</xdr:rowOff>
    </xdr:to>
    <xdr:pic>
      <xdr:nvPicPr>
        <xdr:cNvPr id="5" name="Picture 4">
          <a:extLst>
            <a:ext uri="{FF2B5EF4-FFF2-40B4-BE49-F238E27FC236}">
              <a16:creationId xmlns:a16="http://schemas.microsoft.com/office/drawing/2014/main" id="{479008A3-67AF-3A49-AD15-5D46623A2BBE}"/>
            </a:ext>
          </a:extLst>
        </xdr:cNvPr>
        <xdr:cNvPicPr>
          <a:picLocks noChangeAspect="1"/>
        </xdr:cNvPicPr>
      </xdr:nvPicPr>
      <xdr:blipFill>
        <a:blip xmlns:r="http://schemas.openxmlformats.org/officeDocument/2006/relationships" r:embed="rId1"/>
        <a:stretch>
          <a:fillRect/>
        </a:stretch>
      </xdr:blipFill>
      <xdr:spPr>
        <a:xfrm>
          <a:off x="23533253" y="16066265"/>
          <a:ext cx="8377989" cy="498537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32</xdr:col>
      <xdr:colOff>666750</xdr:colOff>
      <xdr:row>4</xdr:row>
      <xdr:rowOff>120650</xdr:rowOff>
    </xdr:from>
    <xdr:to>
      <xdr:col>38</xdr:col>
      <xdr:colOff>673100</xdr:colOff>
      <xdr:row>25</xdr:row>
      <xdr:rowOff>76200</xdr:rowOff>
    </xdr:to>
    <xdr:graphicFrame macro="">
      <xdr:nvGraphicFramePr>
        <xdr:cNvPr id="2" name="Chart 1">
          <a:extLst>
            <a:ext uri="{FF2B5EF4-FFF2-40B4-BE49-F238E27FC236}">
              <a16:creationId xmlns:a16="http://schemas.microsoft.com/office/drawing/2014/main" id="{B775DEF4-578F-1544-9C88-8B2079F98A2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15A7AB-8204-E74C-8CD0-640923629C4A}">
  <dimension ref="A1:I35"/>
  <sheetViews>
    <sheetView tabSelected="1" zoomScale="96" zoomScaleNormal="96" workbookViewId="0">
      <selection activeCell="E35" sqref="E35"/>
    </sheetView>
  </sheetViews>
  <sheetFormatPr baseColWidth="10" defaultRowHeight="16"/>
  <cols>
    <col min="3" max="3" width="25.6640625" customWidth="1"/>
    <col min="8" max="8" width="11.6640625" bestFit="1" customWidth="1"/>
  </cols>
  <sheetData>
    <row r="1" spans="1:9" ht="17">
      <c r="A1" s="61" t="s">
        <v>214</v>
      </c>
      <c r="B1" s="61" t="s">
        <v>215</v>
      </c>
      <c r="C1" s="62" t="s">
        <v>216</v>
      </c>
      <c r="D1" s="63" t="s">
        <v>217</v>
      </c>
      <c r="E1" s="63" t="s">
        <v>218</v>
      </c>
      <c r="F1" s="63" t="s">
        <v>219</v>
      </c>
      <c r="G1" s="63" t="s">
        <v>220</v>
      </c>
      <c r="H1" s="62" t="s">
        <v>0</v>
      </c>
      <c r="I1" s="63" t="s">
        <v>221</v>
      </c>
    </row>
    <row r="2" spans="1:9" ht="34">
      <c r="A2">
        <v>1</v>
      </c>
      <c r="B2" t="s">
        <v>222</v>
      </c>
      <c r="C2" t="s">
        <v>223</v>
      </c>
      <c r="D2" t="s">
        <v>224</v>
      </c>
      <c r="E2">
        <v>5</v>
      </c>
      <c r="F2">
        <v>-999</v>
      </c>
      <c r="G2">
        <v>-999</v>
      </c>
      <c r="H2" s="64" t="s">
        <v>225</v>
      </c>
      <c r="I2" s="64"/>
    </row>
    <row r="3" spans="1:9" ht="34">
      <c r="A3">
        <v>2</v>
      </c>
      <c r="B3" t="s">
        <v>226</v>
      </c>
      <c r="C3" t="s">
        <v>227</v>
      </c>
      <c r="D3" t="s">
        <v>224</v>
      </c>
      <c r="E3">
        <v>5</v>
      </c>
      <c r="F3">
        <v>-999</v>
      </c>
      <c r="G3">
        <v>-999</v>
      </c>
      <c r="H3" s="64" t="s">
        <v>225</v>
      </c>
      <c r="I3" s="64"/>
    </row>
    <row r="4" spans="1:9" ht="34">
      <c r="A4">
        <v>3</v>
      </c>
      <c r="B4" t="s">
        <v>228</v>
      </c>
      <c r="C4" t="s">
        <v>229</v>
      </c>
      <c r="D4" t="s">
        <v>224</v>
      </c>
      <c r="E4">
        <v>5</v>
      </c>
      <c r="F4">
        <v>-999</v>
      </c>
      <c r="G4">
        <v>-999</v>
      </c>
      <c r="H4" s="64" t="s">
        <v>225</v>
      </c>
      <c r="I4" s="64"/>
    </row>
    <row r="5" spans="1:9">
      <c r="A5">
        <v>4</v>
      </c>
      <c r="B5" t="s">
        <v>230</v>
      </c>
      <c r="C5" t="s">
        <v>231</v>
      </c>
      <c r="D5" t="s">
        <v>224</v>
      </c>
      <c r="E5">
        <v>4</v>
      </c>
      <c r="F5">
        <v>-999</v>
      </c>
      <c r="G5">
        <v>-999</v>
      </c>
      <c r="H5" s="64"/>
      <c r="I5" s="64"/>
    </row>
    <row r="6" spans="1:9">
      <c r="A6">
        <v>5</v>
      </c>
      <c r="B6" t="s">
        <v>232</v>
      </c>
      <c r="C6" t="s">
        <v>233</v>
      </c>
      <c r="D6" t="s">
        <v>224</v>
      </c>
      <c r="E6">
        <v>2</v>
      </c>
      <c r="F6">
        <v>-999</v>
      </c>
      <c r="G6">
        <v>-999</v>
      </c>
      <c r="H6" s="64"/>
      <c r="I6" s="64"/>
    </row>
    <row r="7" spans="1:9">
      <c r="A7">
        <v>6</v>
      </c>
      <c r="B7" t="s">
        <v>234</v>
      </c>
      <c r="C7" t="s">
        <v>235</v>
      </c>
      <c r="D7" t="s">
        <v>224</v>
      </c>
      <c r="E7">
        <v>3</v>
      </c>
      <c r="F7">
        <v>-999</v>
      </c>
      <c r="G7">
        <v>-999</v>
      </c>
      <c r="H7" s="64"/>
      <c r="I7" s="64"/>
    </row>
    <row r="8" spans="1:9">
      <c r="A8">
        <v>7</v>
      </c>
      <c r="B8" t="s">
        <v>236</v>
      </c>
      <c r="C8" t="s">
        <v>237</v>
      </c>
      <c r="D8" t="s">
        <v>224</v>
      </c>
      <c r="E8">
        <v>13</v>
      </c>
      <c r="F8">
        <v>-999</v>
      </c>
      <c r="G8">
        <v>-999</v>
      </c>
      <c r="H8" s="64"/>
      <c r="I8" s="64"/>
    </row>
    <row r="9" spans="1:9">
      <c r="A9">
        <v>8</v>
      </c>
      <c r="B9" t="s">
        <v>238</v>
      </c>
      <c r="C9" t="s">
        <v>239</v>
      </c>
      <c r="D9" t="s">
        <v>224</v>
      </c>
      <c r="E9">
        <v>2</v>
      </c>
      <c r="F9">
        <v>-999</v>
      </c>
      <c r="G9">
        <v>-999</v>
      </c>
      <c r="H9" s="64"/>
      <c r="I9" s="64"/>
    </row>
    <row r="10" spans="1:9" ht="17">
      <c r="A10">
        <v>9</v>
      </c>
      <c r="B10" t="s">
        <v>240</v>
      </c>
      <c r="C10" t="s">
        <v>241</v>
      </c>
      <c r="D10" t="s">
        <v>224</v>
      </c>
      <c r="E10">
        <f>1/(14-9+1)</f>
        <v>0.16666666666666666</v>
      </c>
      <c r="F10">
        <v>-999</v>
      </c>
      <c r="G10">
        <v>-999</v>
      </c>
      <c r="H10" s="64" t="s">
        <v>242</v>
      </c>
      <c r="I10" s="64"/>
    </row>
    <row r="11" spans="1:9" ht="17">
      <c r="A11">
        <v>10</v>
      </c>
      <c r="B11" t="s">
        <v>243</v>
      </c>
      <c r="C11" t="s">
        <v>285</v>
      </c>
      <c r="D11" t="s">
        <v>224</v>
      </c>
      <c r="E11">
        <f>1/5</f>
        <v>0.2</v>
      </c>
      <c r="F11">
        <v>-999</v>
      </c>
      <c r="G11">
        <v>-999</v>
      </c>
      <c r="H11" s="64" t="s">
        <v>244</v>
      </c>
      <c r="I11" s="64"/>
    </row>
    <row r="12" spans="1:9" ht="17">
      <c r="A12">
        <v>11</v>
      </c>
      <c r="B12" t="s">
        <v>11</v>
      </c>
      <c r="C12" t="s">
        <v>11</v>
      </c>
      <c r="D12" t="s">
        <v>224</v>
      </c>
      <c r="E12">
        <v>-999</v>
      </c>
      <c r="F12">
        <v>-999</v>
      </c>
      <c r="G12">
        <v>-999</v>
      </c>
      <c r="H12" s="64" t="s">
        <v>245</v>
      </c>
      <c r="I12" s="64"/>
    </row>
    <row r="13" spans="1:9" ht="17">
      <c r="A13">
        <v>12</v>
      </c>
      <c r="B13" t="s">
        <v>11</v>
      </c>
      <c r="C13" t="s">
        <v>11</v>
      </c>
      <c r="D13" t="s">
        <v>224</v>
      </c>
      <c r="E13">
        <v>-999</v>
      </c>
      <c r="F13">
        <v>-999</v>
      </c>
      <c r="G13">
        <v>-999</v>
      </c>
      <c r="H13" s="64" t="s">
        <v>246</v>
      </c>
      <c r="I13" s="64"/>
    </row>
    <row r="14" spans="1:9" ht="17">
      <c r="A14">
        <v>13</v>
      </c>
      <c r="B14" t="s">
        <v>11</v>
      </c>
      <c r="C14" t="s">
        <v>11</v>
      </c>
      <c r="D14" t="s">
        <v>224</v>
      </c>
      <c r="E14">
        <v>-999</v>
      </c>
      <c r="F14">
        <v>-999</v>
      </c>
      <c r="G14">
        <v>-999</v>
      </c>
      <c r="H14" s="64" t="s">
        <v>247</v>
      </c>
      <c r="I14" s="64"/>
    </row>
    <row r="15" spans="1:9" ht="17">
      <c r="A15">
        <v>14</v>
      </c>
      <c r="B15" t="s">
        <v>248</v>
      </c>
      <c r="C15" t="s">
        <v>249</v>
      </c>
      <c r="D15" t="s">
        <v>250</v>
      </c>
      <c r="E15">
        <v>-999</v>
      </c>
      <c r="F15">
        <v>0.59</v>
      </c>
      <c r="G15">
        <v>0.65</v>
      </c>
      <c r="H15" s="64" t="s">
        <v>251</v>
      </c>
      <c r="I15" s="64" t="s">
        <v>252</v>
      </c>
    </row>
    <row r="16" spans="1:9" ht="17">
      <c r="A16">
        <v>15</v>
      </c>
      <c r="B16" t="s">
        <v>253</v>
      </c>
      <c r="C16" t="s">
        <v>254</v>
      </c>
      <c r="D16" t="s">
        <v>250</v>
      </c>
      <c r="E16">
        <v>-998</v>
      </c>
      <c r="F16">
        <v>4</v>
      </c>
      <c r="G16">
        <v>4.3</v>
      </c>
      <c r="I16" s="64" t="s">
        <v>252</v>
      </c>
    </row>
    <row r="17" spans="1:9" ht="17">
      <c r="A17">
        <v>16</v>
      </c>
      <c r="B17" t="s">
        <v>255</v>
      </c>
      <c r="C17" t="s">
        <v>256</v>
      </c>
      <c r="D17" t="s">
        <v>250</v>
      </c>
      <c r="E17">
        <v>-999</v>
      </c>
      <c r="F17">
        <v>0.63</v>
      </c>
      <c r="G17">
        <v>0.69</v>
      </c>
      <c r="H17" s="64" t="s">
        <v>251</v>
      </c>
      <c r="I17" s="64" t="s">
        <v>252</v>
      </c>
    </row>
    <row r="18" spans="1:9" ht="34">
      <c r="A18">
        <v>17</v>
      </c>
      <c r="B18" t="s">
        <v>257</v>
      </c>
      <c r="C18" t="s">
        <v>281</v>
      </c>
      <c r="D18" t="s">
        <v>250</v>
      </c>
      <c r="E18">
        <v>-999</v>
      </c>
      <c r="F18" s="64">
        <v>3.0000000000000001E-3</v>
      </c>
      <c r="G18" s="64">
        <v>4.0000000000000001E-3</v>
      </c>
      <c r="H18" s="64" t="s">
        <v>251</v>
      </c>
      <c r="I18" s="64" t="s">
        <v>258</v>
      </c>
    </row>
    <row r="19" spans="1:9" ht="34">
      <c r="A19">
        <v>18</v>
      </c>
      <c r="B19" t="s">
        <v>259</v>
      </c>
      <c r="C19" t="s">
        <v>282</v>
      </c>
      <c r="D19" t="s">
        <v>250</v>
      </c>
      <c r="E19">
        <v>-999</v>
      </c>
      <c r="F19" s="64">
        <v>3.0000000000000001E-3</v>
      </c>
      <c r="G19" s="64">
        <v>4.0000000000000001E-3</v>
      </c>
      <c r="H19" s="64" t="s">
        <v>251</v>
      </c>
      <c r="I19" s="64" t="s">
        <v>258</v>
      </c>
    </row>
    <row r="20" spans="1:9" ht="17">
      <c r="A20">
        <v>19</v>
      </c>
      <c r="B20" t="s">
        <v>260</v>
      </c>
      <c r="C20" t="s">
        <v>283</v>
      </c>
      <c r="D20" t="s">
        <v>250</v>
      </c>
      <c r="E20">
        <v>-999</v>
      </c>
      <c r="F20" s="64">
        <v>3.0000000000000001E-3</v>
      </c>
      <c r="G20" s="64">
        <v>4.0000000000000001E-3</v>
      </c>
      <c r="H20" s="64" t="s">
        <v>251</v>
      </c>
      <c r="I20" s="64" t="s">
        <v>252</v>
      </c>
    </row>
    <row r="21" spans="1:9" ht="34">
      <c r="A21">
        <v>20</v>
      </c>
      <c r="B21" t="s">
        <v>261</v>
      </c>
      <c r="C21" t="s">
        <v>286</v>
      </c>
      <c r="D21" t="s">
        <v>250</v>
      </c>
      <c r="E21">
        <v>-999</v>
      </c>
      <c r="F21" s="64">
        <v>3.0000000000000001E-3</v>
      </c>
      <c r="G21" s="64">
        <v>8.9999999999999993E-3</v>
      </c>
      <c r="H21" s="64" t="s">
        <v>251</v>
      </c>
      <c r="I21" s="64" t="s">
        <v>258</v>
      </c>
    </row>
    <row r="22" spans="1:9" ht="17">
      <c r="A22">
        <v>21</v>
      </c>
      <c r="B22" t="s">
        <v>262</v>
      </c>
      <c r="C22" t="s">
        <v>287</v>
      </c>
      <c r="D22" t="s">
        <v>250</v>
      </c>
      <c r="E22">
        <v>-999</v>
      </c>
      <c r="F22" s="64">
        <v>5.0000000000000001E-3</v>
      </c>
      <c r="G22" s="64">
        <v>8.9999999999999993E-3</v>
      </c>
      <c r="H22" s="64" t="s">
        <v>251</v>
      </c>
      <c r="I22" s="64" t="s">
        <v>252</v>
      </c>
    </row>
    <row r="23" spans="1:9">
      <c r="A23">
        <v>22</v>
      </c>
      <c r="B23" t="s">
        <v>273</v>
      </c>
      <c r="C23" t="s">
        <v>288</v>
      </c>
      <c r="D23" t="s">
        <v>250</v>
      </c>
      <c r="E23">
        <v>-999</v>
      </c>
      <c r="F23" s="64">
        <v>8.9999999999999993E-3</v>
      </c>
      <c r="G23" s="64">
        <v>1.4E-2</v>
      </c>
      <c r="H23" s="64"/>
      <c r="I23" s="64"/>
    </row>
    <row r="24" spans="1:9">
      <c r="A24">
        <v>23</v>
      </c>
      <c r="B24" t="s">
        <v>274</v>
      </c>
      <c r="C24" t="s">
        <v>289</v>
      </c>
      <c r="D24" t="s">
        <v>250</v>
      </c>
      <c r="E24">
        <v>-999</v>
      </c>
      <c r="F24" s="64">
        <v>8.9999999999999993E-3</v>
      </c>
      <c r="G24" s="64">
        <v>1.4999999999999999E-2</v>
      </c>
      <c r="H24" s="64"/>
      <c r="I24" s="64"/>
    </row>
    <row r="25" spans="1:9">
      <c r="A25">
        <v>24</v>
      </c>
      <c r="B25" t="s">
        <v>275</v>
      </c>
      <c r="C25" t="s">
        <v>290</v>
      </c>
      <c r="D25" t="s">
        <v>250</v>
      </c>
      <c r="E25">
        <v>-999</v>
      </c>
      <c r="F25" s="64">
        <v>1.6E-2</v>
      </c>
      <c r="G25" s="64">
        <v>2.3E-2</v>
      </c>
      <c r="H25" s="64"/>
      <c r="I25" s="64"/>
    </row>
    <row r="26" spans="1:9">
      <c r="A26">
        <v>25</v>
      </c>
      <c r="B26" t="s">
        <v>276</v>
      </c>
      <c r="C26" t="s">
        <v>291</v>
      </c>
      <c r="D26" t="s">
        <v>250</v>
      </c>
      <c r="E26">
        <v>-999</v>
      </c>
      <c r="F26" s="64">
        <v>1.6E-2</v>
      </c>
      <c r="G26" s="64">
        <v>2.3E-2</v>
      </c>
      <c r="H26" s="64"/>
      <c r="I26" s="64"/>
    </row>
    <row r="27" spans="1:9">
      <c r="A27">
        <v>26</v>
      </c>
      <c r="B27" t="s">
        <v>277</v>
      </c>
      <c r="C27" t="s">
        <v>292</v>
      </c>
      <c r="D27" t="s">
        <v>250</v>
      </c>
      <c r="E27">
        <v>-999</v>
      </c>
      <c r="F27" s="64">
        <v>2.5999999999999999E-2</v>
      </c>
      <c r="G27" s="64">
        <v>2.9000000000000001E-2</v>
      </c>
      <c r="I27" s="64"/>
    </row>
    <row r="28" spans="1:9">
      <c r="A28">
        <v>27</v>
      </c>
      <c r="B28" t="s">
        <v>278</v>
      </c>
      <c r="C28" t="s">
        <v>293</v>
      </c>
      <c r="D28" t="s">
        <v>250</v>
      </c>
      <c r="E28">
        <v>-999</v>
      </c>
      <c r="F28" s="64">
        <v>2.5999999999999999E-2</v>
      </c>
      <c r="G28" s="64">
        <v>2.9000000000000001E-2</v>
      </c>
    </row>
    <row r="29" spans="1:9">
      <c r="A29">
        <v>28</v>
      </c>
      <c r="B29" t="s">
        <v>279</v>
      </c>
      <c r="C29" t="s">
        <v>294</v>
      </c>
      <c r="D29" t="s">
        <v>250</v>
      </c>
      <c r="E29">
        <v>-999</v>
      </c>
      <c r="F29" s="64">
        <v>2.5999999999999999E-2</v>
      </c>
      <c r="G29" s="64">
        <v>2.9000000000000001E-2</v>
      </c>
    </row>
    <row r="30" spans="1:9">
      <c r="A30">
        <v>29</v>
      </c>
      <c r="B30" t="s">
        <v>280</v>
      </c>
      <c r="C30" t="s">
        <v>295</v>
      </c>
      <c r="D30" t="s">
        <v>250</v>
      </c>
      <c r="E30">
        <v>-999</v>
      </c>
      <c r="F30" s="64">
        <v>2.5999999999999999E-2</v>
      </c>
      <c r="G30" s="64">
        <v>3.5999999999999997E-2</v>
      </c>
    </row>
    <row r="31" spans="1:9" ht="68">
      <c r="A31">
        <v>30</v>
      </c>
      <c r="B31" t="s">
        <v>270</v>
      </c>
      <c r="C31" t="s">
        <v>271</v>
      </c>
      <c r="D31" t="s">
        <v>250</v>
      </c>
      <c r="E31">
        <v>-999</v>
      </c>
      <c r="F31">
        <v>1</v>
      </c>
      <c r="G31">
        <v>1.05</v>
      </c>
      <c r="H31" t="s">
        <v>272</v>
      </c>
      <c r="I31" s="64" t="s">
        <v>284</v>
      </c>
    </row>
    <row r="32" spans="1:9">
      <c r="A32" s="64">
        <v>31</v>
      </c>
      <c r="B32" t="s">
        <v>263</v>
      </c>
      <c r="C32" t="s">
        <v>264</v>
      </c>
      <c r="D32" t="s">
        <v>224</v>
      </c>
      <c r="E32">
        <v>1950</v>
      </c>
      <c r="F32">
        <v>-999</v>
      </c>
      <c r="G32">
        <v>-999</v>
      </c>
      <c r="H32">
        <v>-999</v>
      </c>
    </row>
    <row r="33" spans="1:8">
      <c r="A33" s="64">
        <v>32</v>
      </c>
      <c r="B33" t="s">
        <v>265</v>
      </c>
      <c r="C33" t="s">
        <v>266</v>
      </c>
      <c r="D33" t="s">
        <v>224</v>
      </c>
      <c r="E33">
        <v>170</v>
      </c>
      <c r="F33">
        <v>-999</v>
      </c>
      <c r="G33">
        <v>-999</v>
      </c>
      <c r="H33">
        <v>-999</v>
      </c>
    </row>
    <row r="34" spans="1:8">
      <c r="A34" s="64">
        <v>33</v>
      </c>
      <c r="B34" t="s">
        <v>267</v>
      </c>
      <c r="C34" t="s">
        <v>841</v>
      </c>
      <c r="D34" t="s">
        <v>224</v>
      </c>
      <c r="E34" s="109">
        <v>365</v>
      </c>
      <c r="F34">
        <v>-999</v>
      </c>
      <c r="G34">
        <v>-999</v>
      </c>
      <c r="H34">
        <v>-999</v>
      </c>
    </row>
    <row r="35" spans="1:8">
      <c r="A35" s="64">
        <v>34</v>
      </c>
      <c r="B35" t="s">
        <v>268</v>
      </c>
      <c r="C35" t="s">
        <v>269</v>
      </c>
      <c r="D35" t="s">
        <v>224</v>
      </c>
      <c r="E35">
        <f>E33*E34</f>
        <v>62050</v>
      </c>
      <c r="F35">
        <v>-999</v>
      </c>
      <c r="G35">
        <v>-999</v>
      </c>
      <c r="H35">
        <v>-999</v>
      </c>
    </row>
  </sheetData>
  <phoneticPr fontId="17"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1B06A2-C3E1-DB44-95CA-2632A127E8EE}">
  <dimension ref="A1:T34"/>
  <sheetViews>
    <sheetView workbookViewId="0">
      <selection activeCell="F20" sqref="F20"/>
    </sheetView>
  </sheetViews>
  <sheetFormatPr baseColWidth="10" defaultRowHeight="16"/>
  <cols>
    <col min="1" max="10" width="10.83203125" style="2"/>
    <col min="11" max="11" width="13.33203125" style="2" customWidth="1"/>
    <col min="12" max="12" width="24.6640625" style="2" customWidth="1"/>
    <col min="13" max="16384" width="10.83203125" style="2"/>
  </cols>
  <sheetData>
    <row r="1" spans="1:12">
      <c r="A1" s="2" t="s">
        <v>1</v>
      </c>
      <c r="B1" s="2" t="s">
        <v>2</v>
      </c>
      <c r="C1" s="2" t="s">
        <v>7</v>
      </c>
      <c r="D1" s="2" t="s">
        <v>34</v>
      </c>
      <c r="E1" s="2" t="s">
        <v>18</v>
      </c>
      <c r="F1" s="2" t="s">
        <v>13</v>
      </c>
      <c r="G1" s="2" t="s">
        <v>46</v>
      </c>
      <c r="H1" s="2" t="s">
        <v>14</v>
      </c>
      <c r="I1" s="2" t="s">
        <v>15</v>
      </c>
      <c r="J1" s="2" t="s">
        <v>43</v>
      </c>
      <c r="K1" s="2" t="s">
        <v>17</v>
      </c>
      <c r="L1" s="2" t="s">
        <v>16</v>
      </c>
    </row>
    <row r="2" spans="1:12">
      <c r="A2" s="2">
        <v>1996</v>
      </c>
      <c r="B2" s="2" t="s">
        <v>10</v>
      </c>
      <c r="C2" s="2" t="s">
        <v>40</v>
      </c>
      <c r="D2" s="2" t="s">
        <v>6</v>
      </c>
      <c r="E2" s="2">
        <v>416</v>
      </c>
      <c r="F2" s="2">
        <v>0.5</v>
      </c>
      <c r="G2" s="18">
        <f t="shared" ref="G2:G9" si="0">1.96*SQRT(F2*(1-F2)/E2)</f>
        <v>4.804845310885509E-2</v>
      </c>
      <c r="H2" s="18">
        <f>F2-G2</f>
        <v>0.45195154689114492</v>
      </c>
      <c r="I2" s="18">
        <f>F2+G2</f>
        <v>0.54804845310885508</v>
      </c>
      <c r="J2" s="18" t="s">
        <v>44</v>
      </c>
      <c r="K2" s="2" t="s">
        <v>20</v>
      </c>
      <c r="L2" s="2" t="s">
        <v>19</v>
      </c>
    </row>
    <row r="3" spans="1:12">
      <c r="A3" s="2">
        <v>1996</v>
      </c>
      <c r="B3" s="2" t="s">
        <v>10</v>
      </c>
      <c r="C3" s="2" t="s">
        <v>40</v>
      </c>
      <c r="D3" s="2" t="s">
        <v>6</v>
      </c>
      <c r="E3" s="2">
        <v>295</v>
      </c>
      <c r="F3" s="2">
        <v>0.46400000000000002</v>
      </c>
      <c r="G3" s="18">
        <f t="shared" si="0"/>
        <v>5.6909719952612195E-2</v>
      </c>
      <c r="H3" s="18">
        <f t="shared" ref="H3:H8" si="1">F3-G3</f>
        <v>0.40709028004738784</v>
      </c>
      <c r="I3" s="18">
        <f t="shared" ref="I3:I8" si="2">F3+G3</f>
        <v>0.52090971995261226</v>
      </c>
      <c r="J3" s="18" t="s">
        <v>44</v>
      </c>
      <c r="K3" s="2" t="s">
        <v>22</v>
      </c>
      <c r="L3" s="2" t="s">
        <v>21</v>
      </c>
    </row>
    <row r="4" spans="1:12">
      <c r="A4" s="19">
        <v>1998</v>
      </c>
      <c r="B4" s="2" t="s">
        <v>10</v>
      </c>
      <c r="C4" s="2" t="s">
        <v>40</v>
      </c>
      <c r="D4" s="2" t="s">
        <v>6</v>
      </c>
      <c r="E4" s="19">
        <v>121</v>
      </c>
      <c r="F4" s="19">
        <v>0.68600000000000005</v>
      </c>
      <c r="G4" s="18">
        <f t="shared" si="0"/>
        <v>8.2697097713571144E-2</v>
      </c>
      <c r="H4" s="18">
        <f t="shared" si="1"/>
        <v>0.60330290228642891</v>
      </c>
      <c r="I4" s="18">
        <f t="shared" si="2"/>
        <v>0.7686970977135712</v>
      </c>
      <c r="J4" s="18" t="s">
        <v>44</v>
      </c>
      <c r="K4" s="19" t="s">
        <v>24</v>
      </c>
      <c r="L4" s="19" t="s">
        <v>23</v>
      </c>
    </row>
    <row r="5" spans="1:12">
      <c r="A5" s="2">
        <v>2001</v>
      </c>
      <c r="B5" s="2" t="s">
        <v>10</v>
      </c>
      <c r="C5" s="2" t="s">
        <v>40</v>
      </c>
      <c r="D5" s="2" t="s">
        <v>6</v>
      </c>
      <c r="E5" s="2">
        <v>101</v>
      </c>
      <c r="F5" s="2">
        <v>0.78</v>
      </c>
      <c r="G5" s="18">
        <f t="shared" si="0"/>
        <v>8.0789333674957137E-2</v>
      </c>
      <c r="H5" s="18">
        <f t="shared" si="1"/>
        <v>0.69921066632504292</v>
      </c>
      <c r="I5" s="18">
        <f t="shared" si="2"/>
        <v>0.86078933367495714</v>
      </c>
      <c r="J5" s="18" t="s">
        <v>44</v>
      </c>
      <c r="K5" s="2" t="s">
        <v>24</v>
      </c>
      <c r="L5" s="2" t="s">
        <v>25</v>
      </c>
    </row>
    <row r="6" spans="1:12">
      <c r="A6" s="2">
        <v>2004</v>
      </c>
      <c r="B6" s="2" t="s">
        <v>10</v>
      </c>
      <c r="C6" s="2" t="s">
        <v>40</v>
      </c>
      <c r="D6" s="2" t="s">
        <v>6</v>
      </c>
      <c r="E6" s="2">
        <v>775</v>
      </c>
      <c r="F6" s="2">
        <v>0.59599999999999997</v>
      </c>
      <c r="G6" s="18">
        <f t="shared" si="0"/>
        <v>3.4547691476024565E-2</v>
      </c>
      <c r="H6" s="18">
        <f t="shared" si="1"/>
        <v>0.56145230852397543</v>
      </c>
      <c r="I6" s="18">
        <f t="shared" si="2"/>
        <v>0.63054769147602452</v>
      </c>
      <c r="J6" s="18" t="s">
        <v>44</v>
      </c>
      <c r="K6" s="2" t="s">
        <v>27</v>
      </c>
      <c r="L6" s="2" t="s">
        <v>26</v>
      </c>
    </row>
    <row r="7" spans="1:12">
      <c r="A7" s="2">
        <v>2005</v>
      </c>
      <c r="B7" s="2" t="s">
        <v>10</v>
      </c>
      <c r="C7" s="2" t="s">
        <v>40</v>
      </c>
      <c r="D7" s="2" t="s">
        <v>6</v>
      </c>
      <c r="E7" s="2">
        <v>276</v>
      </c>
      <c r="F7" s="2">
        <v>0.59099999999999997</v>
      </c>
      <c r="G7" s="18">
        <f t="shared" si="0"/>
        <v>5.8003863889287209E-2</v>
      </c>
      <c r="H7" s="18">
        <f t="shared" si="1"/>
        <v>0.53299613611071273</v>
      </c>
      <c r="I7" s="18">
        <f t="shared" si="2"/>
        <v>0.64900386388928721</v>
      </c>
      <c r="J7" s="18" t="s">
        <v>44</v>
      </c>
      <c r="K7" s="2" t="s">
        <v>29</v>
      </c>
      <c r="L7" s="2" t="s">
        <v>28</v>
      </c>
    </row>
    <row r="8" spans="1:12">
      <c r="A8" s="2">
        <v>2012</v>
      </c>
      <c r="B8" s="2" t="s">
        <v>10</v>
      </c>
      <c r="C8" s="2" t="s">
        <v>40</v>
      </c>
      <c r="D8" s="2" t="s">
        <v>6</v>
      </c>
      <c r="E8" s="2">
        <v>349</v>
      </c>
      <c r="F8" s="2">
        <v>0.66900000000000004</v>
      </c>
      <c r="G8" s="18">
        <f t="shared" si="0"/>
        <v>4.9370828318200367E-2</v>
      </c>
      <c r="H8" s="18">
        <f t="shared" si="1"/>
        <v>0.61962917168179965</v>
      </c>
      <c r="I8" s="18">
        <f t="shared" si="2"/>
        <v>0.71837082831820043</v>
      </c>
      <c r="J8" s="18" t="s">
        <v>44</v>
      </c>
      <c r="K8" s="2" t="s">
        <v>27</v>
      </c>
      <c r="L8" s="2" t="s">
        <v>30</v>
      </c>
    </row>
    <row r="9" spans="1:12">
      <c r="A9" s="2">
        <v>2014</v>
      </c>
      <c r="B9" s="2" t="s">
        <v>10</v>
      </c>
      <c r="C9" s="2" t="s">
        <v>40</v>
      </c>
      <c r="D9" s="2" t="s">
        <v>6</v>
      </c>
      <c r="E9" s="2">
        <v>410</v>
      </c>
      <c r="F9" s="2">
        <v>0.61499999999999999</v>
      </c>
      <c r="G9" s="18">
        <f t="shared" si="0"/>
        <v>4.7101210175535826E-2</v>
      </c>
      <c r="H9" s="18">
        <f>F9-G9</f>
        <v>0.56789878982446418</v>
      </c>
      <c r="I9" s="18">
        <f>F9+G9</f>
        <v>0.6621012101755358</v>
      </c>
      <c r="J9" s="18" t="s">
        <v>44</v>
      </c>
      <c r="K9" s="2" t="s">
        <v>33</v>
      </c>
      <c r="L9" s="2" t="s">
        <v>32</v>
      </c>
    </row>
    <row r="10" spans="1:12">
      <c r="A10" s="2">
        <v>2013</v>
      </c>
      <c r="B10" s="2" t="s">
        <v>10</v>
      </c>
      <c r="C10" s="2" t="s">
        <v>40</v>
      </c>
      <c r="D10" s="2" t="s">
        <v>6</v>
      </c>
      <c r="E10" s="2">
        <v>764</v>
      </c>
      <c r="F10" s="2">
        <v>0.71799999999999997</v>
      </c>
      <c r="G10" s="18" t="s">
        <v>11</v>
      </c>
      <c r="H10" s="18">
        <v>0.56499999999999995</v>
      </c>
      <c r="I10" s="18">
        <v>0.81200000000000006</v>
      </c>
      <c r="J10" s="18" t="s">
        <v>44</v>
      </c>
      <c r="K10" s="2" t="s">
        <v>22</v>
      </c>
      <c r="L10" s="2" t="s">
        <v>37</v>
      </c>
    </row>
    <row r="11" spans="1:12">
      <c r="A11" s="2">
        <v>2013</v>
      </c>
      <c r="B11" s="2" t="s">
        <v>10</v>
      </c>
      <c r="C11" s="2" t="s">
        <v>40</v>
      </c>
      <c r="D11" s="2" t="s">
        <v>6</v>
      </c>
      <c r="E11" s="2">
        <v>650</v>
      </c>
      <c r="F11" s="2">
        <v>0.39700000000000002</v>
      </c>
      <c r="G11" s="18" t="s">
        <v>11</v>
      </c>
      <c r="H11" s="18">
        <v>0.30099999999999999</v>
      </c>
      <c r="I11" s="18">
        <v>0.498</v>
      </c>
      <c r="J11" s="18" t="s">
        <v>44</v>
      </c>
      <c r="K11" s="2" t="s">
        <v>31</v>
      </c>
      <c r="L11" s="2" t="s">
        <v>37</v>
      </c>
    </row>
    <row r="12" spans="1:12">
      <c r="A12" s="2">
        <v>2013</v>
      </c>
      <c r="B12" s="2" t="s">
        <v>10</v>
      </c>
      <c r="C12" s="2" t="s">
        <v>40</v>
      </c>
      <c r="D12" s="2" t="s">
        <v>6</v>
      </c>
      <c r="E12" s="2">
        <v>766</v>
      </c>
      <c r="F12" s="2">
        <v>0.53500000000000003</v>
      </c>
      <c r="G12" s="18" t="s">
        <v>11</v>
      </c>
      <c r="H12" s="18">
        <v>0.375</v>
      </c>
      <c r="I12" s="18">
        <v>0.65600000000000003</v>
      </c>
      <c r="J12" s="18" t="s">
        <v>44</v>
      </c>
      <c r="K12" s="2" t="s">
        <v>27</v>
      </c>
      <c r="L12" s="2" t="s">
        <v>37</v>
      </c>
    </row>
    <row r="13" spans="1:12">
      <c r="A13" s="2">
        <v>2015</v>
      </c>
      <c r="B13" s="2" t="s">
        <v>10</v>
      </c>
      <c r="C13" s="2" t="s">
        <v>11</v>
      </c>
      <c r="D13" s="2" t="s">
        <v>6</v>
      </c>
      <c r="E13" s="2" t="s">
        <v>11</v>
      </c>
      <c r="F13" s="2">
        <v>0.57699999999999996</v>
      </c>
      <c r="G13" s="18" t="s">
        <v>11</v>
      </c>
      <c r="H13" s="18" t="s">
        <v>11</v>
      </c>
      <c r="I13" s="18" t="s">
        <v>11</v>
      </c>
      <c r="J13" s="18" t="s">
        <v>44</v>
      </c>
      <c r="K13" s="2" t="s">
        <v>82</v>
      </c>
      <c r="L13" t="s">
        <v>83</v>
      </c>
    </row>
    <row r="14" spans="1:12">
      <c r="A14" s="2">
        <v>2013</v>
      </c>
      <c r="B14" s="2" t="s">
        <v>10</v>
      </c>
      <c r="C14" s="2" t="s">
        <v>41</v>
      </c>
      <c r="D14" s="2" t="s">
        <v>6</v>
      </c>
      <c r="E14" s="2" t="s">
        <v>11</v>
      </c>
      <c r="F14" s="2">
        <v>0.59</v>
      </c>
      <c r="G14" s="2" t="s">
        <v>11</v>
      </c>
      <c r="H14" s="2">
        <v>0.26100000000000001</v>
      </c>
      <c r="I14" s="2">
        <v>0.77200000000000002</v>
      </c>
      <c r="J14" s="18" t="s">
        <v>44</v>
      </c>
      <c r="K14" s="2" t="s">
        <v>22</v>
      </c>
      <c r="L14" s="2" t="s">
        <v>37</v>
      </c>
    </row>
    <row r="15" spans="1:12">
      <c r="A15" s="2">
        <v>2013</v>
      </c>
      <c r="B15" s="2" t="s">
        <v>10</v>
      </c>
      <c r="C15" s="2" t="s">
        <v>39</v>
      </c>
      <c r="D15" s="2" t="s">
        <v>6</v>
      </c>
      <c r="E15" s="2" t="s">
        <v>11</v>
      </c>
      <c r="F15" s="2">
        <v>0.78800000000000003</v>
      </c>
      <c r="G15" s="2" t="s">
        <v>11</v>
      </c>
      <c r="H15" s="2">
        <v>0.628</v>
      </c>
      <c r="I15" s="2">
        <v>0.89300000000000002</v>
      </c>
      <c r="J15" s="18" t="s">
        <v>44</v>
      </c>
      <c r="K15" s="2" t="s">
        <v>22</v>
      </c>
      <c r="L15" s="2" t="s">
        <v>37</v>
      </c>
    </row>
    <row r="16" spans="1:12">
      <c r="A16" s="2">
        <v>2013</v>
      </c>
      <c r="B16" s="2" t="s">
        <v>10</v>
      </c>
      <c r="C16" s="2" t="s">
        <v>41</v>
      </c>
      <c r="D16" s="2" t="s">
        <v>6</v>
      </c>
      <c r="E16" s="2" t="s">
        <v>11</v>
      </c>
      <c r="F16" s="2">
        <v>0.39700000000000002</v>
      </c>
      <c r="G16" s="2" t="s">
        <v>11</v>
      </c>
      <c r="H16" s="2">
        <v>0.22600000000000001</v>
      </c>
      <c r="I16" s="2">
        <v>0.52500000000000002</v>
      </c>
      <c r="J16" s="18" t="s">
        <v>44</v>
      </c>
      <c r="K16" s="2" t="s">
        <v>31</v>
      </c>
      <c r="L16" s="2" t="s">
        <v>37</v>
      </c>
    </row>
    <row r="17" spans="1:12">
      <c r="A17" s="2">
        <v>2013</v>
      </c>
      <c r="B17" s="2" t="s">
        <v>10</v>
      </c>
      <c r="C17" s="2" t="s">
        <v>39</v>
      </c>
      <c r="D17" s="2" t="s">
        <v>6</v>
      </c>
      <c r="E17" s="2" t="s">
        <v>11</v>
      </c>
      <c r="F17" s="2">
        <v>0.40400000000000003</v>
      </c>
      <c r="G17" s="2" t="s">
        <v>11</v>
      </c>
      <c r="H17" s="2">
        <v>0.29099999999999998</v>
      </c>
      <c r="I17" s="2">
        <v>0.53200000000000003</v>
      </c>
      <c r="J17" s="18" t="s">
        <v>44</v>
      </c>
      <c r="K17" s="2" t="s">
        <v>31</v>
      </c>
      <c r="L17" s="2" t="s">
        <v>37</v>
      </c>
    </row>
    <row r="18" spans="1:12">
      <c r="A18" s="2">
        <v>2013</v>
      </c>
      <c r="B18" s="2" t="s">
        <v>10</v>
      </c>
      <c r="C18" s="2" t="s">
        <v>41</v>
      </c>
      <c r="D18" s="2" t="s">
        <v>6</v>
      </c>
      <c r="E18" s="2" t="s">
        <v>11</v>
      </c>
      <c r="F18" s="2">
        <v>0.46899999999999997</v>
      </c>
      <c r="G18" s="2" t="s">
        <v>11</v>
      </c>
      <c r="H18" s="2">
        <v>0.15</v>
      </c>
      <c r="I18" s="2">
        <v>0.49299999999999999</v>
      </c>
      <c r="J18" s="18" t="s">
        <v>44</v>
      </c>
      <c r="K18" s="2" t="s">
        <v>27</v>
      </c>
      <c r="L18" s="2" t="s">
        <v>37</v>
      </c>
    </row>
    <row r="19" spans="1:12">
      <c r="A19" s="2">
        <v>2013</v>
      </c>
      <c r="B19" s="2" t="s">
        <v>10</v>
      </c>
      <c r="C19" s="2" t="s">
        <v>39</v>
      </c>
      <c r="D19" s="2" t="s">
        <v>6</v>
      </c>
      <c r="E19" s="2" t="s">
        <v>11</v>
      </c>
      <c r="F19" s="2">
        <v>0.79200000000000004</v>
      </c>
      <c r="G19" s="2" t="s">
        <v>11</v>
      </c>
      <c r="H19" s="2">
        <v>0.51900000000000002</v>
      </c>
      <c r="I19" s="2">
        <v>0.84199999999999997</v>
      </c>
      <c r="J19" s="18" t="s">
        <v>44</v>
      </c>
      <c r="K19" s="2" t="s">
        <v>27</v>
      </c>
      <c r="L19" s="2" t="s">
        <v>37</v>
      </c>
    </row>
    <row r="20" spans="1:12">
      <c r="A20" s="2">
        <v>2015</v>
      </c>
      <c r="B20" s="2" t="s">
        <v>10</v>
      </c>
      <c r="C20" s="2" t="s">
        <v>133</v>
      </c>
      <c r="D20" s="2" t="s">
        <v>6</v>
      </c>
      <c r="E20" s="2">
        <v>692</v>
      </c>
      <c r="F20" s="2">
        <f>341/692</f>
        <v>0.49277456647398843</v>
      </c>
      <c r="G20" s="18">
        <f>1.96*SQRT(F20*(1-F20)/E20)</f>
        <v>3.7250120107126139E-2</v>
      </c>
      <c r="H20" s="18">
        <f>F20-G20</f>
        <v>0.45552444636686229</v>
      </c>
      <c r="I20" s="18">
        <f>F20+G20</f>
        <v>0.53002468658111457</v>
      </c>
      <c r="J20" s="18" t="s">
        <v>44</v>
      </c>
      <c r="K20" s="2" t="s">
        <v>131</v>
      </c>
      <c r="L20" s="2" t="s">
        <v>132</v>
      </c>
    </row>
    <row r="21" spans="1:12">
      <c r="A21" s="32">
        <v>1996</v>
      </c>
      <c r="B21" s="32" t="s">
        <v>10</v>
      </c>
      <c r="C21" s="32" t="s">
        <v>88</v>
      </c>
      <c r="D21" s="32" t="s">
        <v>6</v>
      </c>
      <c r="E21" s="32" t="s">
        <v>11</v>
      </c>
      <c r="F21" s="32" t="s">
        <v>11</v>
      </c>
      <c r="G21" s="32" t="s">
        <v>11</v>
      </c>
      <c r="H21" s="32">
        <v>0.4</v>
      </c>
      <c r="I21" s="32">
        <v>0.6</v>
      </c>
      <c r="J21" s="32" t="s">
        <v>45</v>
      </c>
      <c r="K21" s="32" t="s">
        <v>206</v>
      </c>
      <c r="L21" s="32" t="s">
        <v>207</v>
      </c>
    </row>
    <row r="22" spans="1:12">
      <c r="A22" s="32">
        <v>2001</v>
      </c>
      <c r="B22" s="32" t="s">
        <v>10</v>
      </c>
      <c r="C22" s="32" t="s">
        <v>88</v>
      </c>
      <c r="D22" s="32" t="s">
        <v>6</v>
      </c>
      <c r="E22" s="32" t="s">
        <v>11</v>
      </c>
      <c r="F22" s="32" t="s">
        <v>11</v>
      </c>
      <c r="G22" s="32" t="s">
        <v>11</v>
      </c>
      <c r="H22" s="32">
        <v>0.5</v>
      </c>
      <c r="I22" s="32">
        <v>0.85</v>
      </c>
      <c r="J22" s="32" t="s">
        <v>45</v>
      </c>
      <c r="K22" s="32"/>
      <c r="L22" s="32"/>
    </row>
    <row r="23" spans="1:12">
      <c r="A23" s="32">
        <v>2013</v>
      </c>
      <c r="B23" s="32" t="s">
        <v>10</v>
      </c>
      <c r="C23" s="32" t="s">
        <v>88</v>
      </c>
      <c r="D23" s="32" t="s">
        <v>6</v>
      </c>
      <c r="E23" s="32" t="s">
        <v>11</v>
      </c>
      <c r="F23" s="32" t="s">
        <v>11</v>
      </c>
      <c r="G23" s="32" t="s">
        <v>11</v>
      </c>
      <c r="H23" s="32">
        <v>0.45</v>
      </c>
      <c r="I23" s="32">
        <v>0.7</v>
      </c>
      <c r="J23" s="32" t="s">
        <v>45</v>
      </c>
      <c r="K23" s="32"/>
      <c r="L23" s="32"/>
    </row>
    <row r="33" spans="6:20">
      <c r="F33" s="21"/>
      <c r="G33" s="21"/>
      <c r="H33" s="21"/>
      <c r="I33" s="21"/>
      <c r="J33" s="21"/>
      <c r="K33" s="22"/>
      <c r="L33" s="21"/>
      <c r="M33" s="21"/>
      <c r="N33" s="21"/>
      <c r="O33" s="21"/>
      <c r="P33" s="22"/>
      <c r="Q33" s="21"/>
      <c r="R33" s="21"/>
      <c r="S33" s="21"/>
      <c r="T33" s="21"/>
    </row>
    <row r="34" spans="6:20">
      <c r="F34" s="21"/>
      <c r="G34" s="21"/>
      <c r="H34" s="21"/>
      <c r="I34" s="21"/>
      <c r="J34" s="21"/>
      <c r="K34" s="21"/>
      <c r="L34" s="21"/>
      <c r="M34" s="21"/>
      <c r="N34" s="21"/>
      <c r="O34" s="21"/>
      <c r="P34" s="21"/>
      <c r="Q34" s="21"/>
      <c r="R34" s="21"/>
      <c r="S34"/>
      <c r="T34"/>
    </row>
  </sheetData>
  <pageMargins left="0.7" right="0.7" top="0.75" bottom="0.75" header="0.3" footer="0.3"/>
  <pageSetup orientation="portrait" horizontalDpi="0" verticalDpi="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6CAC17-E6C3-7B49-A47F-6A13A167B601}">
  <dimension ref="A1:O47"/>
  <sheetViews>
    <sheetView workbookViewId="0">
      <pane xSplit="3" ySplit="1" topLeftCell="D2" activePane="bottomRight" state="frozen"/>
      <selection pane="topRight" activeCell="D1" sqref="D1"/>
      <selection pane="bottomLeft" activeCell="A2" sqref="A2"/>
      <selection pane="bottomRight" activeCell="K44" sqref="K44"/>
    </sheetView>
  </sheetViews>
  <sheetFormatPr baseColWidth="10" defaultRowHeight="16"/>
  <cols>
    <col min="1" max="3" width="10.83203125" style="2"/>
    <col min="4" max="4" width="14.33203125" style="2" customWidth="1"/>
    <col min="5" max="11" width="10.83203125" style="2"/>
    <col min="12" max="12" width="29.1640625" style="2" customWidth="1"/>
    <col min="13" max="13" width="10.83203125" style="2"/>
    <col min="14" max="14" width="13.6640625" style="2" customWidth="1"/>
    <col min="15" max="16384" width="10.83203125" style="2"/>
  </cols>
  <sheetData>
    <row r="1" spans="1:15">
      <c r="A1" s="2" t="s">
        <v>1</v>
      </c>
      <c r="B1" s="2" t="s">
        <v>2</v>
      </c>
      <c r="C1" s="2" t="s">
        <v>7</v>
      </c>
      <c r="D1" s="20" t="s">
        <v>190</v>
      </c>
      <c r="E1" s="20" t="s">
        <v>191</v>
      </c>
      <c r="F1" s="20" t="s">
        <v>192</v>
      </c>
      <c r="G1" s="32" t="s">
        <v>36</v>
      </c>
      <c r="H1" s="32" t="s">
        <v>47</v>
      </c>
      <c r="I1" s="32" t="s">
        <v>48</v>
      </c>
      <c r="J1" s="2" t="s">
        <v>17</v>
      </c>
      <c r="K1" s="2" t="s">
        <v>16</v>
      </c>
      <c r="L1" s="2" t="s">
        <v>0</v>
      </c>
    </row>
    <row r="2" spans="1:15">
      <c r="A2" s="2">
        <v>2013</v>
      </c>
      <c r="B2" s="2" t="s">
        <v>6</v>
      </c>
      <c r="C2" s="2" t="s">
        <v>40</v>
      </c>
      <c r="D2" s="2">
        <v>0.23400000000000001</v>
      </c>
      <c r="E2" s="2">
        <v>8.7999999999999995E-2</v>
      </c>
      <c r="F2" s="2">
        <v>0.50600000000000001</v>
      </c>
      <c r="G2" s="2" t="s">
        <v>11</v>
      </c>
      <c r="H2" s="2" t="s">
        <v>11</v>
      </c>
      <c r="I2" s="2" t="s">
        <v>11</v>
      </c>
      <c r="J2" s="2" t="s">
        <v>22</v>
      </c>
      <c r="K2" s="2" t="s">
        <v>38</v>
      </c>
      <c r="L2" s="2" t="s">
        <v>101</v>
      </c>
    </row>
    <row r="3" spans="1:15">
      <c r="A3" s="2">
        <v>2013</v>
      </c>
      <c r="B3" s="2" t="s">
        <v>6</v>
      </c>
      <c r="C3" s="2" t="s">
        <v>40</v>
      </c>
      <c r="D3" s="2">
        <v>0.45300000000000001</v>
      </c>
      <c r="E3" s="2">
        <v>0.25800000000000001</v>
      </c>
      <c r="F3" s="2">
        <v>0.68600000000000005</v>
      </c>
      <c r="G3" s="2" t="s">
        <v>11</v>
      </c>
      <c r="H3" s="2" t="s">
        <v>11</v>
      </c>
      <c r="I3" s="2" t="s">
        <v>11</v>
      </c>
      <c r="J3" s="2" t="s">
        <v>31</v>
      </c>
      <c r="K3" s="2" t="s">
        <v>38</v>
      </c>
      <c r="L3" s="2" t="s">
        <v>87</v>
      </c>
    </row>
    <row r="4" spans="1:15">
      <c r="A4" s="2">
        <v>2013</v>
      </c>
      <c r="B4" s="2" t="s">
        <v>6</v>
      </c>
      <c r="C4" s="2" t="s">
        <v>40</v>
      </c>
      <c r="D4" s="2">
        <v>0.35899999999999999</v>
      </c>
      <c r="E4" s="2">
        <v>0.26300000000000001</v>
      </c>
      <c r="F4" s="2">
        <v>0.51700000000000002</v>
      </c>
      <c r="G4" s="2" t="s">
        <v>11</v>
      </c>
      <c r="H4" s="2" t="s">
        <v>11</v>
      </c>
      <c r="I4" s="2" t="s">
        <v>11</v>
      </c>
      <c r="J4" s="2" t="s">
        <v>27</v>
      </c>
      <c r="K4" s="2" t="s">
        <v>38</v>
      </c>
      <c r="L4" s="2" t="s">
        <v>87</v>
      </c>
    </row>
    <row r="5" spans="1:15">
      <c r="A5" s="2">
        <v>2017</v>
      </c>
      <c r="B5" s="2" t="s">
        <v>6</v>
      </c>
      <c r="C5" s="2" t="s">
        <v>11</v>
      </c>
      <c r="D5" s="2">
        <v>0.23599999999999999</v>
      </c>
      <c r="E5" s="2" t="s">
        <v>11</v>
      </c>
      <c r="F5" s="2" t="s">
        <v>11</v>
      </c>
      <c r="G5" s="2" t="s">
        <v>11</v>
      </c>
      <c r="H5" s="2" t="s">
        <v>11</v>
      </c>
      <c r="I5" s="2" t="s">
        <v>11</v>
      </c>
      <c r="J5" s="2" t="s">
        <v>82</v>
      </c>
      <c r="K5" s="2" t="s">
        <v>81</v>
      </c>
    </row>
    <row r="6" spans="1:15">
      <c r="A6" s="2">
        <v>2013</v>
      </c>
      <c r="B6" s="2" t="s">
        <v>6</v>
      </c>
      <c r="C6" s="2" t="s">
        <v>40</v>
      </c>
      <c r="D6" s="2" t="s">
        <v>11</v>
      </c>
      <c r="E6" s="2">
        <v>0.23400000000000001</v>
      </c>
      <c r="F6" s="2">
        <v>0.68600000000000005</v>
      </c>
      <c r="G6" s="2" t="s">
        <v>11</v>
      </c>
      <c r="H6" s="2" t="s">
        <v>11</v>
      </c>
      <c r="I6" s="2" t="s">
        <v>11</v>
      </c>
      <c r="J6" s="2" t="s">
        <v>11</v>
      </c>
      <c r="K6" s="2" t="s">
        <v>42</v>
      </c>
      <c r="L6" s="2" t="s">
        <v>35</v>
      </c>
    </row>
    <row r="7" spans="1:15">
      <c r="A7" s="2">
        <v>2010</v>
      </c>
      <c r="B7" s="2" t="s">
        <v>3</v>
      </c>
      <c r="C7" s="2" t="s">
        <v>88</v>
      </c>
      <c r="D7" s="2">
        <v>0.24</v>
      </c>
      <c r="E7" s="2">
        <v>0.21</v>
      </c>
      <c r="F7" s="2">
        <v>0.27</v>
      </c>
      <c r="G7" s="2">
        <v>0.22</v>
      </c>
      <c r="H7" s="2">
        <v>0.2</v>
      </c>
      <c r="I7" s="2">
        <v>0.24</v>
      </c>
      <c r="J7" s="2" t="s">
        <v>82</v>
      </c>
      <c r="K7" s="2" t="s">
        <v>86</v>
      </c>
      <c r="M7" s="42"/>
      <c r="N7" s="42"/>
      <c r="O7" s="42"/>
    </row>
    <row r="8" spans="1:15">
      <c r="A8" s="2">
        <v>2011</v>
      </c>
      <c r="B8" s="2" t="s">
        <v>3</v>
      </c>
      <c r="C8" s="2" t="s">
        <v>88</v>
      </c>
      <c r="D8" s="2">
        <v>0.31</v>
      </c>
      <c r="E8" s="2">
        <v>0.28000000000000003</v>
      </c>
      <c r="F8" s="2">
        <v>0.35</v>
      </c>
      <c r="G8" s="2">
        <v>0.28999999999999998</v>
      </c>
      <c r="H8" s="2">
        <v>0.26</v>
      </c>
      <c r="I8" s="2">
        <v>0.31</v>
      </c>
      <c r="J8" s="2" t="s">
        <v>82</v>
      </c>
      <c r="K8" s="2" t="s">
        <v>86</v>
      </c>
      <c r="M8" s="42"/>
      <c r="N8" s="42"/>
      <c r="O8" s="42"/>
    </row>
    <row r="9" spans="1:15">
      <c r="A9" s="2">
        <v>2012</v>
      </c>
      <c r="B9" s="2" t="s">
        <v>3</v>
      </c>
      <c r="C9" s="2" t="s">
        <v>88</v>
      </c>
      <c r="D9" s="2">
        <v>0.37</v>
      </c>
      <c r="E9" s="2">
        <v>0.34</v>
      </c>
      <c r="F9" s="2">
        <v>0.42</v>
      </c>
      <c r="G9" s="2">
        <v>0.35</v>
      </c>
      <c r="H9" s="2">
        <v>0.32</v>
      </c>
      <c r="I9" s="2">
        <v>0.38</v>
      </c>
      <c r="J9" s="2" t="s">
        <v>82</v>
      </c>
      <c r="K9" s="2" t="s">
        <v>86</v>
      </c>
      <c r="M9" s="42"/>
      <c r="N9" s="42"/>
      <c r="O9" s="42"/>
    </row>
    <row r="10" spans="1:15">
      <c r="A10" s="2">
        <v>2013</v>
      </c>
      <c r="B10" s="2" t="s">
        <v>3</v>
      </c>
      <c r="C10" s="2" t="s">
        <v>88</v>
      </c>
      <c r="D10" s="2">
        <v>0.42</v>
      </c>
      <c r="E10" s="2">
        <v>0.38</v>
      </c>
      <c r="F10" s="2">
        <v>0.46</v>
      </c>
      <c r="G10" s="2">
        <v>0.41</v>
      </c>
      <c r="H10" s="2">
        <v>0.37</v>
      </c>
      <c r="I10" s="2">
        <v>0.44</v>
      </c>
      <c r="J10" s="2" t="s">
        <v>82</v>
      </c>
      <c r="K10" s="2" t="s">
        <v>86</v>
      </c>
      <c r="M10" s="42"/>
      <c r="N10" s="42"/>
      <c r="O10" s="42"/>
    </row>
    <row r="11" spans="1:15">
      <c r="A11" s="2">
        <v>2014</v>
      </c>
      <c r="B11" s="2" t="s">
        <v>3</v>
      </c>
      <c r="C11" s="2" t="s">
        <v>88</v>
      </c>
      <c r="D11" s="2">
        <v>0.47</v>
      </c>
      <c r="E11" s="2">
        <v>0.42</v>
      </c>
      <c r="F11" s="2">
        <v>0.52</v>
      </c>
      <c r="G11" s="2">
        <v>0.45</v>
      </c>
      <c r="H11" s="2">
        <v>0.41</v>
      </c>
      <c r="I11" s="2">
        <v>0.49</v>
      </c>
      <c r="J11" s="2" t="s">
        <v>82</v>
      </c>
      <c r="K11" s="2" t="s">
        <v>86</v>
      </c>
      <c r="M11" s="42"/>
      <c r="N11" s="42"/>
      <c r="O11" s="42"/>
    </row>
    <row r="12" spans="1:15">
      <c r="A12" s="2">
        <v>2015</v>
      </c>
      <c r="B12" s="2" t="s">
        <v>3</v>
      </c>
      <c r="C12" s="2" t="s">
        <v>88</v>
      </c>
      <c r="D12" s="2">
        <v>0.52</v>
      </c>
      <c r="E12" s="2">
        <v>0.47</v>
      </c>
      <c r="F12" s="2">
        <v>0.56999999999999995</v>
      </c>
      <c r="G12" s="2">
        <v>0.49</v>
      </c>
      <c r="H12" s="2">
        <v>0.45</v>
      </c>
      <c r="I12" s="2">
        <v>0.53</v>
      </c>
      <c r="J12" s="2" t="s">
        <v>82</v>
      </c>
      <c r="K12" s="2" t="s">
        <v>86</v>
      </c>
      <c r="M12" s="42"/>
      <c r="N12" s="42"/>
      <c r="O12" s="42"/>
    </row>
    <row r="13" spans="1:15">
      <c r="A13" s="2">
        <v>2016</v>
      </c>
      <c r="B13" s="2" t="s">
        <v>3</v>
      </c>
      <c r="C13" s="2" t="s">
        <v>88</v>
      </c>
      <c r="D13" s="2">
        <v>0.55000000000000004</v>
      </c>
      <c r="E13" s="2">
        <v>0.51</v>
      </c>
      <c r="F13" s="2">
        <v>0.61</v>
      </c>
      <c r="G13" s="2">
        <v>0.53</v>
      </c>
      <c r="H13" s="2">
        <v>0.48</v>
      </c>
      <c r="I13" s="2">
        <v>0.56000000000000005</v>
      </c>
      <c r="J13" s="2" t="s">
        <v>82</v>
      </c>
      <c r="K13" s="2" t="s">
        <v>86</v>
      </c>
      <c r="L13" s="23"/>
      <c r="M13" s="42"/>
      <c r="N13" s="42"/>
      <c r="O13" s="42"/>
    </row>
    <row r="14" spans="1:15">
      <c r="A14" s="2">
        <v>2017</v>
      </c>
      <c r="B14" s="2" t="s">
        <v>3</v>
      </c>
      <c r="C14" s="2" t="s">
        <v>88</v>
      </c>
      <c r="D14" s="2">
        <v>0.61</v>
      </c>
      <c r="E14" s="2">
        <v>0.56000000000000005</v>
      </c>
      <c r="F14" s="2">
        <v>0.67</v>
      </c>
      <c r="G14" s="2">
        <v>0.56999999999999995</v>
      </c>
      <c r="H14" s="2">
        <v>0.52</v>
      </c>
      <c r="I14" s="2">
        <v>0.61</v>
      </c>
      <c r="J14" s="2" t="s">
        <v>82</v>
      </c>
      <c r="K14" s="2" t="s">
        <v>86</v>
      </c>
      <c r="L14" s="23"/>
      <c r="M14" s="42"/>
      <c r="N14" s="42"/>
      <c r="O14" s="42"/>
    </row>
    <row r="15" spans="1:15">
      <c r="A15" s="2">
        <v>2018</v>
      </c>
      <c r="B15" s="2" t="s">
        <v>3</v>
      </c>
      <c r="C15" s="2" t="s">
        <v>88</v>
      </c>
      <c r="D15" s="2" t="s">
        <v>11</v>
      </c>
      <c r="E15" s="2" t="s">
        <v>11</v>
      </c>
      <c r="F15" s="2" t="s">
        <v>11</v>
      </c>
      <c r="G15" s="2">
        <v>0.62</v>
      </c>
      <c r="H15" s="2">
        <v>0.56999999999999995</v>
      </c>
      <c r="I15" s="2">
        <v>0.66</v>
      </c>
      <c r="J15" s="2" t="s">
        <v>82</v>
      </c>
      <c r="K15" s="2" t="s">
        <v>86</v>
      </c>
      <c r="L15" s="23"/>
      <c r="M15" s="42"/>
      <c r="N15" s="42"/>
      <c r="O15" s="42"/>
    </row>
    <row r="16" spans="1:15">
      <c r="A16" s="2">
        <v>2010</v>
      </c>
      <c r="B16" s="2" t="s">
        <v>9</v>
      </c>
      <c r="C16" s="2" t="s">
        <v>88</v>
      </c>
      <c r="D16" s="2">
        <v>0.2</v>
      </c>
      <c r="E16" s="2">
        <v>0.17</v>
      </c>
      <c r="F16" s="2">
        <v>0.23</v>
      </c>
      <c r="G16" s="2">
        <v>0.2</v>
      </c>
      <c r="H16" s="2">
        <v>0.17</v>
      </c>
      <c r="I16" s="2">
        <v>0.22</v>
      </c>
      <c r="J16" s="2" t="s">
        <v>82</v>
      </c>
      <c r="K16" s="2" t="s">
        <v>86</v>
      </c>
    </row>
    <row r="17" spans="1:12">
      <c r="A17" s="2">
        <v>2011</v>
      </c>
      <c r="B17" s="2" t="s">
        <v>9</v>
      </c>
      <c r="C17" s="2" t="s">
        <v>88</v>
      </c>
      <c r="D17" s="2">
        <v>0.27</v>
      </c>
      <c r="E17" s="2">
        <v>0.23</v>
      </c>
      <c r="F17" s="2">
        <v>0.3</v>
      </c>
      <c r="G17" s="2">
        <v>0.26</v>
      </c>
      <c r="H17" s="2">
        <v>0.23</v>
      </c>
      <c r="I17" s="2">
        <v>0.28000000000000003</v>
      </c>
      <c r="J17" s="2" t="s">
        <v>82</v>
      </c>
      <c r="K17" s="2" t="s">
        <v>86</v>
      </c>
    </row>
    <row r="18" spans="1:12">
      <c r="A18" s="2">
        <v>2012</v>
      </c>
      <c r="B18" s="2" t="s">
        <v>9</v>
      </c>
      <c r="C18" s="2" t="s">
        <v>88</v>
      </c>
      <c r="D18" s="2">
        <v>0.32</v>
      </c>
      <c r="E18" s="2">
        <v>0.28000000000000003</v>
      </c>
      <c r="F18" s="2">
        <v>0.36</v>
      </c>
      <c r="G18" s="2">
        <v>0.31</v>
      </c>
      <c r="H18" s="2">
        <v>0.28000000000000003</v>
      </c>
      <c r="I18" s="2">
        <v>0.35</v>
      </c>
      <c r="J18" s="2" t="s">
        <v>82</v>
      </c>
      <c r="K18" s="2" t="s">
        <v>86</v>
      </c>
    </row>
    <row r="19" spans="1:12">
      <c r="A19" s="2">
        <v>2013</v>
      </c>
      <c r="B19" s="2" t="s">
        <v>9</v>
      </c>
      <c r="C19" s="2" t="s">
        <v>88</v>
      </c>
      <c r="D19" s="2">
        <v>0.36</v>
      </c>
      <c r="E19" s="2">
        <v>0.32</v>
      </c>
      <c r="F19" s="2">
        <v>0.4</v>
      </c>
      <c r="G19" s="2">
        <v>0.37</v>
      </c>
      <c r="H19" s="2">
        <v>0.32</v>
      </c>
      <c r="I19" s="2">
        <v>0.4</v>
      </c>
      <c r="J19" s="2" t="s">
        <v>82</v>
      </c>
      <c r="K19" s="2" t="s">
        <v>86</v>
      </c>
    </row>
    <row r="20" spans="1:12">
      <c r="A20" s="2">
        <v>2014</v>
      </c>
      <c r="B20" s="2" t="s">
        <v>9</v>
      </c>
      <c r="C20" s="2" t="s">
        <v>88</v>
      </c>
      <c r="D20" s="2">
        <v>0.4</v>
      </c>
      <c r="E20" s="2">
        <v>0.36</v>
      </c>
      <c r="F20" s="2">
        <v>0.45</v>
      </c>
      <c r="G20" s="2">
        <v>0.4</v>
      </c>
      <c r="H20" s="2">
        <v>0.36</v>
      </c>
      <c r="I20" s="2">
        <v>0.44</v>
      </c>
      <c r="J20" s="2" t="s">
        <v>82</v>
      </c>
      <c r="K20" s="2" t="s">
        <v>86</v>
      </c>
    </row>
    <row r="21" spans="1:12">
      <c r="A21" s="2">
        <v>2015</v>
      </c>
      <c r="B21" s="2" t="s">
        <v>9</v>
      </c>
      <c r="C21" s="2" t="s">
        <v>88</v>
      </c>
      <c r="D21" s="2">
        <v>0.45</v>
      </c>
      <c r="E21" s="2">
        <v>0.4</v>
      </c>
      <c r="F21" s="2">
        <v>0.49</v>
      </c>
      <c r="G21" s="2">
        <v>0.44</v>
      </c>
      <c r="H21" s="2">
        <v>0.39</v>
      </c>
      <c r="I21" s="2">
        <v>0.48</v>
      </c>
      <c r="J21" s="2" t="s">
        <v>82</v>
      </c>
      <c r="K21" s="2" t="s">
        <v>86</v>
      </c>
    </row>
    <row r="22" spans="1:12">
      <c r="A22" s="2">
        <v>2016</v>
      </c>
      <c r="B22" s="2" t="s">
        <v>9</v>
      </c>
      <c r="C22" s="2" t="s">
        <v>88</v>
      </c>
      <c r="D22" s="2">
        <v>0.48</v>
      </c>
      <c r="E22" s="2">
        <v>0.44</v>
      </c>
      <c r="F22" s="2">
        <v>0.53</v>
      </c>
      <c r="G22" s="2">
        <v>0.47</v>
      </c>
      <c r="H22" s="2">
        <v>0.42</v>
      </c>
      <c r="I22" s="2">
        <v>0.51</v>
      </c>
      <c r="J22" s="2" t="s">
        <v>82</v>
      </c>
      <c r="K22" s="2" t="s">
        <v>86</v>
      </c>
      <c r="L22" s="23"/>
    </row>
    <row r="23" spans="1:12">
      <c r="A23" s="2">
        <v>2017</v>
      </c>
      <c r="B23" s="2" t="s">
        <v>9</v>
      </c>
      <c r="C23" s="2" t="s">
        <v>88</v>
      </c>
      <c r="D23" s="2">
        <v>0.53</v>
      </c>
      <c r="E23" s="2">
        <v>0.48</v>
      </c>
      <c r="F23" s="2">
        <v>0.57999999999999996</v>
      </c>
      <c r="G23" s="2">
        <v>0.51</v>
      </c>
      <c r="H23" s="2">
        <v>0.46</v>
      </c>
      <c r="I23" s="2">
        <v>0.56000000000000005</v>
      </c>
      <c r="J23" s="2" t="s">
        <v>82</v>
      </c>
      <c r="K23" s="2" t="s">
        <v>86</v>
      </c>
      <c r="L23" s="23"/>
    </row>
    <row r="24" spans="1:12">
      <c r="A24" s="2">
        <v>2018</v>
      </c>
      <c r="B24" s="2" t="s">
        <v>9</v>
      </c>
      <c r="C24" s="2" t="s">
        <v>88</v>
      </c>
      <c r="D24" s="2" t="s">
        <v>11</v>
      </c>
      <c r="E24" s="2" t="s">
        <v>11</v>
      </c>
      <c r="F24" s="2" t="s">
        <v>11</v>
      </c>
      <c r="G24" s="2">
        <v>0.56000000000000005</v>
      </c>
      <c r="H24" s="2">
        <v>0.5</v>
      </c>
      <c r="I24" s="2">
        <v>0.6</v>
      </c>
      <c r="J24" s="2" t="s">
        <v>82</v>
      </c>
      <c r="K24" s="2" t="s">
        <v>86</v>
      </c>
      <c r="L24" s="23"/>
    </row>
    <row r="25" spans="1:12">
      <c r="A25" s="2">
        <v>2010</v>
      </c>
      <c r="B25" s="2" t="s">
        <v>10</v>
      </c>
      <c r="C25" s="2" t="s">
        <v>88</v>
      </c>
      <c r="D25" s="2">
        <v>0.2</v>
      </c>
      <c r="E25" s="2">
        <v>0.23</v>
      </c>
      <c r="F25" s="2">
        <v>0.28999999999999998</v>
      </c>
      <c r="G25" s="2">
        <v>0.24</v>
      </c>
      <c r="H25" s="2">
        <v>0.22</v>
      </c>
      <c r="I25" s="2">
        <v>0.26</v>
      </c>
      <c r="J25" s="2" t="s">
        <v>82</v>
      </c>
      <c r="K25" s="2" t="s">
        <v>86</v>
      </c>
    </row>
    <row r="26" spans="1:12">
      <c r="A26" s="2">
        <v>2011</v>
      </c>
      <c r="B26" s="2" t="s">
        <v>10</v>
      </c>
      <c r="C26" s="2" t="s">
        <v>88</v>
      </c>
      <c r="D26" s="2">
        <v>0.26</v>
      </c>
      <c r="E26" s="2">
        <v>0.31</v>
      </c>
      <c r="F26" s="2">
        <v>0.38</v>
      </c>
      <c r="G26" s="2">
        <v>0.31</v>
      </c>
      <c r="H26" s="2">
        <v>0.28000000000000003</v>
      </c>
      <c r="I26" s="2">
        <v>0.33</v>
      </c>
      <c r="J26" s="2" t="s">
        <v>82</v>
      </c>
      <c r="K26" s="2" t="s">
        <v>86</v>
      </c>
    </row>
    <row r="27" spans="1:12">
      <c r="A27" s="2">
        <v>2012</v>
      </c>
      <c r="B27" s="2" t="s">
        <v>10</v>
      </c>
      <c r="C27" s="2" t="s">
        <v>88</v>
      </c>
      <c r="D27" s="2">
        <v>0.34</v>
      </c>
      <c r="E27" s="2">
        <v>0.37</v>
      </c>
      <c r="F27" s="2">
        <v>0.45</v>
      </c>
      <c r="G27" s="2">
        <v>0.38</v>
      </c>
      <c r="H27" s="2">
        <v>0.35</v>
      </c>
      <c r="I27" s="2">
        <v>0.41</v>
      </c>
      <c r="J27" s="2" t="s">
        <v>82</v>
      </c>
      <c r="K27" s="2" t="s">
        <v>86</v>
      </c>
    </row>
    <row r="28" spans="1:12">
      <c r="A28" s="2">
        <v>2013</v>
      </c>
      <c r="B28" s="2" t="s">
        <v>10</v>
      </c>
      <c r="C28" s="2" t="s">
        <v>88</v>
      </c>
      <c r="D28" s="2">
        <v>0.41</v>
      </c>
      <c r="E28" s="2">
        <v>0.41</v>
      </c>
      <c r="F28" s="2">
        <v>0.5</v>
      </c>
      <c r="G28" s="2">
        <v>0.44</v>
      </c>
      <c r="H28" s="2">
        <v>0.4</v>
      </c>
      <c r="I28" s="2">
        <v>0.47</v>
      </c>
      <c r="J28" s="2" t="s">
        <v>82</v>
      </c>
      <c r="K28" s="2" t="s">
        <v>86</v>
      </c>
    </row>
    <row r="29" spans="1:12">
      <c r="A29" s="2">
        <v>2014</v>
      </c>
      <c r="B29" s="2" t="s">
        <v>10</v>
      </c>
      <c r="C29" s="2" t="s">
        <v>88</v>
      </c>
      <c r="D29" s="2">
        <v>0.51</v>
      </c>
      <c r="E29" s="2">
        <v>0.46</v>
      </c>
      <c r="F29" s="2">
        <v>0.56000000000000005</v>
      </c>
      <c r="G29" s="2">
        <v>0.48</v>
      </c>
      <c r="H29" s="2">
        <v>0.44</v>
      </c>
      <c r="I29" s="2">
        <v>0.52</v>
      </c>
      <c r="J29" s="2" t="s">
        <v>82</v>
      </c>
      <c r="K29" s="2" t="s">
        <v>86</v>
      </c>
    </row>
    <row r="30" spans="1:12">
      <c r="A30" s="2">
        <v>2015</v>
      </c>
      <c r="B30" s="2" t="s">
        <v>10</v>
      </c>
      <c r="C30" s="2" t="s">
        <v>88</v>
      </c>
      <c r="D30" s="2">
        <v>0.56000000000000005</v>
      </c>
      <c r="E30" s="2">
        <v>0.52</v>
      </c>
      <c r="F30" s="2">
        <v>0.62</v>
      </c>
      <c r="G30" s="2">
        <v>0.52</v>
      </c>
      <c r="H30" s="2">
        <v>0.48</v>
      </c>
      <c r="I30" s="2">
        <v>0.56000000000000005</v>
      </c>
      <c r="J30" s="2" t="s">
        <v>82</v>
      </c>
      <c r="K30" s="2" t="s">
        <v>86</v>
      </c>
    </row>
    <row r="31" spans="1:12">
      <c r="A31" s="2">
        <v>2016</v>
      </c>
      <c r="B31" s="2" t="s">
        <v>10</v>
      </c>
      <c r="C31" s="2" t="s">
        <v>88</v>
      </c>
      <c r="D31" s="2">
        <v>0.6</v>
      </c>
      <c r="E31" s="2">
        <v>0.56000000000000005</v>
      </c>
      <c r="F31" s="2">
        <v>0.66</v>
      </c>
      <c r="G31" s="2">
        <v>0.56000000000000005</v>
      </c>
      <c r="H31" s="2">
        <v>0.51</v>
      </c>
      <c r="I31" s="2">
        <v>0.6</v>
      </c>
      <c r="J31" s="2" t="s">
        <v>82</v>
      </c>
      <c r="K31" s="2" t="s">
        <v>86</v>
      </c>
      <c r="L31" s="23"/>
    </row>
    <row r="32" spans="1:12">
      <c r="A32" s="2">
        <v>2017</v>
      </c>
      <c r="B32" s="2" t="s">
        <v>10</v>
      </c>
      <c r="C32" s="2" t="s">
        <v>88</v>
      </c>
      <c r="D32" s="2">
        <v>0.66</v>
      </c>
      <c r="E32" s="2">
        <v>0.61</v>
      </c>
      <c r="F32" s="2">
        <v>0.72</v>
      </c>
      <c r="G32" s="2">
        <v>0.61</v>
      </c>
      <c r="H32" s="2">
        <v>0.56000000000000005</v>
      </c>
      <c r="I32" s="2">
        <v>0.65</v>
      </c>
      <c r="J32" s="2" t="s">
        <v>82</v>
      </c>
      <c r="K32" s="2" t="s">
        <v>86</v>
      </c>
      <c r="L32" s="23"/>
    </row>
    <row r="33" spans="1:12">
      <c r="A33" s="2">
        <v>2018</v>
      </c>
      <c r="B33" s="2" t="s">
        <v>10</v>
      </c>
      <c r="C33" s="2" t="s">
        <v>88</v>
      </c>
      <c r="D33" s="2" t="s">
        <v>11</v>
      </c>
      <c r="E33" s="2" t="s">
        <v>11</v>
      </c>
      <c r="F33" s="2" t="s">
        <v>11</v>
      </c>
      <c r="G33" s="2">
        <v>0.65</v>
      </c>
      <c r="H33" s="2">
        <v>0.6</v>
      </c>
      <c r="I33" s="2">
        <v>0.7</v>
      </c>
      <c r="J33" s="2" t="s">
        <v>82</v>
      </c>
      <c r="K33" s="2" t="s">
        <v>86</v>
      </c>
      <c r="L33" s="23"/>
    </row>
    <row r="34" spans="1:12">
      <c r="A34" s="23">
        <v>2010</v>
      </c>
      <c r="B34" s="23" t="s">
        <v>3</v>
      </c>
      <c r="C34" s="33" t="s">
        <v>94</v>
      </c>
      <c r="D34" s="2" t="s">
        <v>11</v>
      </c>
      <c r="E34" s="2" t="s">
        <v>11</v>
      </c>
      <c r="F34" s="2" t="s">
        <v>11</v>
      </c>
      <c r="G34" s="2">
        <v>0.32</v>
      </c>
      <c r="H34" s="2">
        <v>0.25</v>
      </c>
      <c r="I34" s="2">
        <v>0.37</v>
      </c>
      <c r="J34" s="2" t="s">
        <v>82</v>
      </c>
      <c r="K34" s="2" t="s">
        <v>86</v>
      </c>
      <c r="L34" s="23"/>
    </row>
    <row r="35" spans="1:12">
      <c r="A35" s="23">
        <v>2011</v>
      </c>
      <c r="B35" s="23" t="s">
        <v>3</v>
      </c>
      <c r="C35" s="33" t="s">
        <v>94</v>
      </c>
      <c r="D35" s="2" t="s">
        <v>11</v>
      </c>
      <c r="E35" s="2" t="s">
        <v>11</v>
      </c>
      <c r="F35" s="2" t="s">
        <v>11</v>
      </c>
      <c r="G35" s="2">
        <v>0.43</v>
      </c>
      <c r="H35" s="2">
        <v>0.34</v>
      </c>
      <c r="I35" s="2">
        <v>0.51</v>
      </c>
      <c r="J35" s="2" t="s">
        <v>82</v>
      </c>
      <c r="K35" s="2" t="s">
        <v>86</v>
      </c>
      <c r="L35" s="23"/>
    </row>
    <row r="36" spans="1:12">
      <c r="A36" s="23">
        <v>2012</v>
      </c>
      <c r="B36" s="23" t="s">
        <v>3</v>
      </c>
      <c r="C36" s="33" t="s">
        <v>94</v>
      </c>
      <c r="D36" s="2" t="s">
        <v>11</v>
      </c>
      <c r="E36" s="2" t="s">
        <v>11</v>
      </c>
      <c r="F36" s="2" t="s">
        <v>11</v>
      </c>
      <c r="G36" s="2">
        <v>0.48</v>
      </c>
      <c r="H36" s="2">
        <v>0.38</v>
      </c>
      <c r="I36" s="2">
        <v>0.59</v>
      </c>
      <c r="J36" s="2" t="s">
        <v>82</v>
      </c>
      <c r="K36" s="2" t="s">
        <v>86</v>
      </c>
      <c r="L36" s="23"/>
    </row>
    <row r="37" spans="1:12">
      <c r="A37" s="23">
        <v>2013</v>
      </c>
      <c r="B37" s="23" t="s">
        <v>3</v>
      </c>
      <c r="C37" s="33" t="s">
        <v>94</v>
      </c>
      <c r="D37" s="2" t="s">
        <v>11</v>
      </c>
      <c r="E37" s="2" t="s">
        <v>11</v>
      </c>
      <c r="F37" s="2" t="s">
        <v>11</v>
      </c>
      <c r="G37" s="2">
        <v>0.52</v>
      </c>
      <c r="H37" s="2">
        <v>0.41</v>
      </c>
      <c r="I37" s="2">
        <v>0.65</v>
      </c>
      <c r="J37" s="2" t="s">
        <v>82</v>
      </c>
      <c r="K37" s="2" t="s">
        <v>86</v>
      </c>
      <c r="L37" s="23"/>
    </row>
    <row r="38" spans="1:12">
      <c r="A38" s="23">
        <v>2014</v>
      </c>
      <c r="B38" s="23" t="s">
        <v>3</v>
      </c>
      <c r="C38" s="33" t="s">
        <v>94</v>
      </c>
      <c r="D38" s="2" t="s">
        <v>11</v>
      </c>
      <c r="E38" s="2" t="s">
        <v>11</v>
      </c>
      <c r="F38" s="2" t="s">
        <v>11</v>
      </c>
      <c r="G38" s="2">
        <v>0.55000000000000004</v>
      </c>
      <c r="H38" s="2">
        <v>0.43</v>
      </c>
      <c r="I38" s="2">
        <v>0.7</v>
      </c>
      <c r="J38" s="2" t="s">
        <v>82</v>
      </c>
      <c r="K38" s="2" t="s">
        <v>86</v>
      </c>
      <c r="L38" s="23"/>
    </row>
    <row r="39" spans="1:12">
      <c r="A39" s="23">
        <v>2015</v>
      </c>
      <c r="B39" s="23" t="s">
        <v>3</v>
      </c>
      <c r="C39" s="33" t="s">
        <v>94</v>
      </c>
      <c r="D39" s="2" t="s">
        <v>11</v>
      </c>
      <c r="E39" s="2" t="s">
        <v>11</v>
      </c>
      <c r="F39" s="2" t="s">
        <v>11</v>
      </c>
      <c r="G39" s="2">
        <v>0.57999999999999996</v>
      </c>
      <c r="H39" s="2">
        <v>0.45</v>
      </c>
      <c r="I39" s="2">
        <v>0.75</v>
      </c>
      <c r="J39" s="2" t="s">
        <v>82</v>
      </c>
      <c r="K39" s="2" t="s">
        <v>86</v>
      </c>
      <c r="L39" s="23"/>
    </row>
    <row r="40" spans="1:12">
      <c r="A40" s="23">
        <v>2016</v>
      </c>
      <c r="B40" s="23" t="s">
        <v>3</v>
      </c>
      <c r="C40" s="33" t="s">
        <v>94</v>
      </c>
      <c r="D40" s="2" t="s">
        <v>11</v>
      </c>
      <c r="E40" s="2" t="s">
        <v>11</v>
      </c>
      <c r="F40" s="2" t="s">
        <v>11</v>
      </c>
      <c r="G40" s="2">
        <v>0.61</v>
      </c>
      <c r="H40" s="2">
        <v>0.47</v>
      </c>
      <c r="I40" s="2">
        <v>0.81</v>
      </c>
      <c r="J40" s="2" t="s">
        <v>82</v>
      </c>
      <c r="K40" s="2" t="s">
        <v>86</v>
      </c>
      <c r="L40" s="23"/>
    </row>
    <row r="41" spans="1:12">
      <c r="A41" s="23">
        <v>2017</v>
      </c>
      <c r="B41" s="23" t="s">
        <v>3</v>
      </c>
      <c r="C41" s="33" t="s">
        <v>94</v>
      </c>
      <c r="D41" s="2" t="s">
        <v>11</v>
      </c>
      <c r="E41" s="2" t="s">
        <v>11</v>
      </c>
      <c r="F41" s="2" t="s">
        <v>11</v>
      </c>
      <c r="G41" s="2">
        <v>0.61</v>
      </c>
      <c r="H41" s="2">
        <v>0.48</v>
      </c>
      <c r="I41" s="2">
        <v>0.83</v>
      </c>
      <c r="J41" s="2" t="s">
        <v>82</v>
      </c>
      <c r="K41" s="2" t="s">
        <v>86</v>
      </c>
      <c r="L41" s="23"/>
    </row>
    <row r="42" spans="1:12">
      <c r="A42" s="23">
        <v>2018</v>
      </c>
      <c r="B42" s="23" t="s">
        <v>3</v>
      </c>
      <c r="C42" s="33" t="s">
        <v>94</v>
      </c>
      <c r="D42" s="2" t="s">
        <v>11</v>
      </c>
      <c r="E42" s="2" t="s">
        <v>11</v>
      </c>
      <c r="F42" s="2" t="s">
        <v>11</v>
      </c>
      <c r="G42" s="2">
        <v>0.63</v>
      </c>
      <c r="H42" s="2">
        <v>0.49</v>
      </c>
      <c r="I42" s="2">
        <v>0.87</v>
      </c>
      <c r="J42" s="2" t="s">
        <v>82</v>
      </c>
      <c r="K42" s="2" t="s">
        <v>86</v>
      </c>
      <c r="L42" s="23"/>
    </row>
    <row r="43" spans="1:12">
      <c r="A43" s="2">
        <v>2017</v>
      </c>
      <c r="B43" s="2" t="s">
        <v>90</v>
      </c>
      <c r="C43" s="33" t="s">
        <v>94</v>
      </c>
      <c r="D43" s="2">
        <v>0.5</v>
      </c>
      <c r="E43" s="2">
        <v>0.36599999999999999</v>
      </c>
      <c r="F43" s="2">
        <v>0.63300000000000001</v>
      </c>
      <c r="G43" s="2" t="s">
        <v>11</v>
      </c>
      <c r="H43" s="2" t="s">
        <v>11</v>
      </c>
      <c r="I43" s="2" t="s">
        <v>11</v>
      </c>
      <c r="J43" s="2" t="s">
        <v>82</v>
      </c>
      <c r="K43" s="2" t="s">
        <v>89</v>
      </c>
      <c r="L43" s="2" t="s">
        <v>100</v>
      </c>
    </row>
    <row r="44" spans="1:12">
      <c r="A44" s="2">
        <v>2017</v>
      </c>
      <c r="B44" s="2" t="s">
        <v>91</v>
      </c>
      <c r="C44" s="33" t="s">
        <v>95</v>
      </c>
      <c r="D44" s="2">
        <v>0.39899999999999997</v>
      </c>
      <c r="E44" s="2">
        <v>0.32100000000000001</v>
      </c>
      <c r="F44" s="2">
        <v>0.48299999999999998</v>
      </c>
      <c r="G44" s="2" t="s">
        <v>11</v>
      </c>
      <c r="H44" s="2" t="s">
        <v>11</v>
      </c>
      <c r="I44" s="2" t="s">
        <v>11</v>
      </c>
      <c r="J44" s="2" t="s">
        <v>82</v>
      </c>
      <c r="K44" s="2" t="s">
        <v>89</v>
      </c>
    </row>
    <row r="45" spans="1:12">
      <c r="A45" s="2">
        <v>2017</v>
      </c>
      <c r="B45" s="2" t="s">
        <v>92</v>
      </c>
      <c r="C45" s="33" t="s">
        <v>97</v>
      </c>
      <c r="D45" s="2">
        <v>0.63100000000000001</v>
      </c>
      <c r="E45" s="2">
        <v>0.59200000000000008</v>
      </c>
      <c r="F45" s="2">
        <v>0.66799999999999993</v>
      </c>
      <c r="G45" s="2" t="s">
        <v>11</v>
      </c>
      <c r="H45" s="2" t="s">
        <v>11</v>
      </c>
      <c r="I45" s="2" t="s">
        <v>11</v>
      </c>
      <c r="J45" s="2" t="s">
        <v>82</v>
      </c>
      <c r="K45" s="2" t="s">
        <v>89</v>
      </c>
    </row>
    <row r="46" spans="1:12">
      <c r="A46" s="2">
        <v>2017</v>
      </c>
      <c r="B46" s="2" t="s">
        <v>93</v>
      </c>
      <c r="C46" s="33" t="s">
        <v>96</v>
      </c>
      <c r="D46" s="2">
        <v>0.76700000000000002</v>
      </c>
      <c r="E46" s="2">
        <v>0.71299999999999997</v>
      </c>
      <c r="F46" s="2">
        <v>0.81400000000000006</v>
      </c>
      <c r="G46" s="2" t="s">
        <v>11</v>
      </c>
      <c r="H46" s="2" t="s">
        <v>11</v>
      </c>
      <c r="I46" s="2" t="s">
        <v>11</v>
      </c>
      <c r="J46" s="2" t="s">
        <v>82</v>
      </c>
      <c r="K46" s="2" t="s">
        <v>89</v>
      </c>
    </row>
    <row r="47" spans="1:12">
      <c r="A47" s="2">
        <v>2017</v>
      </c>
      <c r="B47" s="2" t="s">
        <v>98</v>
      </c>
      <c r="C47" s="33" t="s">
        <v>99</v>
      </c>
      <c r="D47" s="2">
        <v>0.623</v>
      </c>
      <c r="E47" s="2">
        <v>0.59200000000000008</v>
      </c>
      <c r="F47" s="2">
        <v>0.65200000000000002</v>
      </c>
      <c r="G47" s="2" t="s">
        <v>11</v>
      </c>
      <c r="H47" s="2" t="s">
        <v>11</v>
      </c>
      <c r="I47" s="2" t="s">
        <v>11</v>
      </c>
      <c r="J47" s="2" t="s">
        <v>82</v>
      </c>
      <c r="K47" s="2" t="s">
        <v>89</v>
      </c>
    </row>
  </sheetData>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2126BA-687F-B446-9EFE-E70DB3E5A4D8}">
  <dimension ref="A1:M79"/>
  <sheetViews>
    <sheetView topLeftCell="A74" zoomScale="86" zoomScaleNormal="86" workbookViewId="0">
      <selection activeCell="I6" sqref="I6"/>
    </sheetView>
  </sheetViews>
  <sheetFormatPr baseColWidth="10" defaultRowHeight="16"/>
  <cols>
    <col min="1" max="1" width="10.83203125" style="35"/>
    <col min="2" max="2" width="25.1640625" style="35" customWidth="1"/>
    <col min="3" max="3" width="53.33203125" style="39" customWidth="1"/>
    <col min="4" max="4" width="14.33203125" style="39" customWidth="1"/>
    <col min="5" max="8" width="10.83203125" style="35"/>
    <col min="9" max="9" width="61.83203125" style="39" customWidth="1"/>
    <col min="10" max="10" width="72.33203125" style="39" customWidth="1"/>
    <col min="11" max="16384" width="10.83203125" style="35"/>
  </cols>
  <sheetData>
    <row r="1" spans="1:13" ht="17">
      <c r="A1" s="63" t="s">
        <v>214</v>
      </c>
      <c r="B1" s="63" t="s">
        <v>215</v>
      </c>
      <c r="C1" s="62" t="s">
        <v>216</v>
      </c>
      <c r="D1" s="62" t="s">
        <v>656</v>
      </c>
      <c r="E1" s="63" t="s">
        <v>217</v>
      </c>
      <c r="F1" s="63" t="s">
        <v>218</v>
      </c>
      <c r="G1" s="63" t="s">
        <v>219</v>
      </c>
      <c r="H1" s="63" t="s">
        <v>220</v>
      </c>
      <c r="I1" s="62" t="s">
        <v>0</v>
      </c>
      <c r="J1" s="62" t="s">
        <v>221</v>
      </c>
    </row>
    <row r="2" spans="1:13" ht="34">
      <c r="A2" s="35">
        <v>1</v>
      </c>
      <c r="B2" s="35" t="s">
        <v>296</v>
      </c>
      <c r="C2" s="39" t="s">
        <v>297</v>
      </c>
      <c r="D2" s="39" t="s">
        <v>657</v>
      </c>
      <c r="E2" s="35" t="s">
        <v>250</v>
      </c>
      <c r="F2" s="35">
        <v>-999</v>
      </c>
      <c r="G2" s="35">
        <f>1-H3-H4</f>
        <v>0.77</v>
      </c>
      <c r="H2" s="35">
        <f>1-G3-G4</f>
        <v>0.85999999999999988</v>
      </c>
      <c r="I2" s="39" t="s">
        <v>298</v>
      </c>
    </row>
    <row r="3" spans="1:13" ht="85">
      <c r="A3" s="35">
        <v>2</v>
      </c>
      <c r="B3" s="35" t="s">
        <v>299</v>
      </c>
      <c r="C3" s="39" t="s">
        <v>300</v>
      </c>
      <c r="D3" s="39" t="s">
        <v>658</v>
      </c>
      <c r="E3" s="35" t="s">
        <v>250</v>
      </c>
      <c r="F3" s="35">
        <v>-999</v>
      </c>
      <c r="G3" s="35">
        <v>7.0000000000000007E-2</v>
      </c>
      <c r="H3" s="35">
        <v>0.11</v>
      </c>
      <c r="I3" s="34" t="s">
        <v>301</v>
      </c>
      <c r="J3" s="65" t="s">
        <v>302</v>
      </c>
    </row>
    <row r="4" spans="1:13" ht="136">
      <c r="A4" s="35">
        <v>3</v>
      </c>
      <c r="B4" s="35" t="s">
        <v>303</v>
      </c>
      <c r="C4" s="39" t="s">
        <v>304</v>
      </c>
      <c r="D4" s="39" t="s">
        <v>659</v>
      </c>
      <c r="E4" s="35" t="s">
        <v>250</v>
      </c>
      <c r="F4" s="35">
        <v>-999</v>
      </c>
      <c r="G4" s="35">
        <v>7.0000000000000007E-2</v>
      </c>
      <c r="H4" s="35">
        <v>0.12</v>
      </c>
      <c r="I4" s="39" t="s">
        <v>305</v>
      </c>
      <c r="J4" s="39" t="s">
        <v>306</v>
      </c>
    </row>
    <row r="5" spans="1:13" ht="34">
      <c r="A5" s="35">
        <v>4</v>
      </c>
      <c r="B5" s="35" t="s">
        <v>307</v>
      </c>
      <c r="C5" s="39" t="s">
        <v>308</v>
      </c>
      <c r="D5" s="39" t="s">
        <v>660</v>
      </c>
      <c r="E5" s="35" t="s">
        <v>250</v>
      </c>
      <c r="F5" s="35">
        <v>-999</v>
      </c>
      <c r="G5" s="35">
        <f>1-H6-H7</f>
        <v>0.90999999999999992</v>
      </c>
      <c r="H5" s="35">
        <f>1-G6-G7</f>
        <v>0.96499999999999997</v>
      </c>
      <c r="I5" s="39" t="s">
        <v>298</v>
      </c>
    </row>
    <row r="6" spans="1:13" ht="102">
      <c r="A6" s="35">
        <v>5</v>
      </c>
      <c r="B6" s="35" t="s">
        <v>309</v>
      </c>
      <c r="C6" s="39" t="s">
        <v>310</v>
      </c>
      <c r="D6" s="39" t="s">
        <v>661</v>
      </c>
      <c r="E6" s="35" t="s">
        <v>250</v>
      </c>
      <c r="F6" s="35">
        <v>-999</v>
      </c>
      <c r="G6" s="35">
        <v>0.03</v>
      </c>
      <c r="H6" s="35">
        <v>7.0000000000000007E-2</v>
      </c>
      <c r="I6" s="39" t="s">
        <v>311</v>
      </c>
      <c r="J6" s="65" t="s">
        <v>302</v>
      </c>
    </row>
    <row r="7" spans="1:13" ht="144">
      <c r="A7" s="35">
        <v>6</v>
      </c>
      <c r="B7" s="35" t="s">
        <v>312</v>
      </c>
      <c r="C7" s="39" t="s">
        <v>313</v>
      </c>
      <c r="D7" s="39" t="s">
        <v>662</v>
      </c>
      <c r="E7" s="35" t="s">
        <v>250</v>
      </c>
      <c r="F7" s="35">
        <v>-999</v>
      </c>
      <c r="G7" s="35">
        <v>5.0000000000000001E-3</v>
      </c>
      <c r="H7" s="35">
        <v>0.02</v>
      </c>
      <c r="I7" s="39" t="s">
        <v>314</v>
      </c>
      <c r="J7" s="66" t="s">
        <v>315</v>
      </c>
    </row>
    <row r="8" spans="1:13" ht="102">
      <c r="A8" s="35">
        <v>7</v>
      </c>
      <c r="B8" s="35" t="s">
        <v>316</v>
      </c>
      <c r="C8" s="39" t="s">
        <v>317</v>
      </c>
      <c r="D8" s="39" t="s">
        <v>665</v>
      </c>
      <c r="E8" s="35" t="s">
        <v>250</v>
      </c>
      <c r="F8" s="35">
        <v>-999</v>
      </c>
      <c r="G8" s="35">
        <v>0</v>
      </c>
      <c r="H8" s="35">
        <v>0.01</v>
      </c>
      <c r="I8" s="39" t="s">
        <v>318</v>
      </c>
      <c r="J8" s="67" t="s">
        <v>319</v>
      </c>
    </row>
    <row r="9" spans="1:13" ht="85">
      <c r="A9" s="35">
        <v>8</v>
      </c>
      <c r="B9" s="35" t="s">
        <v>320</v>
      </c>
      <c r="C9" s="39" t="s">
        <v>321</v>
      </c>
      <c r="D9" s="39" t="s">
        <v>666</v>
      </c>
      <c r="E9" s="35" t="s">
        <v>250</v>
      </c>
      <c r="F9" s="35">
        <v>-999</v>
      </c>
      <c r="G9" s="35">
        <v>0.3</v>
      </c>
      <c r="H9" s="35">
        <v>0.42</v>
      </c>
      <c r="I9" s="39" t="s">
        <v>322</v>
      </c>
      <c r="J9" s="68" t="s">
        <v>323</v>
      </c>
    </row>
    <row r="10" spans="1:13" ht="34">
      <c r="A10" s="35">
        <v>9</v>
      </c>
      <c r="B10" s="35" t="s">
        <v>324</v>
      </c>
      <c r="C10" s="39" t="s">
        <v>325</v>
      </c>
      <c r="D10" s="39" t="s">
        <v>663</v>
      </c>
      <c r="E10" s="35" t="s">
        <v>250</v>
      </c>
      <c r="F10" s="35">
        <v>-999</v>
      </c>
      <c r="G10" s="35">
        <v>0.1</v>
      </c>
      <c r="H10" s="35">
        <v>0.3</v>
      </c>
      <c r="I10" s="35"/>
      <c r="J10" s="68" t="s">
        <v>326</v>
      </c>
    </row>
    <row r="11" spans="1:13" ht="102">
      <c r="A11" s="35">
        <v>10</v>
      </c>
      <c r="B11" s="35" t="s">
        <v>327</v>
      </c>
      <c r="C11" s="39" t="s">
        <v>328</v>
      </c>
      <c r="D11" s="39" t="s">
        <v>664</v>
      </c>
      <c r="E11" s="35" t="s">
        <v>250</v>
      </c>
      <c r="F11" s="35">
        <v>-999</v>
      </c>
      <c r="G11" s="35">
        <v>0</v>
      </c>
      <c r="H11" s="35">
        <v>4.0000000000000001E-3</v>
      </c>
      <c r="I11" s="69" t="s">
        <v>329</v>
      </c>
      <c r="J11" s="67" t="s">
        <v>319</v>
      </c>
      <c r="L11" s="2"/>
    </row>
    <row r="12" spans="1:13" ht="34">
      <c r="A12" s="35">
        <v>11</v>
      </c>
      <c r="B12" s="35" t="s">
        <v>330</v>
      </c>
      <c r="C12" s="39" t="s">
        <v>331</v>
      </c>
      <c r="D12" s="39" t="s">
        <v>667</v>
      </c>
      <c r="E12" s="35" t="s">
        <v>250</v>
      </c>
      <c r="F12" s="35">
        <v>-999</v>
      </c>
      <c r="G12" s="35">
        <v>0.4</v>
      </c>
      <c r="H12" s="35">
        <v>0.6</v>
      </c>
      <c r="I12" s="69" t="s">
        <v>332</v>
      </c>
      <c r="J12" s="68" t="s">
        <v>326</v>
      </c>
      <c r="L12" s="2"/>
    </row>
    <row r="13" spans="1:13" ht="34">
      <c r="A13" s="35">
        <v>12</v>
      </c>
      <c r="B13" s="35" t="s">
        <v>333</v>
      </c>
      <c r="C13" s="39" t="s">
        <v>334</v>
      </c>
      <c r="D13" s="39" t="s">
        <v>668</v>
      </c>
      <c r="E13" s="35" t="s">
        <v>250</v>
      </c>
      <c r="F13" s="35">
        <v>-999</v>
      </c>
      <c r="G13" s="35">
        <v>0</v>
      </c>
      <c r="H13" s="35">
        <v>8.9999999999999993E-3</v>
      </c>
      <c r="I13" s="69"/>
      <c r="J13" s="68" t="s">
        <v>326</v>
      </c>
      <c r="L13" s="2"/>
    </row>
    <row r="14" spans="1:13" ht="34">
      <c r="A14" s="35">
        <v>13</v>
      </c>
      <c r="B14" s="35" t="s">
        <v>335</v>
      </c>
      <c r="C14" s="39" t="s">
        <v>336</v>
      </c>
      <c r="E14" s="35" t="s">
        <v>250</v>
      </c>
      <c r="F14" s="35">
        <v>-999</v>
      </c>
      <c r="G14" s="2">
        <f>0.542/0.96</f>
        <v>0.56458333333333344</v>
      </c>
      <c r="H14" s="2">
        <v>0.57999999999999996</v>
      </c>
      <c r="I14" s="69" t="s">
        <v>337</v>
      </c>
      <c r="J14" s="65" t="s">
        <v>302</v>
      </c>
    </row>
    <row r="15" spans="1:13" ht="34">
      <c r="A15" s="35">
        <v>14</v>
      </c>
      <c r="B15" s="35" t="s">
        <v>338</v>
      </c>
      <c r="C15" s="39" t="s">
        <v>339</v>
      </c>
      <c r="E15" s="35" t="s">
        <v>250</v>
      </c>
      <c r="F15" s="35">
        <v>-999</v>
      </c>
      <c r="G15" s="2">
        <v>1.25</v>
      </c>
      <c r="H15" s="2">
        <v>1.35</v>
      </c>
      <c r="I15" s="69" t="s">
        <v>340</v>
      </c>
      <c r="J15" s="70" t="s">
        <v>326</v>
      </c>
    </row>
    <row r="16" spans="1:13" ht="170">
      <c r="A16" s="35">
        <v>15</v>
      </c>
      <c r="B16" s="35" t="s">
        <v>341</v>
      </c>
      <c r="C16" s="39" t="s">
        <v>342</v>
      </c>
      <c r="E16" s="35" t="s">
        <v>250</v>
      </c>
      <c r="F16" s="35">
        <v>-999</v>
      </c>
      <c r="G16" s="35">
        <v>0.34</v>
      </c>
      <c r="H16" s="35">
        <v>1</v>
      </c>
      <c r="I16" s="71" t="s">
        <v>343</v>
      </c>
      <c r="J16" s="65" t="s">
        <v>344</v>
      </c>
      <c r="M16" s="2"/>
    </row>
    <row r="17" spans="1:13" ht="34">
      <c r="A17" s="35">
        <v>16</v>
      </c>
      <c r="B17" s="35" t="s">
        <v>345</v>
      </c>
      <c r="C17" s="39" t="s">
        <v>346</v>
      </c>
      <c r="E17" s="35" t="s">
        <v>250</v>
      </c>
      <c r="F17" s="35">
        <v>-999</v>
      </c>
      <c r="G17" s="2">
        <f>0.649/1.11</f>
        <v>0.58468468468468471</v>
      </c>
      <c r="H17" s="2">
        <f>0.606/1.03</f>
        <v>0.5883495145631068</v>
      </c>
      <c r="I17" s="69" t="s">
        <v>347</v>
      </c>
      <c r="J17" s="65" t="s">
        <v>302</v>
      </c>
      <c r="M17" s="2"/>
    </row>
    <row r="18" spans="1:13" ht="34">
      <c r="A18" s="35">
        <v>17</v>
      </c>
      <c r="B18" s="35" t="s">
        <v>348</v>
      </c>
      <c r="C18" s="39" t="s">
        <v>349</v>
      </c>
      <c r="E18" s="35" t="s">
        <v>250</v>
      </c>
      <c r="F18" s="35">
        <v>-999</v>
      </c>
      <c r="G18" s="2">
        <f>6.16/9.66</f>
        <v>0.63768115942028991</v>
      </c>
      <c r="H18" s="2">
        <v>0.7</v>
      </c>
      <c r="I18" s="69" t="s">
        <v>350</v>
      </c>
      <c r="J18" s="65" t="s">
        <v>302</v>
      </c>
      <c r="M18" s="2"/>
    </row>
    <row r="19" spans="1:13" ht="119">
      <c r="A19" s="35">
        <v>18</v>
      </c>
      <c r="B19" s="35" t="s">
        <v>351</v>
      </c>
      <c r="C19" s="39" t="s">
        <v>352</v>
      </c>
      <c r="E19" s="35" t="s">
        <v>250</v>
      </c>
      <c r="F19" s="35">
        <v>-999</v>
      </c>
      <c r="G19" s="2">
        <f>6.16/9.66</f>
        <v>0.63768115942028991</v>
      </c>
      <c r="H19" s="2">
        <v>0.7</v>
      </c>
      <c r="I19" s="34" t="s">
        <v>353</v>
      </c>
      <c r="J19" s="35"/>
      <c r="M19" s="2"/>
    </row>
    <row r="20" spans="1:13" ht="51">
      <c r="A20" s="63">
        <v>19</v>
      </c>
      <c r="B20" s="35" t="s">
        <v>354</v>
      </c>
      <c r="C20" s="39" t="s">
        <v>355</v>
      </c>
      <c r="E20" s="35" t="s">
        <v>250</v>
      </c>
      <c r="F20" s="35">
        <v>-999</v>
      </c>
      <c r="G20" s="35">
        <f>0.96</f>
        <v>0.96</v>
      </c>
      <c r="H20" s="35">
        <f>0.982</f>
        <v>0.98199999999999998</v>
      </c>
      <c r="I20" s="34" t="s">
        <v>356</v>
      </c>
      <c r="J20" s="65" t="s">
        <v>302</v>
      </c>
      <c r="M20" s="2"/>
    </row>
    <row r="21" spans="1:13" ht="34">
      <c r="A21" s="63">
        <v>20</v>
      </c>
      <c r="B21" s="35" t="s">
        <v>357</v>
      </c>
      <c r="C21" s="39" t="s">
        <v>358</v>
      </c>
      <c r="E21" s="35" t="s">
        <v>250</v>
      </c>
      <c r="F21" s="35">
        <v>-999</v>
      </c>
      <c r="G21" s="35">
        <v>2.5</v>
      </c>
      <c r="H21" s="35">
        <v>2.99</v>
      </c>
      <c r="I21" s="69" t="s">
        <v>359</v>
      </c>
      <c r="J21" s="65" t="s">
        <v>302</v>
      </c>
      <c r="L21" s="2"/>
    </row>
    <row r="22" spans="1:13" ht="34">
      <c r="A22" s="35">
        <v>21</v>
      </c>
      <c r="B22" s="35" t="s">
        <v>360</v>
      </c>
      <c r="C22" s="39" t="s">
        <v>361</v>
      </c>
      <c r="E22" s="35" t="s">
        <v>250</v>
      </c>
      <c r="F22" s="35">
        <v>-999</v>
      </c>
      <c r="G22" s="35">
        <v>2</v>
      </c>
      <c r="H22" s="35">
        <v>2.41</v>
      </c>
      <c r="I22" s="69" t="s">
        <v>362</v>
      </c>
      <c r="J22" s="65"/>
      <c r="L22" s="2"/>
    </row>
    <row r="23" spans="1:13" ht="34">
      <c r="A23" s="63">
        <v>22</v>
      </c>
      <c r="B23" s="35" t="s">
        <v>363</v>
      </c>
      <c r="C23" s="39" t="s">
        <v>364</v>
      </c>
      <c r="E23" s="35" t="s">
        <v>250</v>
      </c>
      <c r="F23" s="35">
        <v>-999</v>
      </c>
      <c r="G23" s="35">
        <f>1.03</f>
        <v>1.03</v>
      </c>
      <c r="H23" s="35">
        <v>1.1100000000000001</v>
      </c>
      <c r="I23" s="34" t="s">
        <v>365</v>
      </c>
      <c r="J23" s="65" t="s">
        <v>302</v>
      </c>
      <c r="L23" s="2"/>
    </row>
    <row r="24" spans="1:13" ht="34">
      <c r="A24" s="63">
        <v>23</v>
      </c>
      <c r="B24" s="35" t="s">
        <v>366</v>
      </c>
      <c r="C24" s="39" t="s">
        <v>367</v>
      </c>
      <c r="E24" s="35" t="s">
        <v>250</v>
      </c>
      <c r="F24" s="35">
        <v>-999</v>
      </c>
      <c r="G24" s="35">
        <v>7</v>
      </c>
      <c r="H24" s="35">
        <f>9.66</f>
        <v>9.66</v>
      </c>
      <c r="I24" s="69" t="s">
        <v>368</v>
      </c>
      <c r="J24" s="65" t="s">
        <v>302</v>
      </c>
      <c r="L24" s="2"/>
    </row>
    <row r="25" spans="1:13" ht="34">
      <c r="A25" s="35">
        <v>24</v>
      </c>
      <c r="B25" s="35" t="s">
        <v>369</v>
      </c>
      <c r="C25" s="39" t="s">
        <v>370</v>
      </c>
      <c r="E25" s="35" t="s">
        <v>250</v>
      </c>
      <c r="F25" s="35">
        <v>-999</v>
      </c>
      <c r="G25" s="35">
        <v>5</v>
      </c>
      <c r="H25" s="35">
        <f>9.66</f>
        <v>9.66</v>
      </c>
      <c r="I25" s="34" t="s">
        <v>371</v>
      </c>
      <c r="J25" s="72"/>
      <c r="L25" s="2"/>
    </row>
    <row r="26" spans="1:13" ht="34">
      <c r="A26" s="35">
        <v>25</v>
      </c>
      <c r="B26" s="35" t="s">
        <v>372</v>
      </c>
      <c r="C26" s="39" t="s">
        <v>373</v>
      </c>
      <c r="E26" s="35" t="s">
        <v>250</v>
      </c>
      <c r="F26" s="35">
        <v>-999</v>
      </c>
      <c r="G26" s="2">
        <f>0.955/0.982</f>
        <v>0.97250509164969445</v>
      </c>
      <c r="H26" s="2">
        <f>0.982/0.982</f>
        <v>1</v>
      </c>
      <c r="I26" s="34" t="s">
        <v>374</v>
      </c>
      <c r="J26" s="65" t="s">
        <v>302</v>
      </c>
      <c r="L26" s="2"/>
    </row>
    <row r="27" spans="1:13" ht="34">
      <c r="A27" s="35">
        <v>26</v>
      </c>
      <c r="B27" s="35" t="s">
        <v>375</v>
      </c>
      <c r="C27" s="39" t="s">
        <v>376</v>
      </c>
      <c r="E27" s="35" t="s">
        <v>250</v>
      </c>
      <c r="F27" s="35">
        <v>-999</v>
      </c>
      <c r="G27" s="2">
        <f>1.39/2.14</f>
        <v>0.64953271028037374</v>
      </c>
      <c r="H27" s="2">
        <v>0.68</v>
      </c>
      <c r="I27" s="69" t="s">
        <v>377</v>
      </c>
      <c r="J27" s="65" t="s">
        <v>302</v>
      </c>
    </row>
    <row r="28" spans="1:13" ht="34">
      <c r="A28" s="35">
        <v>27</v>
      </c>
      <c r="B28" s="35" t="s">
        <v>378</v>
      </c>
      <c r="C28" s="39" t="s">
        <v>379</v>
      </c>
      <c r="E28" s="35" t="s">
        <v>250</v>
      </c>
      <c r="F28" s="35">
        <v>-999</v>
      </c>
      <c r="G28" s="35">
        <v>0.34</v>
      </c>
      <c r="H28" s="35">
        <v>1</v>
      </c>
      <c r="I28" s="69" t="s">
        <v>380</v>
      </c>
      <c r="J28" s="65"/>
    </row>
    <row r="29" spans="1:13" ht="34">
      <c r="A29" s="35">
        <v>28</v>
      </c>
      <c r="B29" s="35" t="s">
        <v>381</v>
      </c>
      <c r="C29" s="39" t="s">
        <v>382</v>
      </c>
      <c r="E29" s="35" t="s">
        <v>250</v>
      </c>
      <c r="F29" s="35">
        <v>-999</v>
      </c>
      <c r="G29" s="2">
        <f>1.05/1.11</f>
        <v>0.94594594594594594</v>
      </c>
      <c r="H29" s="2">
        <f>0.995/1.03</f>
        <v>0.96601941747572817</v>
      </c>
      <c r="I29" s="34" t="s">
        <v>383</v>
      </c>
      <c r="J29" s="65" t="s">
        <v>302</v>
      </c>
    </row>
    <row r="30" spans="1:13" ht="51">
      <c r="A30" s="35">
        <v>29</v>
      </c>
      <c r="B30" s="35" t="s">
        <v>384</v>
      </c>
      <c r="C30" s="39" t="s">
        <v>385</v>
      </c>
      <c r="E30" s="35" t="s">
        <v>250</v>
      </c>
      <c r="F30" s="35">
        <v>-999</v>
      </c>
      <c r="G30" s="2">
        <f>2/4.56</f>
        <v>0.43859649122807021</v>
      </c>
      <c r="H30" s="2">
        <f>4.54/9.66</f>
        <v>0.46997929606625261</v>
      </c>
      <c r="I30" s="69" t="s">
        <v>386</v>
      </c>
      <c r="J30" s="65" t="s">
        <v>302</v>
      </c>
    </row>
    <row r="31" spans="1:13" ht="34">
      <c r="A31" s="35">
        <v>30</v>
      </c>
      <c r="B31" s="35" t="s">
        <v>387</v>
      </c>
      <c r="C31" s="39" t="s">
        <v>388</v>
      </c>
      <c r="E31" s="35" t="s">
        <v>250</v>
      </c>
      <c r="F31" s="35">
        <v>-999</v>
      </c>
      <c r="G31" s="2">
        <f>2/4.56</f>
        <v>0.43859649122807021</v>
      </c>
      <c r="H31" s="2">
        <f>4.54/9.66</f>
        <v>0.46997929606625261</v>
      </c>
      <c r="I31" s="34" t="s">
        <v>389</v>
      </c>
      <c r="J31" s="72"/>
    </row>
    <row r="32" spans="1:13" ht="34">
      <c r="A32" s="35">
        <v>31</v>
      </c>
      <c r="B32" s="35" t="s">
        <v>390</v>
      </c>
      <c r="C32" s="39" t="s">
        <v>391</v>
      </c>
      <c r="E32" s="35" t="s">
        <v>250</v>
      </c>
      <c r="F32" s="35">
        <v>-999</v>
      </c>
      <c r="G32" s="73">
        <v>0</v>
      </c>
      <c r="H32" s="73">
        <v>0.05</v>
      </c>
      <c r="I32" s="74" t="s">
        <v>392</v>
      </c>
      <c r="J32" s="65" t="s">
        <v>302</v>
      </c>
    </row>
    <row r="33" spans="1:10" ht="34">
      <c r="A33" s="35">
        <v>32</v>
      </c>
      <c r="B33" s="35" t="s">
        <v>393</v>
      </c>
      <c r="C33" s="39" t="s">
        <v>394</v>
      </c>
      <c r="E33" s="35" t="s">
        <v>250</v>
      </c>
      <c r="F33" s="35">
        <v>-999</v>
      </c>
      <c r="G33" s="73">
        <v>0</v>
      </c>
      <c r="H33" s="73">
        <v>0.1</v>
      </c>
      <c r="I33" s="69" t="s">
        <v>395</v>
      </c>
      <c r="J33" s="65" t="s">
        <v>302</v>
      </c>
    </row>
    <row r="34" spans="1:10" ht="34">
      <c r="A34" s="35">
        <v>33</v>
      </c>
      <c r="B34" s="35" t="s">
        <v>396</v>
      </c>
      <c r="C34" s="39" t="s">
        <v>397</v>
      </c>
      <c r="E34" s="35" t="s">
        <v>250</v>
      </c>
      <c r="F34" s="35">
        <v>-999</v>
      </c>
      <c r="G34" s="75">
        <v>0</v>
      </c>
      <c r="H34" s="75">
        <f>H28/2</f>
        <v>0.5</v>
      </c>
      <c r="I34" s="69" t="s">
        <v>398</v>
      </c>
      <c r="J34" s="65"/>
    </row>
    <row r="35" spans="1:10" ht="51">
      <c r="A35" s="35">
        <v>34</v>
      </c>
      <c r="B35" s="35" t="s">
        <v>399</v>
      </c>
      <c r="C35" s="39" t="s">
        <v>400</v>
      </c>
      <c r="E35" s="35" t="s">
        <v>250</v>
      </c>
      <c r="F35" s="35">
        <v>-999</v>
      </c>
      <c r="G35" s="73">
        <v>0</v>
      </c>
      <c r="H35" s="73">
        <v>0.05</v>
      </c>
      <c r="I35" s="34" t="s">
        <v>401</v>
      </c>
      <c r="J35" s="65" t="s">
        <v>302</v>
      </c>
    </row>
    <row r="36" spans="1:10" ht="34">
      <c r="A36" s="35">
        <v>35</v>
      </c>
      <c r="B36" s="35" t="s">
        <v>402</v>
      </c>
      <c r="C36" s="39" t="s">
        <v>403</v>
      </c>
      <c r="E36" s="35" t="s">
        <v>250</v>
      </c>
      <c r="F36" s="35">
        <v>-999</v>
      </c>
      <c r="G36" s="73">
        <v>0</v>
      </c>
      <c r="H36" s="73">
        <v>0.1</v>
      </c>
      <c r="I36" s="69" t="s">
        <v>404</v>
      </c>
      <c r="J36" s="65" t="s">
        <v>302</v>
      </c>
    </row>
    <row r="37" spans="1:10" ht="34">
      <c r="A37" s="35">
        <v>36</v>
      </c>
      <c r="B37" s="35" t="s">
        <v>405</v>
      </c>
      <c r="C37" s="39" t="s">
        <v>406</v>
      </c>
      <c r="E37" s="35" t="s">
        <v>250</v>
      </c>
      <c r="F37" s="35">
        <v>-999</v>
      </c>
      <c r="G37" s="73">
        <v>0</v>
      </c>
      <c r="H37" s="73">
        <f>4.53/9.66</f>
        <v>0.46894409937888198</v>
      </c>
      <c r="I37" s="34" t="s">
        <v>407</v>
      </c>
      <c r="J37" s="72"/>
    </row>
    <row r="38" spans="1:10" ht="102">
      <c r="A38" s="35">
        <v>37</v>
      </c>
      <c r="B38" s="35" t="s">
        <v>341</v>
      </c>
      <c r="C38" s="39" t="s">
        <v>408</v>
      </c>
      <c r="E38" s="35" t="s">
        <v>250</v>
      </c>
      <c r="F38" s="35">
        <v>-999</v>
      </c>
      <c r="G38" s="35">
        <v>50</v>
      </c>
      <c r="H38" s="35">
        <v>200</v>
      </c>
      <c r="I38" s="39" t="s">
        <v>409</v>
      </c>
      <c r="J38" s="39" t="s">
        <v>410</v>
      </c>
    </row>
    <row r="39" spans="1:10" ht="17">
      <c r="A39" s="35">
        <v>38</v>
      </c>
      <c r="B39" s="35" t="s">
        <v>411</v>
      </c>
      <c r="C39" s="39" t="s">
        <v>412</v>
      </c>
      <c r="E39" s="35" t="s">
        <v>250</v>
      </c>
      <c r="F39" s="35">
        <v>-999</v>
      </c>
      <c r="G39" s="35">
        <v>500</v>
      </c>
      <c r="H39" s="35">
        <v>1000</v>
      </c>
      <c r="I39" s="69" t="s">
        <v>413</v>
      </c>
    </row>
    <row r="40" spans="1:10" ht="17">
      <c r="A40" s="35">
        <v>39</v>
      </c>
      <c r="B40" s="35" t="s">
        <v>414</v>
      </c>
      <c r="C40" s="39" t="s">
        <v>415</v>
      </c>
      <c r="E40" s="35" t="s">
        <v>250</v>
      </c>
      <c r="F40" s="35">
        <v>-999</v>
      </c>
      <c r="G40" s="35">
        <v>100</v>
      </c>
      <c r="H40" s="35">
        <v>1000</v>
      </c>
      <c r="I40" s="69" t="s">
        <v>416</v>
      </c>
    </row>
    <row r="41" spans="1:10" ht="17">
      <c r="A41" s="35">
        <v>40</v>
      </c>
      <c r="B41" s="35" t="s">
        <v>417</v>
      </c>
      <c r="C41" s="39" t="s">
        <v>418</v>
      </c>
      <c r="E41" s="35" t="s">
        <v>250</v>
      </c>
      <c r="F41" s="35">
        <v>-999</v>
      </c>
      <c r="G41" s="35">
        <v>1</v>
      </c>
      <c r="H41" s="35">
        <v>10</v>
      </c>
      <c r="I41" s="69" t="s">
        <v>419</v>
      </c>
    </row>
    <row r="42" spans="1:10" ht="51">
      <c r="A42" s="35">
        <v>41</v>
      </c>
      <c r="B42" s="35" t="s">
        <v>420</v>
      </c>
      <c r="C42" s="39" t="s">
        <v>421</v>
      </c>
      <c r="E42" s="35" t="s">
        <v>224</v>
      </c>
      <c r="F42" s="35">
        <v>0</v>
      </c>
      <c r="G42" s="35">
        <v>-999</v>
      </c>
      <c r="H42" s="35">
        <v>-999</v>
      </c>
      <c r="I42" s="39" t="s">
        <v>422</v>
      </c>
    </row>
    <row r="43" spans="1:10" ht="17">
      <c r="A43" s="35">
        <v>42</v>
      </c>
      <c r="B43" s="35" t="s">
        <v>369</v>
      </c>
      <c r="C43" s="39" t="s">
        <v>423</v>
      </c>
      <c r="E43" s="35" t="s">
        <v>224</v>
      </c>
      <c r="F43" s="35">
        <v>0</v>
      </c>
      <c r="G43" s="35">
        <v>-999</v>
      </c>
      <c r="H43" s="35">
        <v>-999</v>
      </c>
      <c r="I43" s="69" t="s">
        <v>424</v>
      </c>
    </row>
    <row r="44" spans="1:10" ht="17">
      <c r="A44" s="35">
        <v>43</v>
      </c>
      <c r="B44" s="35" t="s">
        <v>387</v>
      </c>
      <c r="C44" s="39" t="s">
        <v>425</v>
      </c>
      <c r="E44" s="35" t="s">
        <v>224</v>
      </c>
      <c r="F44" s="35">
        <v>0</v>
      </c>
      <c r="G44" s="35">
        <v>-999</v>
      </c>
      <c r="H44" s="35">
        <v>-999</v>
      </c>
      <c r="I44" s="69" t="s">
        <v>424</v>
      </c>
    </row>
    <row r="45" spans="1:10" ht="17">
      <c r="A45" s="35">
        <v>44</v>
      </c>
      <c r="B45" s="35" t="s">
        <v>405</v>
      </c>
      <c r="C45" s="39" t="s">
        <v>426</v>
      </c>
      <c r="E45" s="35" t="s">
        <v>224</v>
      </c>
      <c r="F45" s="35">
        <v>0</v>
      </c>
      <c r="G45" s="35">
        <v>-999</v>
      </c>
      <c r="H45" s="35">
        <v>-999</v>
      </c>
      <c r="I45" s="69" t="s">
        <v>424</v>
      </c>
    </row>
    <row r="46" spans="1:10" ht="170">
      <c r="A46" s="35">
        <v>45</v>
      </c>
      <c r="B46" s="35" t="s">
        <v>427</v>
      </c>
      <c r="C46" s="39" t="s">
        <v>428</v>
      </c>
      <c r="E46" s="35" t="s">
        <v>250</v>
      </c>
      <c r="F46" s="35">
        <v>-999</v>
      </c>
      <c r="G46" s="35">
        <v>50</v>
      </c>
      <c r="H46" s="35">
        <f>5.4*12</f>
        <v>64.800000000000011</v>
      </c>
      <c r="I46" s="39" t="s">
        <v>429</v>
      </c>
      <c r="J46" s="34" t="s">
        <v>430</v>
      </c>
    </row>
    <row r="47" spans="1:10" ht="51">
      <c r="A47" s="35">
        <v>46</v>
      </c>
      <c r="B47" s="35" t="s">
        <v>431</v>
      </c>
      <c r="C47" s="39" t="s">
        <v>432</v>
      </c>
      <c r="E47" s="35" t="s">
        <v>250</v>
      </c>
      <c r="F47" s="35">
        <v>-999</v>
      </c>
      <c r="G47" s="35">
        <f>G46</f>
        <v>50</v>
      </c>
      <c r="H47" s="35">
        <f>H46</f>
        <v>64.800000000000011</v>
      </c>
      <c r="I47" s="39" t="s">
        <v>433</v>
      </c>
    </row>
    <row r="48" spans="1:10" ht="85">
      <c r="A48" s="35">
        <v>47</v>
      </c>
      <c r="B48" s="35" t="s">
        <v>434</v>
      </c>
      <c r="C48" s="39" t="s">
        <v>435</v>
      </c>
      <c r="E48" s="35" t="s">
        <v>250</v>
      </c>
      <c r="F48" s="35">
        <v>-999</v>
      </c>
      <c r="G48" s="35">
        <f>G46</f>
        <v>50</v>
      </c>
      <c r="H48" s="35">
        <f>H46</f>
        <v>64.800000000000011</v>
      </c>
      <c r="I48" s="39" t="s">
        <v>436</v>
      </c>
      <c r="J48" s="39" t="s">
        <v>437</v>
      </c>
    </row>
    <row r="49" spans="1:10" ht="17">
      <c r="A49" s="35">
        <v>48</v>
      </c>
      <c r="B49" s="35" t="s">
        <v>438</v>
      </c>
      <c r="C49" s="39" t="s">
        <v>439</v>
      </c>
      <c r="E49" s="35" t="s">
        <v>250</v>
      </c>
      <c r="F49" s="35">
        <v>-999</v>
      </c>
      <c r="G49" s="35">
        <v>1</v>
      </c>
      <c r="H49" s="35">
        <v>3</v>
      </c>
      <c r="I49" s="34" t="s">
        <v>440</v>
      </c>
    </row>
    <row r="50" spans="1:10" ht="102">
      <c r="A50" s="35">
        <v>49</v>
      </c>
      <c r="B50" s="35" t="s">
        <v>441</v>
      </c>
      <c r="C50" s="39" t="s">
        <v>442</v>
      </c>
      <c r="E50" s="35" t="s">
        <v>250</v>
      </c>
      <c r="F50" s="35">
        <v>-999</v>
      </c>
      <c r="G50" s="35">
        <v>1E-3</v>
      </c>
      <c r="H50" s="35">
        <f>0.059*0.165</f>
        <v>9.7350000000000006E-3</v>
      </c>
      <c r="I50" s="39" t="s">
        <v>443</v>
      </c>
      <c r="J50" s="34" t="s">
        <v>444</v>
      </c>
    </row>
    <row r="51" spans="1:10" ht="68">
      <c r="A51" s="35">
        <v>50</v>
      </c>
      <c r="B51" s="35" t="s">
        <v>445</v>
      </c>
      <c r="C51" s="39" t="s">
        <v>446</v>
      </c>
      <c r="E51" s="35" t="s">
        <v>250</v>
      </c>
      <c r="F51" s="35">
        <v>-999</v>
      </c>
      <c r="G51" s="35">
        <v>1.1000000000000001</v>
      </c>
      <c r="H51" s="35">
        <v>1.3</v>
      </c>
      <c r="I51" s="39" t="s">
        <v>447</v>
      </c>
      <c r="J51" s="76" t="s">
        <v>448</v>
      </c>
    </row>
    <row r="52" spans="1:10" ht="85">
      <c r="A52" s="35">
        <v>51</v>
      </c>
      <c r="B52" s="35" t="s">
        <v>449</v>
      </c>
      <c r="C52" s="39" t="s">
        <v>450</v>
      </c>
      <c r="E52" s="35" t="s">
        <v>250</v>
      </c>
      <c r="F52" s="35">
        <v>-999</v>
      </c>
      <c r="G52" s="35">
        <v>0.02</v>
      </c>
      <c r="H52" s="35">
        <f>0.216*0.292</f>
        <v>6.3071999999999989E-2</v>
      </c>
      <c r="I52" s="39" t="s">
        <v>451</v>
      </c>
      <c r="J52" s="76" t="s">
        <v>452</v>
      </c>
    </row>
    <row r="53" spans="1:10" ht="136">
      <c r="A53" s="35">
        <v>52</v>
      </c>
      <c r="B53" s="35" t="s">
        <v>453</v>
      </c>
      <c r="C53" s="39" t="s">
        <v>454</v>
      </c>
      <c r="E53" s="35" t="s">
        <v>250</v>
      </c>
      <c r="F53" s="35">
        <v>-999</v>
      </c>
      <c r="G53" s="35">
        <v>0.05</v>
      </c>
      <c r="H53" s="35">
        <f>0.159</f>
        <v>0.159</v>
      </c>
      <c r="I53" s="39" t="s">
        <v>455</v>
      </c>
      <c r="J53" s="34" t="s">
        <v>456</v>
      </c>
    </row>
    <row r="54" spans="1:10" ht="34">
      <c r="A54" s="35">
        <v>53</v>
      </c>
      <c r="B54" s="35" t="s">
        <v>457</v>
      </c>
      <c r="C54" s="39" t="s">
        <v>458</v>
      </c>
      <c r="E54" s="35" t="s">
        <v>250</v>
      </c>
      <c r="F54" s="35">
        <v>-999</v>
      </c>
      <c r="G54" s="35">
        <v>1985</v>
      </c>
      <c r="H54" s="35">
        <v>1998</v>
      </c>
      <c r="I54" s="39" t="s">
        <v>459</v>
      </c>
      <c r="J54" s="34"/>
    </row>
    <row r="55" spans="1:10" ht="17">
      <c r="A55" s="35">
        <v>54</v>
      </c>
      <c r="B55" s="35" t="s">
        <v>460</v>
      </c>
      <c r="C55" s="39" t="s">
        <v>461</v>
      </c>
      <c r="E55" s="35" t="s">
        <v>250</v>
      </c>
      <c r="F55" s="35">
        <v>-999</v>
      </c>
      <c r="G55" s="35">
        <v>2005</v>
      </c>
      <c r="H55" s="35">
        <v>2010</v>
      </c>
    </row>
    <row r="56" spans="1:10" ht="85">
      <c r="A56" s="35">
        <v>55</v>
      </c>
      <c r="B56" s="35" t="s">
        <v>462</v>
      </c>
      <c r="C56" s="39" t="s">
        <v>463</v>
      </c>
      <c r="E56" s="35" t="s">
        <v>250</v>
      </c>
      <c r="F56" s="35">
        <v>-999</v>
      </c>
      <c r="G56" s="35">
        <v>0.01</v>
      </c>
      <c r="H56" s="35">
        <v>0.1</v>
      </c>
      <c r="I56" s="39" t="s">
        <v>464</v>
      </c>
      <c r="J56" s="39" t="s">
        <v>465</v>
      </c>
    </row>
    <row r="57" spans="1:10" ht="51">
      <c r="A57" s="35">
        <v>56</v>
      </c>
      <c r="B57" s="35" t="s">
        <v>466</v>
      </c>
      <c r="C57" s="39" t="s">
        <v>467</v>
      </c>
      <c r="E57" s="35" t="s">
        <v>250</v>
      </c>
      <c r="F57" s="35">
        <v>-999</v>
      </c>
      <c r="G57" s="35">
        <v>0.47699999999999998</v>
      </c>
      <c r="H57" s="35">
        <v>0.71</v>
      </c>
      <c r="I57" s="39" t="s">
        <v>468</v>
      </c>
      <c r="J57" s="39" t="s">
        <v>469</v>
      </c>
    </row>
    <row r="58" spans="1:10" ht="136">
      <c r="A58" s="35">
        <v>57</v>
      </c>
      <c r="B58" s="35" t="s">
        <v>470</v>
      </c>
      <c r="C58" s="39" t="s">
        <v>471</v>
      </c>
      <c r="E58" s="35" t="s">
        <v>250</v>
      </c>
      <c r="F58" s="35">
        <v>-999</v>
      </c>
      <c r="G58" s="35">
        <v>0.05</v>
      </c>
      <c r="H58" s="35">
        <v>0.15</v>
      </c>
      <c r="I58" s="39" t="s">
        <v>472</v>
      </c>
      <c r="J58" s="39" t="s">
        <v>473</v>
      </c>
    </row>
    <row r="59" spans="1:10" ht="136">
      <c r="A59" s="35">
        <v>58</v>
      </c>
      <c r="B59" s="35" t="s">
        <v>474</v>
      </c>
      <c r="C59" s="39" t="s">
        <v>471</v>
      </c>
      <c r="E59" s="35" t="s">
        <v>250</v>
      </c>
      <c r="F59" s="35">
        <v>-999</v>
      </c>
      <c r="G59" s="35">
        <v>0.5</v>
      </c>
      <c r="H59" s="35">
        <v>0.85799999999999998</v>
      </c>
      <c r="I59" s="39" t="s">
        <v>475</v>
      </c>
      <c r="J59" s="39" t="s">
        <v>476</v>
      </c>
    </row>
    <row r="60" spans="1:10" ht="17">
      <c r="A60" s="35">
        <v>59</v>
      </c>
      <c r="B60" s="35" t="s">
        <v>477</v>
      </c>
      <c r="C60" s="39" t="s">
        <v>477</v>
      </c>
      <c r="E60" s="35" t="s">
        <v>224</v>
      </c>
      <c r="F60" s="35">
        <v>0</v>
      </c>
      <c r="G60" s="35">
        <v>-999</v>
      </c>
      <c r="H60" s="35">
        <v>-999</v>
      </c>
      <c r="I60" s="39" t="s">
        <v>478</v>
      </c>
    </row>
    <row r="61" spans="1:10" ht="85">
      <c r="A61" s="35">
        <v>60</v>
      </c>
      <c r="B61" s="35" t="s">
        <v>479</v>
      </c>
      <c r="C61" s="39" t="s">
        <v>480</v>
      </c>
      <c r="E61" s="35" t="s">
        <v>250</v>
      </c>
      <c r="F61" s="35">
        <v>-999</v>
      </c>
      <c r="G61" s="35">
        <v>0.5</v>
      </c>
      <c r="H61" s="35">
        <v>0.8</v>
      </c>
      <c r="I61" s="39" t="s">
        <v>481</v>
      </c>
      <c r="J61" s="34" t="s">
        <v>482</v>
      </c>
    </row>
    <row r="62" spans="1:10" ht="153">
      <c r="A62" s="35">
        <v>61</v>
      </c>
      <c r="B62" s="35" t="s">
        <v>483</v>
      </c>
      <c r="C62" s="39" t="s">
        <v>484</v>
      </c>
      <c r="E62" s="35" t="s">
        <v>250</v>
      </c>
      <c r="F62" s="35">
        <v>-999</v>
      </c>
      <c r="G62" s="35">
        <f>1-0.255</f>
        <v>0.745</v>
      </c>
      <c r="H62" s="35">
        <v>1</v>
      </c>
      <c r="I62" s="39" t="s">
        <v>485</v>
      </c>
      <c r="J62" s="34" t="s">
        <v>486</v>
      </c>
    </row>
    <row r="63" spans="1:10" ht="34">
      <c r="A63" s="35">
        <v>62</v>
      </c>
      <c r="B63" s="35" t="s">
        <v>487</v>
      </c>
      <c r="C63" s="39" t="s">
        <v>488</v>
      </c>
      <c r="E63" s="35" t="s">
        <v>250</v>
      </c>
      <c r="F63" s="35">
        <v>-999</v>
      </c>
      <c r="G63" s="35">
        <f>1-0.24</f>
        <v>0.76</v>
      </c>
      <c r="H63" s="35">
        <v>1</v>
      </c>
      <c r="I63" s="39" t="s">
        <v>489</v>
      </c>
      <c r="J63" s="34" t="s">
        <v>486</v>
      </c>
    </row>
    <row r="64" spans="1:10" ht="34">
      <c r="A64" s="35">
        <v>63</v>
      </c>
      <c r="B64" s="35" t="s">
        <v>490</v>
      </c>
      <c r="C64" s="39" t="s">
        <v>491</v>
      </c>
      <c r="E64" s="35" t="s">
        <v>250</v>
      </c>
      <c r="F64" s="35">
        <v>-999</v>
      </c>
      <c r="G64" s="35">
        <v>0.8</v>
      </c>
      <c r="H64" s="35">
        <v>1</v>
      </c>
      <c r="I64" s="39" t="s">
        <v>492</v>
      </c>
      <c r="J64" s="34" t="s">
        <v>486</v>
      </c>
    </row>
    <row r="65" spans="1:10" ht="34">
      <c r="A65" s="35">
        <v>64</v>
      </c>
      <c r="B65" s="35" t="s">
        <v>493</v>
      </c>
      <c r="C65" s="39" t="s">
        <v>494</v>
      </c>
      <c r="E65" s="35" t="s">
        <v>250</v>
      </c>
      <c r="F65" s="35">
        <v>-999</v>
      </c>
      <c r="G65" s="35">
        <v>0.8</v>
      </c>
      <c r="H65" s="35">
        <v>1</v>
      </c>
      <c r="I65" s="39" t="s">
        <v>495</v>
      </c>
      <c r="J65" s="34" t="s">
        <v>486</v>
      </c>
    </row>
    <row r="66" spans="1:10" ht="34">
      <c r="A66" s="35">
        <v>65</v>
      </c>
      <c r="B66" s="35" t="s">
        <v>496</v>
      </c>
      <c r="C66" s="39" t="s">
        <v>497</v>
      </c>
      <c r="E66" s="35" t="s">
        <v>250</v>
      </c>
      <c r="F66" s="35">
        <v>-999</v>
      </c>
      <c r="G66" s="35">
        <v>0.8</v>
      </c>
      <c r="H66" s="35">
        <v>1</v>
      </c>
      <c r="I66" s="39" t="s">
        <v>653</v>
      </c>
      <c r="J66" s="34" t="s">
        <v>486</v>
      </c>
    </row>
    <row r="67" spans="1:10" ht="51">
      <c r="A67" s="35">
        <v>66</v>
      </c>
      <c r="B67" s="35" t="s">
        <v>498</v>
      </c>
      <c r="C67" s="39" t="s">
        <v>499</v>
      </c>
      <c r="E67" s="35" t="s">
        <v>250</v>
      </c>
      <c r="F67" s="35">
        <v>-999</v>
      </c>
      <c r="G67" s="35">
        <v>0</v>
      </c>
      <c r="H67" s="35">
        <v>0.02</v>
      </c>
      <c r="I67" s="39" t="s">
        <v>500</v>
      </c>
    </row>
    <row r="68" spans="1:10" ht="34">
      <c r="A68" s="35">
        <v>67</v>
      </c>
      <c r="B68" s="35" t="s">
        <v>501</v>
      </c>
      <c r="C68" s="39" t="s">
        <v>502</v>
      </c>
      <c r="E68" s="35" t="s">
        <v>224</v>
      </c>
      <c r="F68" s="35">
        <v>1</v>
      </c>
      <c r="G68" s="35">
        <v>-999</v>
      </c>
      <c r="H68" s="35">
        <v>-999</v>
      </c>
      <c r="I68" s="39" t="s">
        <v>503</v>
      </c>
      <c r="J68" s="34" t="s">
        <v>486</v>
      </c>
    </row>
    <row r="69" spans="1:10" ht="34">
      <c r="A69" s="35">
        <v>68</v>
      </c>
      <c r="B69" s="35" t="s">
        <v>504</v>
      </c>
      <c r="C69" s="39" t="s">
        <v>505</v>
      </c>
      <c r="E69" s="35" t="s">
        <v>250</v>
      </c>
      <c r="F69" s="35">
        <v>-999</v>
      </c>
      <c r="G69" s="35">
        <f>1-0.08</f>
        <v>0.92</v>
      </c>
      <c r="H69" s="35">
        <v>1</v>
      </c>
      <c r="I69" s="39" t="s">
        <v>506</v>
      </c>
      <c r="J69" s="34" t="s">
        <v>486</v>
      </c>
    </row>
    <row r="70" spans="1:10" ht="34">
      <c r="A70" s="35">
        <v>69</v>
      </c>
      <c r="B70" s="35" t="s">
        <v>507</v>
      </c>
      <c r="C70" s="39" t="s">
        <v>508</v>
      </c>
      <c r="E70" s="35" t="s">
        <v>250</v>
      </c>
      <c r="F70" s="35">
        <v>-999</v>
      </c>
      <c r="G70" s="35">
        <v>0.8</v>
      </c>
      <c r="H70" s="35">
        <v>1</v>
      </c>
      <c r="I70" s="39" t="s">
        <v>509</v>
      </c>
      <c r="J70" s="34" t="s">
        <v>486</v>
      </c>
    </row>
    <row r="71" spans="1:10" ht="34">
      <c r="A71" s="35">
        <v>70</v>
      </c>
      <c r="B71" s="35" t="s">
        <v>510</v>
      </c>
      <c r="C71" s="39" t="s">
        <v>511</v>
      </c>
      <c r="E71" s="35" t="s">
        <v>250</v>
      </c>
      <c r="F71" s="35">
        <v>-999</v>
      </c>
      <c r="G71" s="35">
        <v>0.8</v>
      </c>
      <c r="H71" s="35">
        <v>1</v>
      </c>
      <c r="I71" s="39" t="s">
        <v>512</v>
      </c>
      <c r="J71" s="34" t="s">
        <v>486</v>
      </c>
    </row>
    <row r="72" spans="1:10" ht="34">
      <c r="A72" s="35">
        <v>71</v>
      </c>
      <c r="B72" s="35" t="s">
        <v>513</v>
      </c>
      <c r="C72" s="39" t="s">
        <v>514</v>
      </c>
      <c r="E72" s="35" t="s">
        <v>250</v>
      </c>
      <c r="F72" s="35">
        <v>-999</v>
      </c>
      <c r="G72" s="35">
        <v>0.8</v>
      </c>
      <c r="H72" s="35">
        <v>1</v>
      </c>
      <c r="I72" s="39" t="s">
        <v>515</v>
      </c>
      <c r="J72" s="34" t="s">
        <v>486</v>
      </c>
    </row>
    <row r="73" spans="1:10" ht="34">
      <c r="A73" s="35">
        <v>72</v>
      </c>
      <c r="B73" s="35" t="s">
        <v>516</v>
      </c>
      <c r="C73" s="39" t="s">
        <v>517</v>
      </c>
      <c r="E73" s="35" t="s">
        <v>250</v>
      </c>
      <c r="F73" s="35">
        <v>-999</v>
      </c>
      <c r="G73" s="35">
        <v>0</v>
      </c>
      <c r="H73" s="35">
        <v>0.02</v>
      </c>
      <c r="I73" s="39" t="s">
        <v>518</v>
      </c>
      <c r="J73" s="34"/>
    </row>
    <row r="74" spans="1:10" ht="68">
      <c r="A74" s="35">
        <v>73</v>
      </c>
      <c r="B74" s="35" t="s">
        <v>519</v>
      </c>
      <c r="C74" s="39" t="s">
        <v>520</v>
      </c>
      <c r="E74" s="35" t="s">
        <v>250</v>
      </c>
      <c r="F74" s="35">
        <v>-999</v>
      </c>
      <c r="G74" s="35">
        <v>0.5</v>
      </c>
      <c r="H74" s="35">
        <v>0.8</v>
      </c>
      <c r="I74" s="39" t="s">
        <v>521</v>
      </c>
      <c r="J74" s="39" t="s">
        <v>323</v>
      </c>
    </row>
    <row r="75" spans="1:10" ht="153">
      <c r="A75" s="35">
        <v>74</v>
      </c>
      <c r="B75" s="35" t="s">
        <v>522</v>
      </c>
      <c r="C75" s="39" t="s">
        <v>523</v>
      </c>
      <c r="E75" s="35" t="s">
        <v>224</v>
      </c>
      <c r="F75" s="35">
        <v>1</v>
      </c>
      <c r="G75" s="35">
        <v>-999</v>
      </c>
      <c r="H75" s="35">
        <v>-999</v>
      </c>
      <c r="I75" s="39" t="s">
        <v>524</v>
      </c>
    </row>
    <row r="76" spans="1:10" ht="51">
      <c r="A76" s="35">
        <v>75</v>
      </c>
      <c r="B76" s="35" t="s">
        <v>525</v>
      </c>
      <c r="C76" s="39" t="s">
        <v>526</v>
      </c>
      <c r="E76" s="35" t="s">
        <v>250</v>
      </c>
      <c r="F76" s="35">
        <v>-999</v>
      </c>
      <c r="G76" s="35">
        <v>0.6</v>
      </c>
      <c r="H76" s="35">
        <v>1</v>
      </c>
      <c r="I76" s="39" t="s">
        <v>527</v>
      </c>
      <c r="J76" s="35">
        <v>0.8</v>
      </c>
    </row>
    <row r="77" spans="1:10" ht="51">
      <c r="A77" s="35">
        <v>76</v>
      </c>
      <c r="B77" s="35" t="s">
        <v>528</v>
      </c>
      <c r="C77" s="39" t="s">
        <v>529</v>
      </c>
      <c r="E77" s="35" t="s">
        <v>250</v>
      </c>
      <c r="F77" s="35">
        <v>-999</v>
      </c>
      <c r="G77" s="35">
        <v>0.4</v>
      </c>
      <c r="H77" s="35">
        <v>1</v>
      </c>
      <c r="I77" s="39" t="s">
        <v>530</v>
      </c>
      <c r="J77" s="35">
        <v>0.56000000000000005</v>
      </c>
    </row>
    <row r="78" spans="1:10" ht="51">
      <c r="A78" s="35">
        <v>77</v>
      </c>
      <c r="B78" s="35" t="s">
        <v>531</v>
      </c>
      <c r="C78" s="39" t="s">
        <v>532</v>
      </c>
      <c r="E78" s="35" t="s">
        <v>250</v>
      </c>
      <c r="F78" s="35">
        <v>-999</v>
      </c>
      <c r="G78" s="35">
        <v>0.15</v>
      </c>
      <c r="H78" s="35">
        <v>1</v>
      </c>
      <c r="I78" s="39" t="s">
        <v>533</v>
      </c>
      <c r="J78" s="35">
        <v>0.26</v>
      </c>
    </row>
    <row r="79" spans="1:10" ht="34">
      <c r="A79" s="35">
        <v>78</v>
      </c>
      <c r="B79" s="35" t="s">
        <v>534</v>
      </c>
      <c r="C79" s="39" t="s">
        <v>535</v>
      </c>
      <c r="E79" s="35" t="s">
        <v>250</v>
      </c>
      <c r="F79" s="35">
        <v>-999</v>
      </c>
      <c r="G79" s="35">
        <v>0</v>
      </c>
      <c r="H79" s="35">
        <v>1</v>
      </c>
      <c r="I79" s="39" t="s">
        <v>536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1DB5A2-65D3-CE41-B17B-A29B25FB0796}">
  <dimension ref="A1:P39"/>
  <sheetViews>
    <sheetView topLeftCell="A29" zoomScale="83" zoomScaleNormal="83" workbookViewId="0">
      <selection activeCell="G12" sqref="G12"/>
    </sheetView>
  </sheetViews>
  <sheetFormatPr baseColWidth="10" defaultRowHeight="16"/>
  <cols>
    <col min="2" max="2" width="16.33203125" customWidth="1"/>
    <col min="3" max="3" width="36.83203125" style="64" customWidth="1"/>
    <col min="5" max="5" width="10.83203125" customWidth="1"/>
    <col min="6" max="6" width="12" customWidth="1"/>
    <col min="7" max="7" width="13.6640625" customWidth="1"/>
    <col min="8" max="8" width="0" style="85" hidden="1" customWidth="1"/>
    <col min="9" max="9" width="12" style="85" hidden="1" customWidth="1"/>
    <col min="10" max="10" width="13.6640625" style="85" hidden="1" customWidth="1"/>
    <col min="11" max="11" width="0" style="85" hidden="1" customWidth="1"/>
    <col min="12" max="12" width="12" style="85" hidden="1" customWidth="1"/>
    <col min="13" max="13" width="13.6640625" style="85" hidden="1" customWidth="1"/>
    <col min="14" max="14" width="40.5" style="64" customWidth="1"/>
    <col min="15" max="15" width="73" style="64" customWidth="1"/>
  </cols>
  <sheetData>
    <row r="1" spans="1:16" ht="17">
      <c r="A1" s="61" t="s">
        <v>214</v>
      </c>
      <c r="B1" s="61" t="s">
        <v>215</v>
      </c>
      <c r="C1" s="77" t="s">
        <v>216</v>
      </c>
      <c r="D1" s="61" t="s">
        <v>217</v>
      </c>
      <c r="E1" s="61" t="s">
        <v>218</v>
      </c>
      <c r="F1" s="61" t="s">
        <v>219</v>
      </c>
      <c r="G1" s="61" t="s">
        <v>220</v>
      </c>
      <c r="H1" s="84" t="s">
        <v>669</v>
      </c>
      <c r="I1" s="84" t="s">
        <v>670</v>
      </c>
      <c r="J1" s="84" t="s">
        <v>671</v>
      </c>
      <c r="K1" s="84" t="s">
        <v>821</v>
      </c>
      <c r="L1" s="84" t="s">
        <v>822</v>
      </c>
      <c r="M1" s="84" t="s">
        <v>823</v>
      </c>
      <c r="N1" s="77" t="s">
        <v>0</v>
      </c>
      <c r="O1" s="77" t="s">
        <v>221</v>
      </c>
      <c r="P1" s="61"/>
    </row>
    <row r="2" spans="1:16" ht="68">
      <c r="A2">
        <v>1</v>
      </c>
      <c r="B2" t="s">
        <v>537</v>
      </c>
      <c r="C2" s="64" t="s">
        <v>538</v>
      </c>
      <c r="D2" t="s">
        <v>250</v>
      </c>
      <c r="E2">
        <v>-999</v>
      </c>
      <c r="F2">
        <f>0.053/100</f>
        <v>5.2999999999999998E-4</v>
      </c>
      <c r="G2">
        <f>0.097/100</f>
        <v>9.7000000000000005E-4</v>
      </c>
      <c r="H2" s="85">
        <v>-999</v>
      </c>
      <c r="I2" s="88">
        <f>0.08/100</f>
        <v>8.0000000000000004E-4</v>
      </c>
      <c r="J2" s="88">
        <f>0.097/100</f>
        <v>9.7000000000000005E-4</v>
      </c>
      <c r="K2" s="85">
        <v>-999</v>
      </c>
      <c r="L2" s="85">
        <f>0.08/100</f>
        <v>8.0000000000000004E-4</v>
      </c>
      <c r="M2" s="85">
        <f>0.097/100</f>
        <v>9.7000000000000005E-4</v>
      </c>
      <c r="N2" s="64" t="s">
        <v>539</v>
      </c>
      <c r="O2" s="78" t="s">
        <v>540</v>
      </c>
    </row>
    <row r="3" spans="1:16" ht="61">
      <c r="A3">
        <v>2</v>
      </c>
      <c r="B3" t="s">
        <v>541</v>
      </c>
      <c r="C3" s="64" t="s">
        <v>542</v>
      </c>
      <c r="D3" t="s">
        <v>250</v>
      </c>
      <c r="E3">
        <v>-999</v>
      </c>
      <c r="F3">
        <v>1.5</v>
      </c>
      <c r="G3">
        <v>2</v>
      </c>
      <c r="H3" s="85">
        <v>-999</v>
      </c>
      <c r="I3" s="85">
        <v>1.5</v>
      </c>
      <c r="J3" s="85">
        <v>2</v>
      </c>
      <c r="K3" s="85">
        <v>-999</v>
      </c>
      <c r="L3" s="85">
        <v>1.5</v>
      </c>
      <c r="M3" s="85">
        <v>2</v>
      </c>
      <c r="N3" s="79"/>
      <c r="O3" s="78" t="s">
        <v>540</v>
      </c>
    </row>
    <row r="4" spans="1:16" ht="46">
      <c r="A4">
        <v>3</v>
      </c>
      <c r="B4" t="s">
        <v>543</v>
      </c>
      <c r="C4" s="64" t="s">
        <v>544</v>
      </c>
      <c r="D4" t="s">
        <v>250</v>
      </c>
      <c r="E4">
        <v>-999</v>
      </c>
      <c r="F4">
        <v>1E-3</v>
      </c>
      <c r="G4">
        <f>0.26/100</f>
        <v>2.5999999999999999E-3</v>
      </c>
      <c r="H4" s="85">
        <v>-999</v>
      </c>
      <c r="I4" s="85">
        <v>1E-3</v>
      </c>
      <c r="J4" s="85">
        <f>0.26/100</f>
        <v>2.5999999999999999E-3</v>
      </c>
      <c r="K4" s="85">
        <v>-999</v>
      </c>
      <c r="L4" s="85">
        <v>1E-3</v>
      </c>
      <c r="M4" s="85">
        <f>0.26/100</f>
        <v>2.5999999999999999E-3</v>
      </c>
      <c r="N4" s="64" t="s">
        <v>545</v>
      </c>
      <c r="O4" s="78" t="s">
        <v>546</v>
      </c>
    </row>
    <row r="5" spans="1:16" ht="102">
      <c r="A5">
        <v>4</v>
      </c>
      <c r="B5" t="s">
        <v>547</v>
      </c>
      <c r="C5" s="64" t="s">
        <v>548</v>
      </c>
      <c r="D5" t="s">
        <v>250</v>
      </c>
      <c r="E5">
        <v>-999</v>
      </c>
      <c r="F5">
        <v>15</v>
      </c>
      <c r="G5">
        <v>22</v>
      </c>
      <c r="H5" s="85">
        <v>-999</v>
      </c>
      <c r="I5" s="85">
        <v>15</v>
      </c>
      <c r="J5" s="85">
        <v>22</v>
      </c>
      <c r="K5" s="85">
        <v>-999</v>
      </c>
      <c r="L5" s="85">
        <v>15</v>
      </c>
      <c r="M5" s="85">
        <v>22</v>
      </c>
      <c r="N5" s="64" t="s">
        <v>549</v>
      </c>
      <c r="O5" s="78" t="s">
        <v>546</v>
      </c>
    </row>
    <row r="6" spans="1:16" ht="61">
      <c r="A6">
        <v>5</v>
      </c>
      <c r="B6" t="s">
        <v>550</v>
      </c>
      <c r="C6" s="64" t="s">
        <v>551</v>
      </c>
      <c r="D6" t="s">
        <v>250</v>
      </c>
      <c r="E6">
        <v>-999</v>
      </c>
      <c r="F6">
        <v>10</v>
      </c>
      <c r="G6">
        <v>19</v>
      </c>
      <c r="H6" s="85">
        <v>-999</v>
      </c>
      <c r="I6" s="85">
        <v>10</v>
      </c>
      <c r="J6" s="85">
        <v>19</v>
      </c>
      <c r="K6" s="85">
        <v>-999</v>
      </c>
      <c r="L6" s="88">
        <v>10</v>
      </c>
      <c r="M6" s="88">
        <v>17</v>
      </c>
      <c r="N6" s="64" t="s">
        <v>552</v>
      </c>
      <c r="O6" s="78" t="s">
        <v>540</v>
      </c>
    </row>
    <row r="7" spans="1:16" ht="204">
      <c r="A7">
        <v>6</v>
      </c>
      <c r="B7" t="s">
        <v>553</v>
      </c>
      <c r="C7" s="64" t="s">
        <v>554</v>
      </c>
      <c r="D7" t="s">
        <v>250</v>
      </c>
      <c r="E7">
        <v>-999</v>
      </c>
      <c r="F7">
        <v>0.92</v>
      </c>
      <c r="G7">
        <f>((1-0.876)*0.92+ 0.875*0.999)</f>
        <v>0.988205</v>
      </c>
      <c r="H7" s="85">
        <v>-999</v>
      </c>
      <c r="I7" s="85">
        <v>0.92</v>
      </c>
      <c r="J7" s="85">
        <f>((1-0.876)*0.92+ 0.875*0.999)</f>
        <v>0.988205</v>
      </c>
      <c r="K7" s="85">
        <v>-999</v>
      </c>
      <c r="L7" s="85">
        <v>0.92</v>
      </c>
      <c r="M7" s="85">
        <f>((1-0.876)*0.92+ 0.875*0.999)</f>
        <v>0.988205</v>
      </c>
      <c r="N7" s="64" t="s">
        <v>555</v>
      </c>
      <c r="O7" s="78" t="s">
        <v>556</v>
      </c>
    </row>
    <row r="8" spans="1:16" ht="34">
      <c r="A8">
        <v>7</v>
      </c>
      <c r="B8" t="s">
        <v>557</v>
      </c>
      <c r="C8" s="64" t="s">
        <v>558</v>
      </c>
      <c r="D8" t="s">
        <v>250</v>
      </c>
      <c r="E8">
        <v>-999</v>
      </c>
      <c r="F8">
        <v>1</v>
      </c>
      <c r="G8" s="64">
        <v>5</v>
      </c>
      <c r="H8" s="85">
        <v>-999</v>
      </c>
      <c r="I8" s="85">
        <v>1</v>
      </c>
      <c r="J8" s="86">
        <v>5</v>
      </c>
      <c r="K8" s="85">
        <v>-999</v>
      </c>
      <c r="L8" s="85">
        <v>1</v>
      </c>
      <c r="M8" s="86">
        <v>5</v>
      </c>
      <c r="N8" s="64" t="s">
        <v>559</v>
      </c>
      <c r="O8" s="64" t="s">
        <v>560</v>
      </c>
    </row>
    <row r="9" spans="1:16" ht="64">
      <c r="A9">
        <v>8</v>
      </c>
      <c r="B9" t="s">
        <v>561</v>
      </c>
      <c r="C9" s="64" t="s">
        <v>562</v>
      </c>
      <c r="D9" t="s">
        <v>250</v>
      </c>
      <c r="E9">
        <v>-999</v>
      </c>
      <c r="F9">
        <v>0.38</v>
      </c>
      <c r="G9">
        <v>0.66</v>
      </c>
      <c r="H9" s="85">
        <v>-999</v>
      </c>
      <c r="I9" s="85">
        <v>0.38</v>
      </c>
      <c r="J9" s="85">
        <v>0.66</v>
      </c>
      <c r="K9" s="85">
        <v>-999</v>
      </c>
      <c r="L9" s="85">
        <v>0.38</v>
      </c>
      <c r="M9" s="85">
        <v>0.66</v>
      </c>
      <c r="N9" s="80" t="s">
        <v>563</v>
      </c>
      <c r="O9" s="81" t="s">
        <v>564</v>
      </c>
    </row>
    <row r="10" spans="1:16" ht="51">
      <c r="A10">
        <v>9</v>
      </c>
      <c r="B10" t="s">
        <v>565</v>
      </c>
      <c r="C10" s="64" t="s">
        <v>566</v>
      </c>
      <c r="D10" t="s">
        <v>250</v>
      </c>
      <c r="E10">
        <v>-999</v>
      </c>
      <c r="F10">
        <v>0.75</v>
      </c>
      <c r="G10">
        <v>0.9</v>
      </c>
      <c r="H10" s="85">
        <v>-999</v>
      </c>
      <c r="I10" s="88">
        <v>0.75</v>
      </c>
      <c r="J10" s="88">
        <v>0.81</v>
      </c>
      <c r="K10" s="85">
        <v>-999</v>
      </c>
      <c r="L10" s="85">
        <v>0.75</v>
      </c>
      <c r="M10" s="85">
        <v>0.81</v>
      </c>
      <c r="N10" s="79" t="s">
        <v>567</v>
      </c>
      <c r="O10" s="81" t="s">
        <v>568</v>
      </c>
    </row>
    <row r="11" spans="1:16" ht="51">
      <c r="A11" s="110">
        <v>10</v>
      </c>
      <c r="B11" s="110" t="s">
        <v>569</v>
      </c>
      <c r="C11" s="111" t="s">
        <v>570</v>
      </c>
      <c r="D11" s="110" t="s">
        <v>250</v>
      </c>
      <c r="E11" s="110">
        <v>-999</v>
      </c>
      <c r="F11" s="110">
        <v>3</v>
      </c>
      <c r="G11" s="110">
        <v>8</v>
      </c>
      <c r="H11" s="112">
        <v>-999</v>
      </c>
      <c r="I11" s="112">
        <v>3</v>
      </c>
      <c r="J11" s="112">
        <v>8</v>
      </c>
      <c r="K11" s="112">
        <v>-999</v>
      </c>
      <c r="L11" s="112">
        <v>3</v>
      </c>
      <c r="M11" s="112">
        <v>8</v>
      </c>
      <c r="N11" s="111" t="s">
        <v>571</v>
      </c>
      <c r="O11" s="81" t="s">
        <v>572</v>
      </c>
    </row>
    <row r="12" spans="1:16" ht="17">
      <c r="A12" s="110">
        <v>11</v>
      </c>
      <c r="B12" s="110" t="s">
        <v>573</v>
      </c>
      <c r="C12" s="111" t="s">
        <v>574</v>
      </c>
      <c r="D12" s="110" t="s">
        <v>224</v>
      </c>
      <c r="E12" s="110">
        <v>2004</v>
      </c>
      <c r="F12" s="110">
        <v>2004</v>
      </c>
      <c r="G12" s="114">
        <v>-999</v>
      </c>
      <c r="H12" s="110">
        <v>2004</v>
      </c>
      <c r="I12" s="112">
        <v>-999</v>
      </c>
      <c r="J12" s="112">
        <v>-999</v>
      </c>
      <c r="K12" s="110">
        <v>2004</v>
      </c>
      <c r="L12" s="112">
        <v>-999</v>
      </c>
      <c r="M12" s="112">
        <v>-999</v>
      </c>
      <c r="N12" s="111" t="s">
        <v>575</v>
      </c>
      <c r="O12" s="81"/>
    </row>
    <row r="13" spans="1:16" ht="17">
      <c r="A13" s="110">
        <v>12</v>
      </c>
      <c r="B13" s="110" t="s">
        <v>576</v>
      </c>
      <c r="C13" s="111" t="s">
        <v>577</v>
      </c>
      <c r="D13" s="110" t="s">
        <v>224</v>
      </c>
      <c r="E13" s="110">
        <v>2030</v>
      </c>
      <c r="F13" s="110">
        <v>-999</v>
      </c>
      <c r="G13" s="110">
        <v>-999</v>
      </c>
      <c r="H13" s="112">
        <v>2030</v>
      </c>
      <c r="I13" s="112">
        <v>-999</v>
      </c>
      <c r="J13" s="112">
        <v>-999</v>
      </c>
      <c r="K13" s="112">
        <v>2030</v>
      </c>
      <c r="L13" s="112">
        <v>-999</v>
      </c>
      <c r="M13" s="112">
        <v>-999</v>
      </c>
      <c r="N13" s="111" t="s">
        <v>578</v>
      </c>
    </row>
    <row r="14" spans="1:16" ht="68">
      <c r="A14" s="110">
        <v>13</v>
      </c>
      <c r="B14" s="110" t="s">
        <v>579</v>
      </c>
      <c r="C14" s="111" t="s">
        <v>580</v>
      </c>
      <c r="D14" s="110" t="s">
        <v>224</v>
      </c>
      <c r="E14" s="110">
        <v>0.9</v>
      </c>
      <c r="F14" s="110">
        <v>-999</v>
      </c>
      <c r="G14" s="110">
        <v>-999</v>
      </c>
      <c r="H14" s="112">
        <v>0.9</v>
      </c>
      <c r="I14" s="112">
        <v>-999</v>
      </c>
      <c r="J14" s="112">
        <v>-999</v>
      </c>
      <c r="K14" s="112">
        <v>0.9</v>
      </c>
      <c r="L14" s="112">
        <v>-999</v>
      </c>
      <c r="M14" s="112">
        <v>-999</v>
      </c>
      <c r="N14" s="111" t="s">
        <v>581</v>
      </c>
      <c r="O14" s="81" t="s">
        <v>582</v>
      </c>
    </row>
    <row r="15" spans="1:16" ht="68">
      <c r="A15" s="110">
        <v>14</v>
      </c>
      <c r="B15" s="110" t="s">
        <v>825</v>
      </c>
      <c r="C15" s="111" t="s">
        <v>826</v>
      </c>
      <c r="D15" s="110" t="s">
        <v>224</v>
      </c>
      <c r="E15" s="110">
        <v>1985</v>
      </c>
      <c r="F15" s="110">
        <v>1985</v>
      </c>
      <c r="G15" s="110">
        <v>-999</v>
      </c>
      <c r="H15" s="112">
        <v>0</v>
      </c>
      <c r="I15" s="112">
        <v>-999</v>
      </c>
      <c r="J15" s="112">
        <v>-999</v>
      </c>
      <c r="K15" s="112">
        <v>0</v>
      </c>
      <c r="L15" s="112">
        <v>-999</v>
      </c>
      <c r="M15" s="112">
        <v>-999</v>
      </c>
      <c r="N15" s="113"/>
      <c r="O15" s="79" t="s">
        <v>583</v>
      </c>
    </row>
    <row r="16" spans="1:16" ht="112">
      <c r="A16">
        <v>15</v>
      </c>
      <c r="B16" t="s">
        <v>584</v>
      </c>
      <c r="C16" s="64" t="s">
        <v>585</v>
      </c>
      <c r="D16" t="s">
        <v>250</v>
      </c>
      <c r="E16">
        <v>-999</v>
      </c>
      <c r="F16">
        <v>0.14000000000000001</v>
      </c>
      <c r="G16">
        <v>0.16</v>
      </c>
      <c r="H16" s="85">
        <v>-999</v>
      </c>
      <c r="I16" s="88">
        <v>0.14000000000000001</v>
      </c>
      <c r="J16" s="88">
        <v>0.15</v>
      </c>
      <c r="K16" s="85">
        <v>-999</v>
      </c>
      <c r="L16" s="85">
        <v>0.14000000000000001</v>
      </c>
      <c r="M16" s="85">
        <v>0.15</v>
      </c>
      <c r="N16" s="80" t="s">
        <v>586</v>
      </c>
      <c r="O16" s="81" t="s">
        <v>587</v>
      </c>
    </row>
    <row r="17" spans="1:15" ht="48">
      <c r="A17">
        <v>16</v>
      </c>
      <c r="B17" t="s">
        <v>588</v>
      </c>
      <c r="C17" s="64" t="s">
        <v>589</v>
      </c>
      <c r="D17" t="s">
        <v>250</v>
      </c>
      <c r="E17">
        <v>-999</v>
      </c>
      <c r="F17">
        <v>1.5</v>
      </c>
      <c r="G17">
        <v>2.2000000000000002</v>
      </c>
      <c r="H17" s="85">
        <v>-999</v>
      </c>
      <c r="I17" s="88">
        <v>1.7</v>
      </c>
      <c r="J17" s="88">
        <v>2.1</v>
      </c>
      <c r="K17" s="85">
        <v>-999</v>
      </c>
      <c r="L17" s="85">
        <v>1.7</v>
      </c>
      <c r="M17" s="85">
        <v>2.1</v>
      </c>
      <c r="N17" s="80" t="s">
        <v>590</v>
      </c>
      <c r="O17" s="81"/>
    </row>
    <row r="18" spans="1:15" ht="128">
      <c r="A18">
        <v>17</v>
      </c>
      <c r="B18" t="s">
        <v>591</v>
      </c>
      <c r="C18" s="64" t="s">
        <v>592</v>
      </c>
      <c r="D18" t="s">
        <v>250</v>
      </c>
      <c r="E18">
        <v>-998</v>
      </c>
      <c r="F18" s="82">
        <v>0.2</v>
      </c>
      <c r="G18" s="82">
        <v>0.35</v>
      </c>
      <c r="H18" s="85">
        <v>-998</v>
      </c>
      <c r="I18" s="87">
        <v>0.2</v>
      </c>
      <c r="J18" s="87">
        <v>0.35</v>
      </c>
      <c r="K18" s="85">
        <v>-998</v>
      </c>
      <c r="L18" s="87">
        <v>0.2</v>
      </c>
      <c r="M18" s="87">
        <v>0.35</v>
      </c>
      <c r="N18" s="80" t="s">
        <v>593</v>
      </c>
      <c r="O18" s="81" t="s">
        <v>594</v>
      </c>
    </row>
    <row r="19" spans="1:15" ht="51">
      <c r="A19">
        <v>18</v>
      </c>
      <c r="B19" t="s">
        <v>595</v>
      </c>
      <c r="C19" s="64" t="s">
        <v>596</v>
      </c>
      <c r="D19" t="s">
        <v>250</v>
      </c>
      <c r="E19">
        <v>-999</v>
      </c>
      <c r="F19">
        <f>1/14</f>
        <v>7.1428571428571425E-2</v>
      </c>
      <c r="G19">
        <v>0.08</v>
      </c>
      <c r="H19" s="85">
        <v>-999</v>
      </c>
      <c r="I19" s="88">
        <f>1/14</f>
        <v>7.1428571428571425E-2</v>
      </c>
      <c r="J19" s="88">
        <v>7.5999999999999998E-2</v>
      </c>
      <c r="K19" s="85">
        <v>-999</v>
      </c>
      <c r="L19" s="106">
        <f>1/19</f>
        <v>5.2631578947368418E-2</v>
      </c>
      <c r="M19" s="106">
        <f>1/14</f>
        <v>7.1428571428571425E-2</v>
      </c>
      <c r="N19" s="64" t="s">
        <v>597</v>
      </c>
      <c r="O19" s="81" t="s">
        <v>598</v>
      </c>
    </row>
    <row r="20" spans="1:15" ht="119">
      <c r="A20">
        <v>19</v>
      </c>
      <c r="B20" t="s">
        <v>599</v>
      </c>
      <c r="C20" s="64" t="s">
        <v>600</v>
      </c>
      <c r="D20" t="s">
        <v>250</v>
      </c>
      <c r="E20">
        <v>-999</v>
      </c>
      <c r="F20">
        <v>0.05</v>
      </c>
      <c r="G20">
        <v>0.2</v>
      </c>
      <c r="H20" s="85">
        <v>-999</v>
      </c>
      <c r="I20" s="88">
        <v>0.05</v>
      </c>
      <c r="J20" s="88">
        <v>0.15</v>
      </c>
      <c r="K20" s="85">
        <v>-999</v>
      </c>
      <c r="L20" s="88">
        <v>0.05</v>
      </c>
      <c r="M20" s="88">
        <v>0.1</v>
      </c>
      <c r="N20" s="64" t="s">
        <v>672</v>
      </c>
      <c r="O20" s="64" t="s">
        <v>601</v>
      </c>
    </row>
    <row r="21" spans="1:15" ht="17">
      <c r="A21">
        <v>20</v>
      </c>
      <c r="B21" t="s">
        <v>602</v>
      </c>
      <c r="C21" s="64" t="s">
        <v>603</v>
      </c>
      <c r="D21" t="s">
        <v>224</v>
      </c>
      <c r="E21">
        <v>2007</v>
      </c>
      <c r="F21">
        <v>-999</v>
      </c>
      <c r="G21">
        <v>-999</v>
      </c>
      <c r="H21" s="85">
        <v>2007</v>
      </c>
      <c r="I21" s="85">
        <v>-999</v>
      </c>
      <c r="J21" s="85">
        <v>-999</v>
      </c>
      <c r="K21" s="85">
        <v>2007</v>
      </c>
      <c r="L21" s="85">
        <v>-999</v>
      </c>
      <c r="M21" s="85">
        <v>-999</v>
      </c>
    </row>
    <row r="22" spans="1:15" ht="34">
      <c r="A22">
        <v>21</v>
      </c>
      <c r="B22" t="s">
        <v>604</v>
      </c>
      <c r="C22" s="64" t="s">
        <v>605</v>
      </c>
      <c r="D22" t="s">
        <v>224</v>
      </c>
      <c r="E22">
        <v>2030</v>
      </c>
      <c r="F22">
        <v>-999</v>
      </c>
      <c r="G22">
        <v>-999</v>
      </c>
      <c r="H22" s="85">
        <v>2030</v>
      </c>
      <c r="I22" s="85">
        <v>-999</v>
      </c>
      <c r="J22" s="85">
        <v>-999</v>
      </c>
      <c r="K22" s="85">
        <v>2030</v>
      </c>
      <c r="L22" s="85">
        <v>-999</v>
      </c>
      <c r="M22" s="85">
        <v>-999</v>
      </c>
      <c r="N22" s="39" t="s">
        <v>606</v>
      </c>
    </row>
    <row r="23" spans="1:15" ht="170">
      <c r="A23">
        <v>22</v>
      </c>
      <c r="B23" t="s">
        <v>607</v>
      </c>
      <c r="C23" s="64" t="s">
        <v>608</v>
      </c>
      <c r="D23" t="s">
        <v>250</v>
      </c>
      <c r="E23">
        <v>-999</v>
      </c>
      <c r="F23">
        <f>0.324/2</f>
        <v>0.16200000000000001</v>
      </c>
      <c r="G23">
        <v>0.3</v>
      </c>
      <c r="H23" s="85">
        <v>-999</v>
      </c>
      <c r="I23" s="85">
        <f>0.324/2</f>
        <v>0.16200000000000001</v>
      </c>
      <c r="J23" s="85">
        <v>0.3</v>
      </c>
      <c r="K23" s="85">
        <v>-999</v>
      </c>
      <c r="L23" s="85">
        <f>0.324/2</f>
        <v>0.16200000000000001</v>
      </c>
      <c r="M23" s="85">
        <v>0.3</v>
      </c>
      <c r="N23" s="64" t="s">
        <v>609</v>
      </c>
      <c r="O23" s="64" t="s">
        <v>610</v>
      </c>
    </row>
    <row r="24" spans="1:15" ht="64">
      <c r="A24">
        <v>23</v>
      </c>
      <c r="B24" t="s">
        <v>611</v>
      </c>
      <c r="C24" s="64" t="s">
        <v>612</v>
      </c>
      <c r="D24" t="s">
        <v>224</v>
      </c>
      <c r="E24">
        <v>0.7</v>
      </c>
      <c r="F24">
        <v>-999</v>
      </c>
      <c r="G24">
        <v>-999</v>
      </c>
      <c r="H24" s="85">
        <v>0.7</v>
      </c>
      <c r="I24" s="85">
        <v>-999</v>
      </c>
      <c r="J24" s="85">
        <v>-999</v>
      </c>
      <c r="K24" s="85">
        <v>0.7</v>
      </c>
      <c r="L24" s="85">
        <v>-999</v>
      </c>
      <c r="M24" s="85">
        <v>-999</v>
      </c>
      <c r="N24" s="64" t="s">
        <v>613</v>
      </c>
      <c r="O24" s="81" t="s">
        <v>614</v>
      </c>
    </row>
    <row r="25" spans="1:15" ht="17">
      <c r="A25">
        <v>24</v>
      </c>
      <c r="B25" t="s">
        <v>615</v>
      </c>
      <c r="C25" s="64" t="s">
        <v>616</v>
      </c>
      <c r="D25" t="s">
        <v>250</v>
      </c>
      <c r="E25">
        <v>-999</v>
      </c>
      <c r="F25">
        <v>100</v>
      </c>
      <c r="G25">
        <v>1000</v>
      </c>
      <c r="H25" s="85">
        <v>-999</v>
      </c>
      <c r="I25" s="85">
        <v>100</v>
      </c>
      <c r="J25" s="85">
        <v>1000</v>
      </c>
      <c r="K25" s="85">
        <v>-999</v>
      </c>
      <c r="L25" s="85">
        <v>100</v>
      </c>
      <c r="M25" s="85">
        <v>1000</v>
      </c>
      <c r="N25" s="64" t="s">
        <v>617</v>
      </c>
    </row>
    <row r="26" spans="1:15" ht="51">
      <c r="A26">
        <v>25</v>
      </c>
      <c r="B26" t="s">
        <v>618</v>
      </c>
      <c r="C26" s="64" t="s">
        <v>619</v>
      </c>
      <c r="D26" t="s">
        <v>224</v>
      </c>
      <c r="E26">
        <v>0</v>
      </c>
      <c r="F26">
        <v>-999</v>
      </c>
      <c r="G26">
        <v>-999</v>
      </c>
      <c r="H26" s="85">
        <v>0</v>
      </c>
      <c r="I26" s="85">
        <v>-999</v>
      </c>
      <c r="J26" s="85">
        <v>-999</v>
      </c>
      <c r="K26" s="85">
        <v>0</v>
      </c>
      <c r="L26" s="85">
        <v>-999</v>
      </c>
      <c r="M26" s="85">
        <v>-999</v>
      </c>
      <c r="N26" s="64" t="s">
        <v>620</v>
      </c>
      <c r="O26" s="64" t="s">
        <v>621</v>
      </c>
    </row>
    <row r="27" spans="1:15" ht="85">
      <c r="A27">
        <v>26</v>
      </c>
      <c r="B27" t="s">
        <v>622</v>
      </c>
      <c r="C27" s="64" t="s">
        <v>623</v>
      </c>
      <c r="D27" t="s">
        <v>250</v>
      </c>
      <c r="E27">
        <v>-999</v>
      </c>
      <c r="F27">
        <v>3.0000000000000001E-3</v>
      </c>
      <c r="G27">
        <v>5.0000000000000001E-3</v>
      </c>
      <c r="H27" s="85">
        <v>-999</v>
      </c>
      <c r="I27" s="85">
        <v>3.0000000000000001E-3</v>
      </c>
      <c r="J27" s="85">
        <v>5.0000000000000001E-3</v>
      </c>
      <c r="K27" s="85">
        <v>-999</v>
      </c>
      <c r="L27" s="85">
        <v>3.0000000000000001E-3</v>
      </c>
      <c r="M27" s="85">
        <v>5.0000000000000001E-3</v>
      </c>
      <c r="N27" s="64" t="s">
        <v>624</v>
      </c>
      <c r="O27" s="64" t="s">
        <v>621</v>
      </c>
    </row>
    <row r="28" spans="1:15" ht="153">
      <c r="A28">
        <v>27</v>
      </c>
      <c r="B28" t="s">
        <v>625</v>
      </c>
      <c r="C28" s="64" t="s">
        <v>626</v>
      </c>
      <c r="D28" t="s">
        <v>250</v>
      </c>
      <c r="E28">
        <v>-999</v>
      </c>
      <c r="F28">
        <v>2.1000000000000001E-2</v>
      </c>
      <c r="G28">
        <v>0.03</v>
      </c>
      <c r="H28" s="85">
        <v>-999</v>
      </c>
      <c r="I28" s="85">
        <v>2.1000000000000001E-2</v>
      </c>
      <c r="J28" s="85">
        <v>0.03</v>
      </c>
      <c r="K28" s="85">
        <v>-999</v>
      </c>
      <c r="L28" s="85">
        <v>2.1000000000000001E-2</v>
      </c>
      <c r="M28" s="85">
        <v>0.03</v>
      </c>
      <c r="N28" s="64" t="s">
        <v>627</v>
      </c>
      <c r="O28" s="64" t="s">
        <v>628</v>
      </c>
    </row>
    <row r="29" spans="1:15" ht="221">
      <c r="A29">
        <v>28</v>
      </c>
      <c r="B29" t="s">
        <v>629</v>
      </c>
      <c r="C29" s="64" t="s">
        <v>630</v>
      </c>
      <c r="D29" t="s">
        <v>250</v>
      </c>
      <c r="E29">
        <v>-999</v>
      </c>
      <c r="F29">
        <v>0.6</v>
      </c>
      <c r="G29">
        <v>0.7</v>
      </c>
      <c r="H29" s="85">
        <v>-999</v>
      </c>
      <c r="I29" s="85">
        <v>0.6</v>
      </c>
      <c r="J29" s="85">
        <v>0.7</v>
      </c>
      <c r="K29" s="85">
        <v>-999</v>
      </c>
      <c r="L29" s="85">
        <v>0.6</v>
      </c>
      <c r="M29" s="85">
        <v>0.7</v>
      </c>
      <c r="N29" s="64" t="s">
        <v>654</v>
      </c>
      <c r="O29" s="64" t="s">
        <v>628</v>
      </c>
    </row>
    <row r="30" spans="1:15" ht="221">
      <c r="A30">
        <v>29</v>
      </c>
      <c r="B30" t="s">
        <v>631</v>
      </c>
      <c r="C30" s="64" t="s">
        <v>632</v>
      </c>
      <c r="D30" t="s">
        <v>250</v>
      </c>
      <c r="E30">
        <v>-999</v>
      </c>
      <c r="F30">
        <v>0.6</v>
      </c>
      <c r="G30">
        <v>0.7</v>
      </c>
      <c r="H30" s="85">
        <v>-999</v>
      </c>
      <c r="I30" s="85">
        <v>0.6</v>
      </c>
      <c r="J30" s="85">
        <v>0.7</v>
      </c>
      <c r="K30" s="85">
        <v>-999</v>
      </c>
      <c r="L30" s="85">
        <v>0.6</v>
      </c>
      <c r="M30" s="85">
        <v>0.7</v>
      </c>
      <c r="N30" s="64" t="s">
        <v>655</v>
      </c>
      <c r="O30" s="64" t="s">
        <v>633</v>
      </c>
    </row>
    <row r="31" spans="1:15" ht="34">
      <c r="A31">
        <v>30</v>
      </c>
      <c r="B31" t="s">
        <v>634</v>
      </c>
      <c r="C31" s="64" t="s">
        <v>635</v>
      </c>
      <c r="D31" t="s">
        <v>224</v>
      </c>
      <c r="E31" s="2">
        <v>1997.5</v>
      </c>
      <c r="F31">
        <v>-999</v>
      </c>
      <c r="G31">
        <v>-999</v>
      </c>
      <c r="H31" s="73">
        <v>1997.5</v>
      </c>
      <c r="I31" s="85">
        <v>-999</v>
      </c>
      <c r="J31" s="85">
        <v>-999</v>
      </c>
      <c r="K31" s="73">
        <v>1997.5</v>
      </c>
      <c r="L31" s="85">
        <v>-999</v>
      </c>
      <c r="M31" s="85">
        <v>-999</v>
      </c>
      <c r="N31" s="64" t="s">
        <v>635</v>
      </c>
    </row>
    <row r="32" spans="1:15" ht="34">
      <c r="A32">
        <v>31</v>
      </c>
      <c r="B32" t="s">
        <v>636</v>
      </c>
      <c r="C32" s="64" t="s">
        <v>637</v>
      </c>
      <c r="D32" t="s">
        <v>224</v>
      </c>
      <c r="E32" s="2">
        <v>2004.5</v>
      </c>
      <c r="F32">
        <v>-999</v>
      </c>
      <c r="G32">
        <v>-999</v>
      </c>
      <c r="H32" s="73">
        <v>2004.5</v>
      </c>
      <c r="I32" s="85">
        <v>-999</v>
      </c>
      <c r="J32" s="85">
        <v>-999</v>
      </c>
      <c r="K32" s="73">
        <v>2004.5</v>
      </c>
      <c r="L32" s="85">
        <v>-999</v>
      </c>
      <c r="M32" s="85">
        <v>-999</v>
      </c>
      <c r="N32" s="64" t="s">
        <v>637</v>
      </c>
    </row>
    <row r="33" spans="1:14" ht="34">
      <c r="A33">
        <v>32</v>
      </c>
      <c r="B33" t="s">
        <v>638</v>
      </c>
      <c r="C33" s="64" t="s">
        <v>639</v>
      </c>
      <c r="D33" t="s">
        <v>224</v>
      </c>
      <c r="E33" s="2">
        <v>2013.5</v>
      </c>
      <c r="F33">
        <v>-999</v>
      </c>
      <c r="G33">
        <v>-999</v>
      </c>
      <c r="H33" s="73">
        <v>2013.5</v>
      </c>
      <c r="I33" s="85">
        <v>-999</v>
      </c>
      <c r="J33" s="85">
        <v>-999</v>
      </c>
      <c r="K33" s="73">
        <v>2013.5</v>
      </c>
      <c r="L33" s="85">
        <v>-999</v>
      </c>
      <c r="M33" s="85">
        <v>-999</v>
      </c>
      <c r="N33" s="64" t="s">
        <v>639</v>
      </c>
    </row>
    <row r="34" spans="1:14" ht="34">
      <c r="A34">
        <v>33</v>
      </c>
      <c r="B34" t="s">
        <v>640</v>
      </c>
      <c r="C34" s="64" t="s">
        <v>641</v>
      </c>
      <c r="D34" t="s">
        <v>224</v>
      </c>
      <c r="E34" s="2">
        <v>2020</v>
      </c>
      <c r="F34">
        <v>-999</v>
      </c>
      <c r="G34">
        <v>-999</v>
      </c>
      <c r="H34" s="73">
        <v>2020</v>
      </c>
      <c r="I34" s="85">
        <v>-999</v>
      </c>
      <c r="J34" s="85">
        <v>-999</v>
      </c>
      <c r="K34" s="73">
        <v>2020</v>
      </c>
      <c r="L34" s="85">
        <v>-999</v>
      </c>
      <c r="M34" s="85">
        <v>-999</v>
      </c>
      <c r="N34" s="64" t="s">
        <v>641</v>
      </c>
    </row>
    <row r="35" spans="1:14" ht="85">
      <c r="A35">
        <v>34</v>
      </c>
      <c r="B35" t="s">
        <v>642</v>
      </c>
      <c r="C35" s="64" t="s">
        <v>643</v>
      </c>
      <c r="D35" t="s">
        <v>250</v>
      </c>
      <c r="E35">
        <v>-999</v>
      </c>
      <c r="F35">
        <v>1.8</v>
      </c>
      <c r="G35">
        <v>2.1</v>
      </c>
      <c r="H35" s="85">
        <v>-999</v>
      </c>
      <c r="I35" s="85">
        <v>1.8</v>
      </c>
      <c r="J35" s="85">
        <v>2.1</v>
      </c>
      <c r="K35" s="85">
        <v>-999</v>
      </c>
      <c r="L35" s="85">
        <v>1.8</v>
      </c>
      <c r="M35" s="85">
        <v>2.1</v>
      </c>
      <c r="N35" s="64" t="s">
        <v>644</v>
      </c>
    </row>
    <row r="36" spans="1:14" ht="17">
      <c r="A36">
        <v>35</v>
      </c>
      <c r="B36" t="s">
        <v>645</v>
      </c>
      <c r="C36" s="64" t="s">
        <v>646</v>
      </c>
      <c r="D36" t="s">
        <v>250</v>
      </c>
      <c r="E36">
        <v>-999</v>
      </c>
      <c r="F36">
        <v>2</v>
      </c>
      <c r="G36">
        <v>3</v>
      </c>
      <c r="H36" s="85">
        <v>-999</v>
      </c>
      <c r="I36" s="85">
        <v>2</v>
      </c>
      <c r="J36" s="85">
        <v>3</v>
      </c>
      <c r="K36" s="85">
        <v>-999</v>
      </c>
      <c r="L36" s="85">
        <v>2</v>
      </c>
      <c r="M36" s="85">
        <v>3</v>
      </c>
      <c r="N36" s="79" t="s">
        <v>326</v>
      </c>
    </row>
    <row r="37" spans="1:14" ht="17">
      <c r="A37">
        <v>36</v>
      </c>
      <c r="B37" t="s">
        <v>647</v>
      </c>
      <c r="C37" s="64" t="s">
        <v>648</v>
      </c>
      <c r="D37" t="s">
        <v>250</v>
      </c>
      <c r="E37">
        <v>-999</v>
      </c>
      <c r="F37">
        <v>1.1000000000000001</v>
      </c>
      <c r="G37">
        <v>1.8</v>
      </c>
      <c r="H37" s="85">
        <v>-999</v>
      </c>
      <c r="I37" s="85">
        <v>1.1000000000000001</v>
      </c>
      <c r="J37" s="85">
        <v>1.8</v>
      </c>
      <c r="K37" s="85">
        <v>-999</v>
      </c>
      <c r="L37" s="88">
        <v>1.2</v>
      </c>
      <c r="M37" s="85">
        <v>1.8</v>
      </c>
      <c r="N37" s="79" t="s">
        <v>326</v>
      </c>
    </row>
    <row r="38" spans="1:14" ht="17">
      <c r="A38">
        <v>37</v>
      </c>
      <c r="B38" t="s">
        <v>649</v>
      </c>
      <c r="C38" s="64" t="s">
        <v>650</v>
      </c>
      <c r="D38" t="s">
        <v>224</v>
      </c>
      <c r="E38">
        <v>1.1000000000000001</v>
      </c>
      <c r="F38">
        <v>-999</v>
      </c>
      <c r="G38">
        <v>-999</v>
      </c>
      <c r="H38" s="85">
        <v>1.1000000000000001</v>
      </c>
      <c r="I38" s="85">
        <v>-999</v>
      </c>
      <c r="J38" s="85">
        <v>-999</v>
      </c>
      <c r="K38" s="85">
        <v>1.1000000000000001</v>
      </c>
      <c r="L38" s="85">
        <v>-999</v>
      </c>
      <c r="M38" s="85">
        <v>-999</v>
      </c>
      <c r="N38" s="79" t="s">
        <v>326</v>
      </c>
    </row>
    <row r="39" spans="1:14" ht="17">
      <c r="A39">
        <v>38</v>
      </c>
      <c r="B39" t="s">
        <v>651</v>
      </c>
      <c r="C39" s="64" t="s">
        <v>652</v>
      </c>
      <c r="D39" t="s">
        <v>224</v>
      </c>
      <c r="E39">
        <v>1</v>
      </c>
      <c r="F39">
        <v>-999</v>
      </c>
      <c r="G39">
        <v>-999</v>
      </c>
      <c r="H39" s="85">
        <v>1</v>
      </c>
      <c r="I39" s="85">
        <v>-999</v>
      </c>
      <c r="J39" s="85">
        <v>-999</v>
      </c>
      <c r="K39" s="85">
        <v>1</v>
      </c>
      <c r="L39" s="85">
        <v>-999</v>
      </c>
      <c r="M39" s="85">
        <v>-999</v>
      </c>
      <c r="N39" s="79" t="s">
        <v>326</v>
      </c>
    </row>
  </sheetData>
  <pageMargins left="0.7" right="0.7" top="0.75" bottom="0.75" header="0.3" footer="0.3"/>
  <pageSetup orientation="portrait" horizontalDpi="0" verticalDpi="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E5142F-E67D-9A45-AF7E-0CADAB36D9A8}">
  <dimension ref="A1:X81"/>
  <sheetViews>
    <sheetView topLeftCell="A48" zoomScale="101" workbookViewId="0">
      <selection activeCell="C8" sqref="C8"/>
    </sheetView>
  </sheetViews>
  <sheetFormatPr baseColWidth="10" defaultRowHeight="16"/>
  <cols>
    <col min="1" max="2" width="10.83203125" style="35"/>
    <col min="3" max="3" width="46.1640625" style="92" customWidth="1"/>
    <col min="4" max="7" width="10.83203125" style="35"/>
    <col min="8" max="10" width="0" style="75" hidden="1" customWidth="1"/>
    <col min="11" max="11" width="45.33203125" style="39" customWidth="1"/>
    <col min="12" max="12" width="43.1640625" style="39" customWidth="1"/>
    <col min="13" max="13" width="10.83203125" style="35"/>
    <col min="25" max="16384" width="10.83203125" style="35"/>
  </cols>
  <sheetData>
    <row r="1" spans="1:12" ht="17">
      <c r="A1" s="63" t="s">
        <v>214</v>
      </c>
      <c r="B1" s="63" t="s">
        <v>215</v>
      </c>
      <c r="C1" s="90" t="s">
        <v>216</v>
      </c>
      <c r="D1" s="63" t="s">
        <v>217</v>
      </c>
      <c r="E1" s="63" t="s">
        <v>218</v>
      </c>
      <c r="F1" s="63" t="s">
        <v>219</v>
      </c>
      <c r="G1" s="63" t="s">
        <v>220</v>
      </c>
      <c r="H1" s="83" t="s">
        <v>669</v>
      </c>
      <c r="I1" s="83" t="s">
        <v>670</v>
      </c>
      <c r="J1" s="83" t="s">
        <v>671</v>
      </c>
      <c r="K1" s="62" t="s">
        <v>820</v>
      </c>
      <c r="L1" s="62" t="s">
        <v>221</v>
      </c>
    </row>
    <row r="2" spans="1:12" ht="51">
      <c r="A2" s="91">
        <v>1</v>
      </c>
      <c r="B2" s="35" t="s">
        <v>673</v>
      </c>
      <c r="C2" s="92" t="s">
        <v>674</v>
      </c>
      <c r="D2" s="35" t="s">
        <v>250</v>
      </c>
      <c r="E2" s="35">
        <v>-999</v>
      </c>
      <c r="F2" s="35">
        <v>0.3</v>
      </c>
      <c r="G2" s="35">
        <v>0.8</v>
      </c>
      <c r="H2" s="75">
        <v>-999</v>
      </c>
      <c r="I2" s="89">
        <v>0.4</v>
      </c>
      <c r="J2" s="89">
        <v>0.8</v>
      </c>
      <c r="K2" s="93" t="s">
        <v>675</v>
      </c>
      <c r="L2" s="39" t="s">
        <v>676</v>
      </c>
    </row>
    <row r="3" spans="1:12">
      <c r="A3" s="91">
        <v>2</v>
      </c>
      <c r="B3" s="35" t="s">
        <v>677</v>
      </c>
      <c r="C3" s="92" t="s">
        <v>678</v>
      </c>
      <c r="D3" s="35" t="s">
        <v>250</v>
      </c>
      <c r="E3" s="35">
        <v>-999</v>
      </c>
      <c r="F3" s="35">
        <v>0.5</v>
      </c>
      <c r="G3" s="35">
        <v>1</v>
      </c>
      <c r="H3" s="75">
        <v>-999</v>
      </c>
      <c r="I3" s="89">
        <v>0.6</v>
      </c>
      <c r="J3" s="89">
        <v>1</v>
      </c>
      <c r="K3" s="93" t="s">
        <v>679</v>
      </c>
    </row>
    <row r="4" spans="1:12">
      <c r="A4" s="91">
        <v>3</v>
      </c>
      <c r="B4" s="35" t="s">
        <v>680</v>
      </c>
      <c r="C4" s="92" t="s">
        <v>681</v>
      </c>
      <c r="D4" s="35" t="s">
        <v>250</v>
      </c>
      <c r="E4" s="35">
        <v>-999</v>
      </c>
      <c r="F4" s="35">
        <v>0.5</v>
      </c>
      <c r="G4" s="35">
        <v>1</v>
      </c>
      <c r="H4" s="75">
        <v>-999</v>
      </c>
      <c r="I4" s="75">
        <v>0.5</v>
      </c>
      <c r="J4" s="75">
        <v>1</v>
      </c>
      <c r="K4" s="93" t="s">
        <v>679</v>
      </c>
    </row>
    <row r="5" spans="1:12" ht="56" customHeight="1">
      <c r="A5" s="91">
        <v>4</v>
      </c>
      <c r="B5" s="35" t="s">
        <v>557</v>
      </c>
      <c r="C5" s="92" t="s">
        <v>682</v>
      </c>
      <c r="D5" s="35" t="s">
        <v>250</v>
      </c>
      <c r="E5" s="35">
        <v>-999</v>
      </c>
      <c r="F5" s="35">
        <v>1</v>
      </c>
      <c r="G5" s="35">
        <v>2.6</v>
      </c>
      <c r="H5" s="75">
        <v>-999</v>
      </c>
      <c r="I5" s="89">
        <v>1.1000000000000001</v>
      </c>
      <c r="J5" s="89">
        <v>2.4</v>
      </c>
      <c r="K5" s="39" t="s">
        <v>683</v>
      </c>
      <c r="L5" s="39" t="s">
        <v>560</v>
      </c>
    </row>
    <row r="6" spans="1:12" ht="45" customHeight="1">
      <c r="A6" s="91">
        <v>5</v>
      </c>
      <c r="B6" s="35" t="s">
        <v>684</v>
      </c>
      <c r="C6" s="93" t="s">
        <v>685</v>
      </c>
      <c r="D6" s="35" t="s">
        <v>250</v>
      </c>
      <c r="E6" s="35">
        <v>-999</v>
      </c>
      <c r="F6" s="35">
        <v>0.4</v>
      </c>
      <c r="G6" s="35">
        <v>0.7</v>
      </c>
      <c r="H6" s="75">
        <v>-999</v>
      </c>
      <c r="I6" s="89">
        <v>0.4</v>
      </c>
      <c r="J6" s="89">
        <v>0.6</v>
      </c>
      <c r="K6" s="39" t="s">
        <v>686</v>
      </c>
      <c r="L6" s="39" t="s">
        <v>687</v>
      </c>
    </row>
    <row r="7" spans="1:12" ht="85">
      <c r="A7" s="91">
        <v>6</v>
      </c>
      <c r="B7" s="35" t="s">
        <v>688</v>
      </c>
      <c r="C7" s="93" t="s">
        <v>689</v>
      </c>
      <c r="D7" s="35" t="s">
        <v>250</v>
      </c>
      <c r="E7" s="35">
        <v>-999</v>
      </c>
      <c r="F7" s="35">
        <v>0.1</v>
      </c>
      <c r="G7" s="35">
        <v>0.5</v>
      </c>
      <c r="H7" s="75">
        <v>-999</v>
      </c>
      <c r="I7" s="75">
        <v>0.1</v>
      </c>
      <c r="J7" s="75">
        <v>0.5</v>
      </c>
      <c r="K7" s="39" t="s">
        <v>690</v>
      </c>
      <c r="L7" s="39" t="s">
        <v>691</v>
      </c>
    </row>
    <row r="8" spans="1:12" ht="51">
      <c r="A8" s="91">
        <v>7</v>
      </c>
      <c r="B8" s="35" t="s">
        <v>692</v>
      </c>
      <c r="C8" s="92" t="s">
        <v>693</v>
      </c>
      <c r="D8" s="35" t="s">
        <v>250</v>
      </c>
      <c r="E8" s="35">
        <v>-999</v>
      </c>
      <c r="F8" s="35">
        <v>0.4</v>
      </c>
      <c r="G8" s="35">
        <v>0.8</v>
      </c>
      <c r="H8" s="75">
        <v>-999</v>
      </c>
      <c r="I8" s="75">
        <v>0.4</v>
      </c>
      <c r="J8" s="75">
        <v>0.8</v>
      </c>
      <c r="K8" s="39" t="s">
        <v>694</v>
      </c>
    </row>
    <row r="9" spans="1:12" ht="17">
      <c r="A9" s="91">
        <v>8</v>
      </c>
      <c r="B9" s="35" t="s">
        <v>695</v>
      </c>
      <c r="C9" s="92" t="s">
        <v>696</v>
      </c>
      <c r="D9" s="35" t="s">
        <v>250</v>
      </c>
      <c r="E9" s="35">
        <v>-999</v>
      </c>
      <c r="F9" s="35">
        <v>0.6</v>
      </c>
      <c r="G9" s="35">
        <v>0.8</v>
      </c>
      <c r="H9" s="75">
        <v>-999</v>
      </c>
      <c r="I9" s="75">
        <v>0.6</v>
      </c>
      <c r="J9" s="75">
        <v>0.8</v>
      </c>
      <c r="K9" s="39" t="s">
        <v>697</v>
      </c>
    </row>
    <row r="10" spans="1:12">
      <c r="A10" s="91">
        <v>9</v>
      </c>
      <c r="B10" s="35" t="s">
        <v>698</v>
      </c>
      <c r="C10" s="92" t="s">
        <v>699</v>
      </c>
      <c r="D10" s="35" t="s">
        <v>250</v>
      </c>
      <c r="E10" s="35">
        <v>-999</v>
      </c>
      <c r="F10" s="115">
        <v>0.6</v>
      </c>
      <c r="G10" s="115">
        <v>1</v>
      </c>
      <c r="H10" s="75">
        <v>-999</v>
      </c>
      <c r="I10" s="89">
        <v>0.6</v>
      </c>
      <c r="J10" s="89">
        <v>1</v>
      </c>
      <c r="K10" s="69"/>
    </row>
    <row r="11" spans="1:12" ht="75">
      <c r="A11" s="91">
        <v>10</v>
      </c>
      <c r="B11" s="35" t="s">
        <v>700</v>
      </c>
      <c r="C11" s="92" t="s">
        <v>701</v>
      </c>
      <c r="D11" s="35" t="s">
        <v>250</v>
      </c>
      <c r="E11" s="35">
        <v>-999</v>
      </c>
      <c r="F11" s="35">
        <v>0.7</v>
      </c>
      <c r="G11" s="35">
        <v>3</v>
      </c>
      <c r="H11" s="75">
        <v>-999</v>
      </c>
      <c r="I11" s="89">
        <v>0.7</v>
      </c>
      <c r="J11" s="89">
        <v>2</v>
      </c>
      <c r="K11" s="39" t="s">
        <v>702</v>
      </c>
      <c r="L11" s="94" t="s">
        <v>703</v>
      </c>
    </row>
    <row r="12" spans="1:12" ht="34">
      <c r="A12" s="91">
        <v>11</v>
      </c>
      <c r="B12" s="35" t="s">
        <v>704</v>
      </c>
      <c r="C12" s="92" t="s">
        <v>705</v>
      </c>
      <c r="D12" s="35" t="s">
        <v>250</v>
      </c>
      <c r="E12" s="35">
        <v>-999</v>
      </c>
      <c r="F12" s="35">
        <v>0.2</v>
      </c>
      <c r="G12" s="35">
        <v>1</v>
      </c>
      <c r="H12" s="75">
        <v>-999</v>
      </c>
      <c r="I12" s="89">
        <v>0.2</v>
      </c>
      <c r="J12" s="89">
        <v>0.9</v>
      </c>
      <c r="K12" s="39" t="s">
        <v>706</v>
      </c>
      <c r="L12" s="69" t="s">
        <v>326</v>
      </c>
    </row>
    <row r="13" spans="1:12" ht="17">
      <c r="A13" s="91">
        <v>12</v>
      </c>
      <c r="B13" s="35" t="s">
        <v>707</v>
      </c>
      <c r="C13" s="92" t="s">
        <v>708</v>
      </c>
      <c r="D13" s="35" t="s">
        <v>250</v>
      </c>
      <c r="E13" s="35">
        <v>-999</v>
      </c>
      <c r="F13" s="35">
        <v>0.2</v>
      </c>
      <c r="G13" s="35">
        <v>1</v>
      </c>
      <c r="H13" s="75">
        <v>-999</v>
      </c>
      <c r="I13" s="75">
        <v>0.2</v>
      </c>
      <c r="J13" s="75">
        <v>1</v>
      </c>
      <c r="K13" s="39" t="s">
        <v>709</v>
      </c>
      <c r="L13" s="95" t="s">
        <v>326</v>
      </c>
    </row>
    <row r="14" spans="1:12" ht="17">
      <c r="A14" s="91">
        <v>13</v>
      </c>
      <c r="B14" s="35" t="s">
        <v>710</v>
      </c>
      <c r="C14" s="92" t="s">
        <v>711</v>
      </c>
      <c r="D14" s="35" t="s">
        <v>250</v>
      </c>
      <c r="E14" s="35">
        <v>-999</v>
      </c>
      <c r="F14" s="35">
        <v>0</v>
      </c>
      <c r="G14" s="35">
        <v>0.2</v>
      </c>
      <c r="H14" s="75">
        <v>-999</v>
      </c>
      <c r="I14" s="75">
        <v>0</v>
      </c>
      <c r="J14" s="75">
        <v>0.2</v>
      </c>
      <c r="K14" s="39" t="s">
        <v>712</v>
      </c>
    </row>
    <row r="15" spans="1:12" ht="17">
      <c r="A15" s="91">
        <v>14</v>
      </c>
      <c r="B15" s="35" t="s">
        <v>713</v>
      </c>
      <c r="C15" s="92" t="s">
        <v>714</v>
      </c>
      <c r="D15" s="35" t="s">
        <v>250</v>
      </c>
      <c r="E15" s="35">
        <v>-999</v>
      </c>
      <c r="F15" s="35">
        <v>0.8</v>
      </c>
      <c r="G15" s="35">
        <v>1.2</v>
      </c>
      <c r="H15" s="75">
        <v>-999</v>
      </c>
      <c r="I15" s="75">
        <v>0.8</v>
      </c>
      <c r="J15" s="75">
        <v>1.2</v>
      </c>
      <c r="K15" s="39" t="s">
        <v>819</v>
      </c>
    </row>
    <row r="16" spans="1:12" ht="17">
      <c r="A16" s="91">
        <v>15</v>
      </c>
      <c r="B16" s="35" t="s">
        <v>715</v>
      </c>
      <c r="C16" s="92" t="s">
        <v>716</v>
      </c>
      <c r="D16" s="35" t="s">
        <v>250</v>
      </c>
      <c r="E16" s="35">
        <v>-999</v>
      </c>
      <c r="F16" s="35">
        <v>0.8</v>
      </c>
      <c r="G16" s="35">
        <v>1.2</v>
      </c>
      <c r="H16" s="75">
        <v>-999</v>
      </c>
      <c r="I16" s="75">
        <v>0.8</v>
      </c>
      <c r="J16" s="75">
        <v>1.2</v>
      </c>
      <c r="K16" s="39" t="s">
        <v>819</v>
      </c>
    </row>
    <row r="17" spans="1:12" ht="46" customHeight="1">
      <c r="A17" s="91">
        <v>16</v>
      </c>
      <c r="B17" s="35" t="s">
        <v>717</v>
      </c>
      <c r="C17" s="92" t="s">
        <v>718</v>
      </c>
      <c r="D17" s="35" t="s">
        <v>250</v>
      </c>
      <c r="E17" s="35">
        <v>-999</v>
      </c>
      <c r="F17" s="35">
        <v>1.5</v>
      </c>
      <c r="G17" s="35">
        <v>2</v>
      </c>
      <c r="H17" s="75">
        <v>-999</v>
      </c>
      <c r="I17" s="89">
        <v>1.3</v>
      </c>
      <c r="J17" s="89">
        <v>1.9</v>
      </c>
      <c r="K17" s="39" t="s">
        <v>719</v>
      </c>
    </row>
    <row r="18" spans="1:12" ht="153">
      <c r="A18" s="91">
        <v>17</v>
      </c>
      <c r="B18" s="35" t="s">
        <v>720</v>
      </c>
      <c r="C18" s="92" t="s">
        <v>721</v>
      </c>
      <c r="D18" s="35" t="s">
        <v>250</v>
      </c>
      <c r="E18" s="35">
        <v>-999</v>
      </c>
      <c r="F18" s="35">
        <v>0.05</v>
      </c>
      <c r="G18" s="35">
        <v>0.2</v>
      </c>
      <c r="H18" s="75">
        <v>-999</v>
      </c>
      <c r="I18" s="75">
        <v>0.05</v>
      </c>
      <c r="J18" s="75">
        <v>0.2</v>
      </c>
      <c r="K18" s="39" t="s">
        <v>722</v>
      </c>
      <c r="L18" s="96" t="s">
        <v>723</v>
      </c>
    </row>
    <row r="19" spans="1:12" ht="68">
      <c r="A19" s="91">
        <v>18</v>
      </c>
      <c r="B19" s="35" t="s">
        <v>724</v>
      </c>
      <c r="C19" s="92" t="s">
        <v>725</v>
      </c>
      <c r="D19" s="35" t="s">
        <v>250</v>
      </c>
      <c r="E19" s="35">
        <v>-999</v>
      </c>
      <c r="F19" s="35">
        <v>0.1</v>
      </c>
      <c r="G19" s="35">
        <v>0.5</v>
      </c>
      <c r="H19" s="75">
        <v>-999</v>
      </c>
      <c r="I19" s="75">
        <v>0.1</v>
      </c>
      <c r="J19" s="75">
        <v>0.5</v>
      </c>
      <c r="K19" s="39" t="s">
        <v>726</v>
      </c>
    </row>
    <row r="20" spans="1:12" ht="17">
      <c r="A20" s="91">
        <v>19</v>
      </c>
      <c r="B20" s="35" t="s">
        <v>727</v>
      </c>
      <c r="C20" s="92" t="s">
        <v>728</v>
      </c>
      <c r="D20" s="35" t="s">
        <v>250</v>
      </c>
      <c r="E20" s="35">
        <v>-999</v>
      </c>
      <c r="F20" s="35">
        <v>0.05</v>
      </c>
      <c r="G20" s="35">
        <v>0.2</v>
      </c>
      <c r="H20" s="75">
        <v>-999</v>
      </c>
      <c r="I20" s="75">
        <v>0.05</v>
      </c>
      <c r="J20" s="75">
        <v>0.2</v>
      </c>
      <c r="K20" s="69" t="s">
        <v>326</v>
      </c>
    </row>
    <row r="21" spans="1:12" ht="102">
      <c r="A21" s="91">
        <v>20</v>
      </c>
      <c r="B21" s="35" t="s">
        <v>729</v>
      </c>
      <c r="C21" s="92" t="s">
        <v>730</v>
      </c>
      <c r="D21" s="35" t="s">
        <v>250</v>
      </c>
      <c r="E21" s="35">
        <v>-999</v>
      </c>
      <c r="F21" s="35">
        <f>(0.00435*12+0.0087*12)/2</f>
        <v>7.8299999999999995E-2</v>
      </c>
      <c r="G21" s="35">
        <f>2.48/2</f>
        <v>1.24</v>
      </c>
      <c r="H21" s="75">
        <v>-999</v>
      </c>
      <c r="I21" s="89">
        <f>(0.00435*12+0.0087*12)/2</f>
        <v>7.8299999999999995E-2</v>
      </c>
      <c r="J21" s="89">
        <v>1</v>
      </c>
      <c r="K21" s="39" t="s">
        <v>731</v>
      </c>
      <c r="L21" s="39" t="s">
        <v>732</v>
      </c>
    </row>
    <row r="22" spans="1:12" ht="68">
      <c r="A22" s="91">
        <v>21</v>
      </c>
      <c r="B22" s="35" t="s">
        <v>733</v>
      </c>
      <c r="C22" s="92" t="s">
        <v>734</v>
      </c>
      <c r="D22" s="35" t="s">
        <v>250</v>
      </c>
      <c r="E22" s="35">
        <v>-999</v>
      </c>
      <c r="F22" s="35">
        <v>1.5</v>
      </c>
      <c r="G22" s="35">
        <v>2.5</v>
      </c>
      <c r="H22" s="75">
        <v>-999</v>
      </c>
      <c r="I22" s="75">
        <v>2</v>
      </c>
      <c r="J22" s="75">
        <v>3</v>
      </c>
      <c r="K22" s="69" t="s">
        <v>735</v>
      </c>
    </row>
    <row r="23" spans="1:12" ht="17">
      <c r="A23" s="91">
        <v>22</v>
      </c>
      <c r="B23" s="35" t="s">
        <v>736</v>
      </c>
      <c r="C23" s="92" t="s">
        <v>737</v>
      </c>
      <c r="D23" s="35" t="s">
        <v>250</v>
      </c>
      <c r="E23" s="35">
        <v>-999</v>
      </c>
      <c r="F23" s="35">
        <v>1.5</v>
      </c>
      <c r="G23" s="35">
        <v>3</v>
      </c>
      <c r="H23" s="75">
        <v>-999</v>
      </c>
      <c r="I23" s="75">
        <v>2.5</v>
      </c>
      <c r="J23" s="75">
        <v>3.5</v>
      </c>
      <c r="K23" s="69" t="s">
        <v>326</v>
      </c>
    </row>
    <row r="24" spans="1:12" ht="34">
      <c r="A24" s="91">
        <v>23</v>
      </c>
      <c r="B24" s="35" t="s">
        <v>738</v>
      </c>
      <c r="C24" s="92" t="s">
        <v>739</v>
      </c>
      <c r="D24" s="35" t="s">
        <v>250</v>
      </c>
      <c r="E24" s="35">
        <v>-999</v>
      </c>
      <c r="F24" s="35">
        <v>0.3</v>
      </c>
      <c r="G24" s="35">
        <v>0.6</v>
      </c>
      <c r="H24" s="75">
        <v>-999</v>
      </c>
      <c r="I24" s="75">
        <v>0.3</v>
      </c>
      <c r="J24" s="75">
        <v>0.6</v>
      </c>
      <c r="K24" s="72" t="s">
        <v>740</v>
      </c>
    </row>
    <row r="25" spans="1:12">
      <c r="A25" s="91">
        <v>24</v>
      </c>
      <c r="B25" s="35" t="s">
        <v>741</v>
      </c>
      <c r="C25" s="92" t="s">
        <v>845</v>
      </c>
      <c r="D25" s="35" t="s">
        <v>250</v>
      </c>
      <c r="E25" s="75">
        <v>-999</v>
      </c>
      <c r="F25" s="103">
        <v>1</v>
      </c>
      <c r="G25" s="75">
        <v>1.5</v>
      </c>
      <c r="H25" s="75">
        <v>-999</v>
      </c>
      <c r="I25" s="103">
        <v>1</v>
      </c>
      <c r="J25" s="75">
        <v>1.5</v>
      </c>
      <c r="K25" s="97" t="s">
        <v>742</v>
      </c>
      <c r="L25" s="96"/>
    </row>
    <row r="26" spans="1:12">
      <c r="A26" s="91">
        <v>25</v>
      </c>
      <c r="B26" s="35" t="s">
        <v>844</v>
      </c>
      <c r="C26" s="92" t="s">
        <v>843</v>
      </c>
      <c r="D26" s="35" t="s">
        <v>250</v>
      </c>
      <c r="E26" s="35">
        <v>-999</v>
      </c>
      <c r="F26" s="35">
        <v>3</v>
      </c>
      <c r="G26" s="35">
        <v>45</v>
      </c>
      <c r="H26" s="75">
        <v>0</v>
      </c>
      <c r="I26" s="75">
        <v>-999</v>
      </c>
      <c r="J26" s="75">
        <v>-999</v>
      </c>
      <c r="K26" s="94"/>
      <c r="L26" s="96"/>
    </row>
    <row r="27" spans="1:12" ht="68">
      <c r="A27" s="91">
        <v>26</v>
      </c>
      <c r="B27" s="35" t="s">
        <v>743</v>
      </c>
      <c r="C27" s="92" t="s">
        <v>744</v>
      </c>
      <c r="D27" s="35" t="s">
        <v>250</v>
      </c>
      <c r="E27" s="35">
        <v>-999</v>
      </c>
      <c r="F27" s="35">
        <v>6.0000000000000001E-3</v>
      </c>
      <c r="G27" s="35">
        <v>0.01</v>
      </c>
      <c r="H27" s="75">
        <v>-999</v>
      </c>
      <c r="I27" s="75">
        <v>2E-3</v>
      </c>
      <c r="J27" s="75">
        <v>0.01</v>
      </c>
      <c r="K27" s="39" t="s">
        <v>745</v>
      </c>
    </row>
    <row r="28" spans="1:12" ht="68">
      <c r="A28" s="91">
        <v>27</v>
      </c>
      <c r="B28" s="35" t="s">
        <v>842</v>
      </c>
      <c r="C28" s="92" t="s">
        <v>843</v>
      </c>
      <c r="D28" s="35" t="s">
        <v>250</v>
      </c>
      <c r="E28" s="35">
        <v>-999</v>
      </c>
      <c r="F28" s="35">
        <v>1</v>
      </c>
      <c r="G28" s="35">
        <v>13</v>
      </c>
      <c r="H28" s="75">
        <v>-999</v>
      </c>
      <c r="I28" s="75">
        <v>1</v>
      </c>
      <c r="J28" s="75">
        <v>13</v>
      </c>
      <c r="K28" s="69" t="s">
        <v>747</v>
      </c>
      <c r="L28" s="39" t="s">
        <v>732</v>
      </c>
    </row>
    <row r="29" spans="1:12" ht="17">
      <c r="A29" s="91">
        <v>28</v>
      </c>
      <c r="B29" s="35" t="s">
        <v>746</v>
      </c>
      <c r="C29" s="92" t="s">
        <v>748</v>
      </c>
      <c r="D29" s="35" t="s">
        <v>250</v>
      </c>
      <c r="E29" s="35">
        <v>-999</v>
      </c>
      <c r="F29" s="35">
        <v>10</v>
      </c>
      <c r="G29" s="35">
        <v>20</v>
      </c>
      <c r="H29" s="75">
        <v>-999</v>
      </c>
      <c r="I29" s="75">
        <v>10</v>
      </c>
      <c r="J29" s="75">
        <v>20</v>
      </c>
      <c r="K29" s="69" t="s">
        <v>326</v>
      </c>
    </row>
    <row r="30" spans="1:12" ht="102">
      <c r="A30" s="91">
        <v>29</v>
      </c>
      <c r="B30" s="35" t="s">
        <v>749</v>
      </c>
      <c r="C30" s="92" t="s">
        <v>750</v>
      </c>
      <c r="D30" s="35" t="s">
        <v>250</v>
      </c>
      <c r="E30" s="35">
        <v>-999</v>
      </c>
      <c r="F30" s="35">
        <v>0.03</v>
      </c>
      <c r="G30" s="35">
        <v>0.05</v>
      </c>
      <c r="H30" s="75">
        <v>-999</v>
      </c>
      <c r="I30" s="75">
        <v>0.03</v>
      </c>
      <c r="J30" s="75">
        <v>0.05</v>
      </c>
      <c r="K30" s="39" t="s">
        <v>751</v>
      </c>
    </row>
    <row r="31" spans="1:12">
      <c r="A31" s="91">
        <v>30</v>
      </c>
      <c r="B31" s="35" t="s">
        <v>752</v>
      </c>
      <c r="C31" s="92" t="s">
        <v>753</v>
      </c>
      <c r="D31" s="35" t="s">
        <v>250</v>
      </c>
      <c r="E31" s="35">
        <v>-999</v>
      </c>
      <c r="F31" s="35">
        <v>1</v>
      </c>
      <c r="G31" s="35">
        <v>1.3</v>
      </c>
      <c r="H31" s="75">
        <v>-999</v>
      </c>
      <c r="I31" s="75">
        <v>1</v>
      </c>
      <c r="J31" s="75">
        <v>1.3</v>
      </c>
    </row>
    <row r="32" spans="1:12">
      <c r="A32" s="91">
        <v>31</v>
      </c>
      <c r="B32" s="35" t="s">
        <v>754</v>
      </c>
      <c r="C32" s="92" t="s">
        <v>755</v>
      </c>
      <c r="D32" s="35" t="s">
        <v>250</v>
      </c>
      <c r="E32" s="35">
        <v>-999</v>
      </c>
      <c r="F32" s="35">
        <v>1</v>
      </c>
      <c r="G32" s="35">
        <v>1.3</v>
      </c>
      <c r="H32" s="75">
        <v>-999</v>
      </c>
      <c r="I32" s="75">
        <v>1</v>
      </c>
      <c r="J32" s="75">
        <v>1.3</v>
      </c>
    </row>
    <row r="33" spans="1:12">
      <c r="A33" s="91">
        <v>32</v>
      </c>
      <c r="B33" s="35" t="s">
        <v>756</v>
      </c>
      <c r="C33" s="35" t="s">
        <v>757</v>
      </c>
      <c r="D33" s="92" t="s">
        <v>250</v>
      </c>
      <c r="E33" s="35">
        <v>-999</v>
      </c>
      <c r="F33" s="35">
        <v>0.6</v>
      </c>
      <c r="G33" s="35">
        <v>1</v>
      </c>
      <c r="H33" s="75">
        <v>-999</v>
      </c>
      <c r="I33" s="75">
        <v>0.6</v>
      </c>
      <c r="J33" s="75">
        <v>1</v>
      </c>
    </row>
    <row r="34" spans="1:12" ht="17">
      <c r="A34" s="91">
        <v>33</v>
      </c>
      <c r="B34" s="35" t="s">
        <v>846</v>
      </c>
      <c r="C34" s="35" t="s">
        <v>758</v>
      </c>
      <c r="D34" s="35" t="s">
        <v>224</v>
      </c>
      <c r="E34" s="35">
        <v>0</v>
      </c>
      <c r="F34" s="35">
        <v>-999</v>
      </c>
      <c r="G34" s="35">
        <v>-999</v>
      </c>
      <c r="H34" s="75">
        <v>0</v>
      </c>
      <c r="I34" s="75">
        <v>-999</v>
      </c>
      <c r="J34" s="75">
        <v>-999</v>
      </c>
      <c r="K34" s="39" t="s">
        <v>759</v>
      </c>
    </row>
    <row r="35" spans="1:12" ht="17">
      <c r="A35" s="91">
        <v>34</v>
      </c>
      <c r="B35" s="35" t="s">
        <v>760</v>
      </c>
      <c r="C35" s="35" t="s">
        <v>761</v>
      </c>
      <c r="D35" s="35" t="s">
        <v>224</v>
      </c>
      <c r="E35" s="35">
        <v>0</v>
      </c>
      <c r="F35" s="35">
        <v>-999</v>
      </c>
      <c r="G35" s="35">
        <v>-999</v>
      </c>
      <c r="H35" s="75">
        <v>0</v>
      </c>
      <c r="I35" s="75">
        <v>-999</v>
      </c>
      <c r="J35" s="75">
        <v>-999</v>
      </c>
      <c r="K35" s="39" t="s">
        <v>759</v>
      </c>
    </row>
    <row r="36" spans="1:12">
      <c r="A36" s="91">
        <v>35</v>
      </c>
      <c r="B36" s="35" t="s">
        <v>762</v>
      </c>
      <c r="C36" s="92" t="s">
        <v>763</v>
      </c>
      <c r="D36" s="35" t="s">
        <v>224</v>
      </c>
      <c r="E36" s="35">
        <v>0</v>
      </c>
      <c r="F36" s="35">
        <v>-999</v>
      </c>
      <c r="G36" s="35">
        <v>-999</v>
      </c>
      <c r="H36" s="75">
        <v>0</v>
      </c>
      <c r="I36" s="75">
        <v>-999</v>
      </c>
      <c r="J36" s="75">
        <v>-999</v>
      </c>
      <c r="K36" s="35" t="s">
        <v>764</v>
      </c>
    </row>
    <row r="37" spans="1:12">
      <c r="A37" s="91">
        <v>36</v>
      </c>
      <c r="B37" s="35" t="s">
        <v>765</v>
      </c>
      <c r="C37" s="92" t="s">
        <v>766</v>
      </c>
      <c r="D37" s="35" t="s">
        <v>224</v>
      </c>
      <c r="E37" s="35">
        <v>0</v>
      </c>
      <c r="F37" s="35">
        <v>-999</v>
      </c>
      <c r="G37" s="35">
        <v>-999</v>
      </c>
      <c r="H37" s="75">
        <v>0</v>
      </c>
      <c r="I37" s="75">
        <v>-999</v>
      </c>
      <c r="J37" s="75">
        <v>-999</v>
      </c>
    </row>
    <row r="38" spans="1:12">
      <c r="A38" s="91">
        <v>37</v>
      </c>
      <c r="B38" s="35" t="s">
        <v>767</v>
      </c>
      <c r="C38" s="92" t="s">
        <v>766</v>
      </c>
      <c r="D38" s="35" t="s">
        <v>224</v>
      </c>
      <c r="E38" s="35">
        <v>0</v>
      </c>
      <c r="F38" s="35">
        <v>-999</v>
      </c>
      <c r="G38" s="35">
        <v>-999</v>
      </c>
      <c r="H38" s="75">
        <v>0</v>
      </c>
      <c r="I38" s="75">
        <v>-999</v>
      </c>
      <c r="J38" s="75">
        <v>-999</v>
      </c>
    </row>
    <row r="39" spans="1:12">
      <c r="A39" s="91">
        <v>38</v>
      </c>
      <c r="B39" s="35" t="s">
        <v>768</v>
      </c>
      <c r="C39" s="92" t="s">
        <v>766</v>
      </c>
      <c r="D39" s="35" t="s">
        <v>224</v>
      </c>
      <c r="E39" s="35">
        <v>0</v>
      </c>
      <c r="F39" s="35">
        <v>-999</v>
      </c>
      <c r="G39" s="35">
        <v>-999</v>
      </c>
      <c r="H39" s="75">
        <v>0</v>
      </c>
      <c r="I39" s="75">
        <v>-999</v>
      </c>
      <c r="J39" s="75">
        <v>-999</v>
      </c>
    </row>
    <row r="40" spans="1:12">
      <c r="A40" s="91">
        <v>39</v>
      </c>
      <c r="B40" s="35" t="s">
        <v>767</v>
      </c>
      <c r="C40" s="92" t="s">
        <v>766</v>
      </c>
      <c r="D40" s="35" t="s">
        <v>224</v>
      </c>
      <c r="E40" s="35">
        <v>0</v>
      </c>
      <c r="F40" s="35">
        <v>-999</v>
      </c>
      <c r="G40" s="35">
        <v>-999</v>
      </c>
      <c r="H40" s="75">
        <v>0</v>
      </c>
      <c r="I40" s="75">
        <v>-999</v>
      </c>
      <c r="J40" s="75">
        <v>-999</v>
      </c>
    </row>
    <row r="41" spans="1:12">
      <c r="A41" s="91">
        <v>40</v>
      </c>
      <c r="B41" s="35" t="s">
        <v>765</v>
      </c>
      <c r="C41" s="92" t="s">
        <v>766</v>
      </c>
      <c r="D41" s="35" t="s">
        <v>224</v>
      </c>
      <c r="E41" s="35">
        <v>1</v>
      </c>
      <c r="H41" s="75">
        <v>1</v>
      </c>
    </row>
    <row r="42" spans="1:12">
      <c r="A42" s="91">
        <v>41</v>
      </c>
      <c r="B42" s="35" t="s">
        <v>767</v>
      </c>
      <c r="C42" s="92" t="s">
        <v>766</v>
      </c>
      <c r="D42" s="35" t="s">
        <v>224</v>
      </c>
      <c r="E42" s="35">
        <v>2</v>
      </c>
      <c r="H42" s="75">
        <v>2</v>
      </c>
    </row>
    <row r="43" spans="1:12">
      <c r="A43" s="91">
        <v>42</v>
      </c>
      <c r="B43" s="35" t="s">
        <v>765</v>
      </c>
      <c r="C43" s="92" t="s">
        <v>766</v>
      </c>
      <c r="D43" s="35" t="s">
        <v>224</v>
      </c>
      <c r="E43" s="35">
        <v>3</v>
      </c>
      <c r="H43" s="75">
        <v>3</v>
      </c>
    </row>
    <row r="44" spans="1:12" ht="34">
      <c r="A44" s="91">
        <v>43</v>
      </c>
      <c r="B44" s="35" t="s">
        <v>769</v>
      </c>
      <c r="C44" s="92" t="s">
        <v>770</v>
      </c>
      <c r="D44" s="35" t="s">
        <v>224</v>
      </c>
      <c r="E44" s="35">
        <v>1</v>
      </c>
      <c r="F44" s="35">
        <v>-999</v>
      </c>
      <c r="G44" s="35">
        <v>-999</v>
      </c>
      <c r="H44" s="75">
        <v>1</v>
      </c>
      <c r="I44" s="75">
        <v>-999</v>
      </c>
      <c r="J44" s="75">
        <v>-999</v>
      </c>
      <c r="K44" s="39" t="s">
        <v>771</v>
      </c>
      <c r="L44" s="98" t="s">
        <v>772</v>
      </c>
    </row>
    <row r="45" spans="1:12" ht="34">
      <c r="A45" s="91">
        <v>44</v>
      </c>
      <c r="B45" s="35" t="s">
        <v>773</v>
      </c>
      <c r="C45" s="92" t="s">
        <v>774</v>
      </c>
      <c r="D45" s="35" t="s">
        <v>224</v>
      </c>
      <c r="E45" s="35">
        <v>1</v>
      </c>
      <c r="F45" s="35">
        <v>-999</v>
      </c>
      <c r="G45" s="35">
        <v>-999</v>
      </c>
      <c r="H45" s="75">
        <v>1</v>
      </c>
      <c r="I45" s="75">
        <v>-999</v>
      </c>
      <c r="J45" s="75">
        <v>-999</v>
      </c>
      <c r="K45" s="69" t="s">
        <v>775</v>
      </c>
    </row>
    <row r="46" spans="1:12" ht="17">
      <c r="A46" s="91">
        <v>45</v>
      </c>
      <c r="B46" s="35" t="s">
        <v>776</v>
      </c>
      <c r="C46" s="92" t="s">
        <v>777</v>
      </c>
      <c r="D46" s="35" t="s">
        <v>224</v>
      </c>
      <c r="E46" s="35">
        <v>0</v>
      </c>
      <c r="F46" s="35">
        <v>-999</v>
      </c>
      <c r="G46" s="35">
        <v>-999</v>
      </c>
      <c r="H46" s="75">
        <v>0</v>
      </c>
      <c r="I46" s="75">
        <v>-999</v>
      </c>
      <c r="J46" s="75">
        <v>-999</v>
      </c>
      <c r="K46" s="39" t="s">
        <v>778</v>
      </c>
    </row>
    <row r="47" spans="1:12">
      <c r="A47" s="91">
        <v>46</v>
      </c>
      <c r="B47" s="35" t="s">
        <v>779</v>
      </c>
      <c r="D47" s="35" t="s">
        <v>224</v>
      </c>
      <c r="E47" s="35">
        <v>2010</v>
      </c>
      <c r="F47" s="35">
        <v>-999</v>
      </c>
      <c r="G47" s="35">
        <v>-999</v>
      </c>
      <c r="H47" s="75">
        <v>2010</v>
      </c>
      <c r="I47" s="75">
        <v>-999</v>
      </c>
      <c r="J47" s="75">
        <v>-999</v>
      </c>
    </row>
    <row r="48" spans="1:12" ht="34">
      <c r="A48" s="91">
        <v>47</v>
      </c>
      <c r="B48" s="35" t="s">
        <v>780</v>
      </c>
      <c r="C48" s="93" t="s">
        <v>824</v>
      </c>
      <c r="D48" s="35" t="s">
        <v>250</v>
      </c>
      <c r="E48" s="35">
        <v>-999</v>
      </c>
      <c r="F48" s="35">
        <v>0.1</v>
      </c>
      <c r="G48" s="35">
        <v>0.3</v>
      </c>
      <c r="H48" s="75">
        <v>-999</v>
      </c>
      <c r="I48" s="75">
        <v>0.1</v>
      </c>
      <c r="J48" s="75">
        <v>0.3</v>
      </c>
      <c r="K48" s="39" t="s">
        <v>781</v>
      </c>
    </row>
    <row r="49" spans="1:11" ht="17">
      <c r="A49" s="91">
        <v>48</v>
      </c>
      <c r="B49" s="35" t="s">
        <v>782</v>
      </c>
      <c r="C49" s="92" t="s">
        <v>783</v>
      </c>
      <c r="D49" s="35" t="s">
        <v>250</v>
      </c>
      <c r="E49" s="35">
        <v>-999</v>
      </c>
      <c r="F49" s="35">
        <v>1</v>
      </c>
      <c r="G49" s="35">
        <v>3</v>
      </c>
      <c r="H49" s="75">
        <v>-999</v>
      </c>
      <c r="I49" s="75">
        <v>1</v>
      </c>
      <c r="J49" s="75">
        <v>3</v>
      </c>
      <c r="K49" s="39" t="s">
        <v>784</v>
      </c>
    </row>
    <row r="50" spans="1:11" ht="17">
      <c r="A50" s="91">
        <v>49</v>
      </c>
      <c r="B50" s="35" t="s">
        <v>785</v>
      </c>
      <c r="C50" s="99" t="s">
        <v>847</v>
      </c>
      <c r="D50" s="35" t="s">
        <v>224</v>
      </c>
      <c r="E50" s="35">
        <v>0</v>
      </c>
      <c r="F50" s="35">
        <v>-999</v>
      </c>
      <c r="G50" s="35">
        <v>-999</v>
      </c>
      <c r="H50" s="75">
        <v>0</v>
      </c>
      <c r="I50" s="75">
        <v>-999</v>
      </c>
      <c r="J50" s="75">
        <v>-999</v>
      </c>
      <c r="K50" s="39" t="s">
        <v>786</v>
      </c>
    </row>
    <row r="51" spans="1:11">
      <c r="A51" s="91">
        <v>50</v>
      </c>
      <c r="B51" s="35" t="s">
        <v>787</v>
      </c>
      <c r="C51" s="99" t="s">
        <v>827</v>
      </c>
      <c r="D51" s="35" t="s">
        <v>224</v>
      </c>
      <c r="E51" s="35">
        <v>0</v>
      </c>
      <c r="F51" s="35">
        <v>-999</v>
      </c>
      <c r="G51" s="35">
        <v>-999</v>
      </c>
      <c r="H51" s="75">
        <v>0</v>
      </c>
      <c r="I51" s="75">
        <v>-999</v>
      </c>
      <c r="J51" s="75">
        <v>-999</v>
      </c>
    </row>
    <row r="52" spans="1:11">
      <c r="A52" s="91">
        <v>51</v>
      </c>
      <c r="B52" s="35" t="s">
        <v>788</v>
      </c>
      <c r="C52" s="99" t="s">
        <v>828</v>
      </c>
      <c r="D52" s="35" t="s">
        <v>224</v>
      </c>
      <c r="E52" s="107">
        <v>0</v>
      </c>
      <c r="F52" s="35">
        <v>-999</v>
      </c>
      <c r="G52" s="35">
        <v>-999</v>
      </c>
      <c r="H52" s="75">
        <v>0</v>
      </c>
      <c r="I52" s="75">
        <v>-999</v>
      </c>
      <c r="J52" s="75">
        <v>-999</v>
      </c>
    </row>
    <row r="53" spans="1:11">
      <c r="A53" s="91">
        <v>52</v>
      </c>
      <c r="B53" s="35" t="s">
        <v>789</v>
      </c>
      <c r="C53" s="99" t="s">
        <v>829</v>
      </c>
      <c r="D53" s="35" t="s">
        <v>224</v>
      </c>
      <c r="E53" s="107">
        <v>4.0000000000000008E-2</v>
      </c>
      <c r="F53" s="35">
        <v>-999</v>
      </c>
      <c r="G53" s="35">
        <v>-999</v>
      </c>
      <c r="H53" s="75">
        <v>0</v>
      </c>
      <c r="I53" s="75">
        <v>-999</v>
      </c>
      <c r="J53" s="75">
        <v>-999</v>
      </c>
    </row>
    <row r="54" spans="1:11">
      <c r="A54" s="91">
        <v>53</v>
      </c>
      <c r="B54" s="100" t="s">
        <v>790</v>
      </c>
      <c r="C54" s="101" t="s">
        <v>830</v>
      </c>
      <c r="D54" s="100" t="s">
        <v>224</v>
      </c>
      <c r="E54" s="108">
        <v>8.0000000000000016E-2</v>
      </c>
      <c r="F54" s="100">
        <v>-999</v>
      </c>
      <c r="G54" s="100">
        <v>-999</v>
      </c>
      <c r="H54" s="104">
        <v>0</v>
      </c>
      <c r="I54" s="104">
        <v>-999</v>
      </c>
      <c r="J54" s="104">
        <v>-999</v>
      </c>
    </row>
    <row r="55" spans="1:11">
      <c r="A55" s="91">
        <v>54</v>
      </c>
      <c r="B55" s="35" t="s">
        <v>791</v>
      </c>
      <c r="C55" s="99" t="s">
        <v>831</v>
      </c>
      <c r="D55" s="35" t="s">
        <v>224</v>
      </c>
      <c r="E55" s="35">
        <v>0</v>
      </c>
      <c r="F55" s="35">
        <v>-999</v>
      </c>
      <c r="G55" s="35">
        <v>-999</v>
      </c>
      <c r="H55" s="75">
        <v>8.0000000000000019E-3</v>
      </c>
      <c r="I55" s="75">
        <v>-999</v>
      </c>
      <c r="J55" s="75">
        <v>-999</v>
      </c>
    </row>
    <row r="56" spans="1:11">
      <c r="A56" s="91">
        <v>55</v>
      </c>
      <c r="B56" s="35" t="s">
        <v>792</v>
      </c>
      <c r="C56" s="99" t="s">
        <v>832</v>
      </c>
      <c r="D56" s="35" t="s">
        <v>224</v>
      </c>
      <c r="E56" s="35">
        <v>0</v>
      </c>
      <c r="F56" s="35">
        <v>-999</v>
      </c>
      <c r="G56" s="35">
        <v>-999</v>
      </c>
      <c r="H56" s="75">
        <v>1.6000000000000004E-2</v>
      </c>
      <c r="I56" s="75">
        <v>-999</v>
      </c>
      <c r="J56" s="75">
        <v>-999</v>
      </c>
    </row>
    <row r="57" spans="1:11">
      <c r="A57" s="91">
        <v>56</v>
      </c>
      <c r="B57" s="35" t="s">
        <v>793</v>
      </c>
      <c r="C57" s="99" t="s">
        <v>833</v>
      </c>
      <c r="D57" s="35" t="s">
        <v>224</v>
      </c>
      <c r="E57" s="35">
        <v>0</v>
      </c>
      <c r="F57" s="35">
        <v>-999</v>
      </c>
      <c r="G57" s="35">
        <v>-999</v>
      </c>
      <c r="H57" s="75">
        <v>1.6000000000000004E-2</v>
      </c>
      <c r="I57" s="75">
        <v>-999</v>
      </c>
      <c r="J57" s="75">
        <v>-999</v>
      </c>
    </row>
    <row r="58" spans="1:11">
      <c r="A58" s="91">
        <v>57</v>
      </c>
      <c r="B58" s="35" t="s">
        <v>794</v>
      </c>
      <c r="C58" s="99" t="s">
        <v>834</v>
      </c>
      <c r="D58" s="35" t="s">
        <v>224</v>
      </c>
      <c r="E58" s="35">
        <v>0.05</v>
      </c>
      <c r="F58" s="35">
        <v>-999</v>
      </c>
      <c r="G58" s="35">
        <v>-999</v>
      </c>
      <c r="H58" s="75">
        <v>1.6000000000000004E-2</v>
      </c>
      <c r="I58" s="75">
        <v>-999</v>
      </c>
      <c r="J58" s="75">
        <v>-999</v>
      </c>
    </row>
    <row r="59" spans="1:11">
      <c r="A59" s="91">
        <v>58</v>
      </c>
      <c r="B59" s="100" t="s">
        <v>795</v>
      </c>
      <c r="C59" s="101" t="s">
        <v>835</v>
      </c>
      <c r="D59" s="100" t="s">
        <v>224</v>
      </c>
      <c r="E59" s="35">
        <v>0.11000000000000001</v>
      </c>
      <c r="F59" s="100">
        <v>-999</v>
      </c>
      <c r="G59" s="100">
        <v>-999</v>
      </c>
      <c r="H59" s="75">
        <v>1.6000000000000004E-2</v>
      </c>
      <c r="I59" s="104">
        <v>-999</v>
      </c>
      <c r="J59" s="104">
        <v>-999</v>
      </c>
    </row>
    <row r="60" spans="1:11">
      <c r="A60" s="91">
        <v>59</v>
      </c>
      <c r="B60" s="35" t="s">
        <v>796</v>
      </c>
      <c r="C60" s="99" t="s">
        <v>836</v>
      </c>
      <c r="D60" s="35" t="s">
        <v>224</v>
      </c>
      <c r="E60" s="35">
        <v>0</v>
      </c>
      <c r="F60" s="35">
        <v>-999</v>
      </c>
      <c r="G60" s="35">
        <v>-999</v>
      </c>
      <c r="H60" s="75">
        <v>0</v>
      </c>
      <c r="I60" s="75">
        <v>-999</v>
      </c>
      <c r="J60" s="75">
        <v>-999</v>
      </c>
    </row>
    <row r="61" spans="1:11">
      <c r="A61" s="91">
        <v>60</v>
      </c>
      <c r="B61" s="35" t="s">
        <v>797</v>
      </c>
      <c r="C61" s="99" t="s">
        <v>837</v>
      </c>
      <c r="D61" s="35" t="s">
        <v>224</v>
      </c>
      <c r="E61" s="35">
        <v>0</v>
      </c>
      <c r="F61" s="35">
        <v>-999</v>
      </c>
      <c r="G61" s="35">
        <v>-999</v>
      </c>
      <c r="H61" s="75">
        <v>1.6E-2</v>
      </c>
      <c r="I61" s="75">
        <v>-999</v>
      </c>
      <c r="J61" s="75">
        <v>-999</v>
      </c>
    </row>
    <row r="62" spans="1:11">
      <c r="A62" s="91">
        <v>61</v>
      </c>
      <c r="B62" s="35" t="s">
        <v>798</v>
      </c>
      <c r="C62" s="99" t="s">
        <v>838</v>
      </c>
      <c r="D62" s="35" t="s">
        <v>224</v>
      </c>
      <c r="E62" s="35">
        <v>0</v>
      </c>
      <c r="F62" s="35">
        <v>-999</v>
      </c>
      <c r="G62" s="35">
        <v>-999</v>
      </c>
      <c r="H62" s="75">
        <v>2.6666666666666668E-2</v>
      </c>
      <c r="I62" s="75">
        <v>-999</v>
      </c>
      <c r="J62" s="75">
        <v>-999</v>
      </c>
    </row>
    <row r="63" spans="1:11">
      <c r="A63" s="91">
        <v>62</v>
      </c>
      <c r="B63" s="35" t="s">
        <v>799</v>
      </c>
      <c r="C63" s="99" t="s">
        <v>839</v>
      </c>
      <c r="D63" s="35" t="s">
        <v>224</v>
      </c>
      <c r="E63" s="35">
        <v>0.05</v>
      </c>
      <c r="F63" s="35">
        <v>-999</v>
      </c>
      <c r="G63" s="35">
        <v>-999</v>
      </c>
      <c r="H63" s="75">
        <v>2.6666666666666668E-2</v>
      </c>
      <c r="I63" s="75">
        <v>-999</v>
      </c>
      <c r="J63" s="75">
        <v>-999</v>
      </c>
    </row>
    <row r="64" spans="1:11">
      <c r="A64" s="91">
        <v>63</v>
      </c>
      <c r="B64" s="100" t="s">
        <v>800</v>
      </c>
      <c r="C64" s="101" t="s">
        <v>840</v>
      </c>
      <c r="D64" s="100" t="s">
        <v>224</v>
      </c>
      <c r="E64" s="35">
        <v>0.11000000000000001</v>
      </c>
      <c r="F64" s="100">
        <v>-999</v>
      </c>
      <c r="G64" s="100">
        <v>-999</v>
      </c>
      <c r="H64" s="75">
        <v>3.2000000000000001E-2</v>
      </c>
      <c r="I64" s="104">
        <v>-999</v>
      </c>
      <c r="J64" s="104">
        <v>-999</v>
      </c>
    </row>
    <row r="65" spans="1:11" ht="17">
      <c r="A65" s="91">
        <v>64</v>
      </c>
      <c r="B65" s="35" t="s">
        <v>801</v>
      </c>
      <c r="C65" s="2" t="s">
        <v>802</v>
      </c>
      <c r="D65" s="35" t="s">
        <v>224</v>
      </c>
      <c r="E65">
        <v>0.15638313599999998</v>
      </c>
      <c r="F65" s="35">
        <v>-999</v>
      </c>
      <c r="G65" s="35">
        <v>-999</v>
      </c>
      <c r="H65" s="73">
        <v>0.3880831500000001</v>
      </c>
      <c r="I65" s="75">
        <v>-999</v>
      </c>
      <c r="J65" s="75">
        <v>-999</v>
      </c>
      <c r="K65" s="39" t="s">
        <v>803</v>
      </c>
    </row>
    <row r="66" spans="1:11">
      <c r="A66" s="91">
        <v>65</v>
      </c>
      <c r="B66" s="35" t="s">
        <v>801</v>
      </c>
      <c r="C66" s="2" t="s">
        <v>804</v>
      </c>
      <c r="D66" s="35" t="s">
        <v>224</v>
      </c>
      <c r="E66">
        <v>0.13232419199999998</v>
      </c>
      <c r="F66" s="35">
        <v>-999</v>
      </c>
      <c r="G66" s="35">
        <v>-999</v>
      </c>
      <c r="H66" s="73">
        <v>0.36486450000000009</v>
      </c>
      <c r="I66" s="75">
        <v>-999</v>
      </c>
      <c r="J66" s="75">
        <v>-999</v>
      </c>
    </row>
    <row r="67" spans="1:11">
      <c r="A67" s="91">
        <v>66</v>
      </c>
      <c r="B67" s="35" t="s">
        <v>805</v>
      </c>
      <c r="C67" s="2" t="s">
        <v>806</v>
      </c>
      <c r="D67" s="35" t="s">
        <v>224</v>
      </c>
      <c r="E67" s="2">
        <v>7.7500799999999995E-2</v>
      </c>
      <c r="F67" s="35">
        <v>-999</v>
      </c>
      <c r="G67" s="35">
        <v>-999</v>
      </c>
      <c r="H67" s="73">
        <v>0.26325000000000004</v>
      </c>
      <c r="I67" s="75">
        <v>-999</v>
      </c>
      <c r="J67" s="75">
        <v>-999</v>
      </c>
    </row>
    <row r="68" spans="1:11">
      <c r="A68" s="91">
        <v>67</v>
      </c>
      <c r="B68" s="100" t="s">
        <v>807</v>
      </c>
      <c r="C68" s="102" t="s">
        <v>808</v>
      </c>
      <c r="D68" s="100" t="s">
        <v>224</v>
      </c>
      <c r="E68" s="2">
        <v>7.7500799999999995E-2</v>
      </c>
      <c r="F68" s="100">
        <v>-999</v>
      </c>
      <c r="G68" s="100">
        <v>-999</v>
      </c>
      <c r="H68" s="105">
        <v>0.26325000000000004</v>
      </c>
      <c r="I68" s="104">
        <v>-999</v>
      </c>
      <c r="J68" s="104">
        <v>-999</v>
      </c>
    </row>
    <row r="69" spans="1:11">
      <c r="A69" s="91">
        <v>68</v>
      </c>
      <c r="B69" s="35" t="s">
        <v>809</v>
      </c>
      <c r="C69" s="35" t="s">
        <v>810</v>
      </c>
      <c r="D69" s="35" t="s">
        <v>224</v>
      </c>
      <c r="E69" s="35">
        <v>2002</v>
      </c>
      <c r="F69" s="35">
        <v>-999</v>
      </c>
      <c r="G69" s="35">
        <v>-999</v>
      </c>
      <c r="H69" s="75">
        <v>2002</v>
      </c>
      <c r="I69" s="75">
        <v>-999</v>
      </c>
      <c r="J69" s="75">
        <v>-999</v>
      </c>
    </row>
    <row r="70" spans="1:11">
      <c r="A70" s="91">
        <v>69</v>
      </c>
      <c r="B70" s="35" t="s">
        <v>811</v>
      </c>
      <c r="C70" s="35" t="s">
        <v>812</v>
      </c>
      <c r="D70" s="35" t="s">
        <v>224</v>
      </c>
      <c r="E70" s="35">
        <v>2008</v>
      </c>
      <c r="F70" s="35">
        <v>-999</v>
      </c>
      <c r="G70" s="35">
        <v>-999</v>
      </c>
      <c r="H70" s="75">
        <v>2008</v>
      </c>
      <c r="I70" s="75">
        <v>-999</v>
      </c>
      <c r="J70" s="75">
        <v>-999</v>
      </c>
    </row>
    <row r="71" spans="1:11">
      <c r="A71" s="91">
        <v>70</v>
      </c>
      <c r="B71" s="35" t="s">
        <v>813</v>
      </c>
      <c r="C71" s="35" t="s">
        <v>814</v>
      </c>
      <c r="D71" s="35" t="s">
        <v>224</v>
      </c>
      <c r="E71" s="35">
        <v>2010</v>
      </c>
      <c r="F71" s="35">
        <v>-999</v>
      </c>
      <c r="G71" s="35">
        <v>-999</v>
      </c>
      <c r="H71" s="75">
        <v>2010</v>
      </c>
      <c r="I71" s="75">
        <v>-999</v>
      </c>
      <c r="J71" s="75">
        <v>-999</v>
      </c>
    </row>
    <row r="72" spans="1:11">
      <c r="A72" s="91">
        <v>71</v>
      </c>
      <c r="B72" s="35" t="s">
        <v>815</v>
      </c>
      <c r="C72" s="35" t="s">
        <v>816</v>
      </c>
      <c r="D72" s="35" t="s">
        <v>224</v>
      </c>
      <c r="E72" s="35">
        <v>2012</v>
      </c>
      <c r="F72" s="35">
        <v>-999</v>
      </c>
      <c r="G72" s="35">
        <v>-999</v>
      </c>
      <c r="H72" s="75">
        <v>2012</v>
      </c>
      <c r="I72" s="75">
        <v>-999</v>
      </c>
      <c r="J72" s="75">
        <v>-999</v>
      </c>
    </row>
    <row r="73" spans="1:11">
      <c r="A73" s="91">
        <v>72</v>
      </c>
      <c r="B73" s="35" t="s">
        <v>817</v>
      </c>
      <c r="C73" s="35" t="s">
        <v>818</v>
      </c>
      <c r="D73" s="35" t="s">
        <v>224</v>
      </c>
      <c r="E73" s="35">
        <v>2017</v>
      </c>
      <c r="F73" s="35">
        <v>-999</v>
      </c>
      <c r="G73" s="35">
        <v>-999</v>
      </c>
      <c r="H73" s="75">
        <v>2017</v>
      </c>
      <c r="I73" s="75">
        <v>-999</v>
      </c>
      <c r="J73" s="75">
        <v>-999</v>
      </c>
    </row>
    <row r="76" spans="1:11">
      <c r="D76"/>
      <c r="E76"/>
      <c r="F76"/>
      <c r="G76"/>
    </row>
    <row r="78" spans="1:11">
      <c r="D78"/>
    </row>
    <row r="79" spans="1:11">
      <c r="D79"/>
    </row>
    <row r="80" spans="1:11">
      <c r="D80"/>
    </row>
    <row r="81" spans="4:4">
      <c r="D81"/>
    </row>
  </sheetData>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BB45DA-FE61-2C45-BA42-8D2FCDD5D495}">
  <dimension ref="A1:AY142"/>
  <sheetViews>
    <sheetView workbookViewId="0">
      <pane xSplit="2" ySplit="1" topLeftCell="C2" activePane="bottomRight" state="frozen"/>
      <selection activeCell="I76" sqref="I76"/>
      <selection pane="topRight" activeCell="I76" sqref="I76"/>
      <selection pane="bottomLeft" activeCell="I76" sqref="I76"/>
      <selection pane="bottomRight" activeCell="Y32" sqref="Y32"/>
    </sheetView>
  </sheetViews>
  <sheetFormatPr baseColWidth="10" defaultColWidth="11.33203125" defaultRowHeight="16"/>
  <cols>
    <col min="1" max="2" width="11.33203125" style="2"/>
    <col min="3" max="3" width="13.1640625" style="2" bestFit="1" customWidth="1"/>
    <col min="4" max="4" width="16.5" style="2" customWidth="1"/>
    <col min="5" max="12" width="13.1640625" style="2" bestFit="1" customWidth="1"/>
    <col min="13" max="17" width="13.1640625" style="2" customWidth="1"/>
    <col min="18" max="19" width="11.33203125" style="2"/>
    <col min="20" max="20" width="13.1640625" style="2" bestFit="1" customWidth="1"/>
    <col min="21" max="33" width="11.33203125" style="2"/>
    <col min="34" max="34" width="12.6640625" style="2" bestFit="1" customWidth="1"/>
    <col min="35" max="35" width="11.6640625" style="2" bestFit="1" customWidth="1"/>
    <col min="36" max="16384" width="11.33203125" style="2"/>
  </cols>
  <sheetData>
    <row r="1" spans="1:51" s="4" customFormat="1">
      <c r="A1" s="6" t="s">
        <v>1</v>
      </c>
      <c r="B1" s="7" t="s">
        <v>2</v>
      </c>
      <c r="C1" s="25" t="s">
        <v>103</v>
      </c>
      <c r="D1" s="25" t="s">
        <v>102</v>
      </c>
      <c r="E1" s="25" t="s">
        <v>104</v>
      </c>
      <c r="F1" s="25" t="s">
        <v>105</v>
      </c>
      <c r="G1" s="25" t="s">
        <v>106</v>
      </c>
      <c r="H1" s="25" t="s">
        <v>107</v>
      </c>
      <c r="I1" s="25" t="s">
        <v>108</v>
      </c>
      <c r="J1" s="25" t="s">
        <v>109</v>
      </c>
      <c r="K1" s="25" t="s">
        <v>110</v>
      </c>
      <c r="L1" s="25" t="s">
        <v>111</v>
      </c>
      <c r="M1" s="26" t="s">
        <v>112</v>
      </c>
      <c r="N1" s="26" t="s">
        <v>113</v>
      </c>
      <c r="O1" s="26" t="s">
        <v>114</v>
      </c>
      <c r="P1" s="26" t="s">
        <v>115</v>
      </c>
      <c r="Q1" s="26" t="s">
        <v>116</v>
      </c>
      <c r="R1" s="46" t="s">
        <v>119</v>
      </c>
      <c r="S1" s="46" t="s">
        <v>120</v>
      </c>
      <c r="T1" s="46" t="s">
        <v>121</v>
      </c>
      <c r="U1" s="46" t="s">
        <v>175</v>
      </c>
      <c r="V1" s="46" t="s">
        <v>176</v>
      </c>
      <c r="W1" s="46" t="s">
        <v>177</v>
      </c>
      <c r="X1" s="46" t="s">
        <v>178</v>
      </c>
      <c r="Y1" s="58" t="s">
        <v>124</v>
      </c>
      <c r="Z1" s="58" t="s">
        <v>182</v>
      </c>
      <c r="AA1" s="58" t="s">
        <v>183</v>
      </c>
      <c r="AB1" s="58" t="s">
        <v>184</v>
      </c>
      <c r="AC1" s="58" t="s">
        <v>185</v>
      </c>
      <c r="AD1" s="59" t="s">
        <v>179</v>
      </c>
      <c r="AE1" s="59" t="s">
        <v>180</v>
      </c>
      <c r="AF1" s="59" t="s">
        <v>181</v>
      </c>
      <c r="AG1" s="8" t="s">
        <v>84</v>
      </c>
      <c r="AH1" s="8" t="s">
        <v>8</v>
      </c>
      <c r="AI1" s="8"/>
      <c r="AJ1" s="8"/>
      <c r="AK1" s="8"/>
      <c r="AL1" s="8"/>
      <c r="AM1" s="8"/>
      <c r="AN1" s="8"/>
      <c r="AO1" s="8"/>
      <c r="AP1" s="8"/>
      <c r="AQ1" s="8"/>
      <c r="AR1" s="8"/>
      <c r="AS1" s="8"/>
      <c r="AT1" s="8"/>
      <c r="AU1" s="8"/>
      <c r="AV1" s="8"/>
      <c r="AW1" s="8"/>
    </row>
    <row r="2" spans="1:51">
      <c r="A2" s="5">
        <v>1950</v>
      </c>
      <c r="B2" s="3" t="s">
        <v>3</v>
      </c>
      <c r="C2" s="9">
        <v>1704000</v>
      </c>
      <c r="D2" s="9">
        <f t="shared" ref="D2:D33" si="0">C2/5</f>
        <v>340800</v>
      </c>
      <c r="E2" s="9">
        <v>1485000</v>
      </c>
      <c r="F2" s="9">
        <v>1336250</v>
      </c>
      <c r="G2" s="9">
        <v>1199885</v>
      </c>
      <c r="H2" s="9">
        <v>1051999</v>
      </c>
      <c r="I2" s="9">
        <v>962001</v>
      </c>
      <c r="J2" s="9">
        <v>825000</v>
      </c>
      <c r="K2" s="9">
        <v>714999</v>
      </c>
      <c r="L2" s="9">
        <v>566000</v>
      </c>
      <c r="M2" s="14">
        <v>488000</v>
      </c>
      <c r="N2" s="14">
        <v>393000</v>
      </c>
      <c r="O2" s="14">
        <v>323001</v>
      </c>
      <c r="P2" s="14">
        <v>227999</v>
      </c>
      <c r="Q2" s="14">
        <v>158869</v>
      </c>
      <c r="R2" s="10">
        <f>D2+E2</f>
        <v>1825800</v>
      </c>
      <c r="S2" s="10">
        <f>F2+G2</f>
        <v>2536135</v>
      </c>
      <c r="T2" s="11">
        <f>H2+I2</f>
        <v>2014000</v>
      </c>
      <c r="U2" s="10">
        <f>J2+K2</f>
        <v>1539999</v>
      </c>
      <c r="V2" s="10">
        <f>L2+M2</f>
        <v>1054000</v>
      </c>
      <c r="W2" s="10">
        <f>N2+O2</f>
        <v>716001</v>
      </c>
      <c r="X2" s="10">
        <f>P2+Q2</f>
        <v>386868</v>
      </c>
      <c r="Y2" s="11">
        <f>SUM(D2:Q2)</f>
        <v>10072803</v>
      </c>
      <c r="Z2" s="16">
        <f t="shared" ref="Z2:Z33" si="1">R2/Y2</f>
        <v>0.18126037012736176</v>
      </c>
      <c r="AA2" s="16">
        <f t="shared" ref="AA2:AA33" si="2">S2/Y2</f>
        <v>0.25178046269742393</v>
      </c>
      <c r="AB2" s="16">
        <f t="shared" ref="AB2:AB33" si="3">T2/Y2</f>
        <v>0.19994434518375867</v>
      </c>
      <c r="AC2" s="16">
        <f t="shared" ref="AC2:AC33" si="4">U2/Y2</f>
        <v>0.15288683795364608</v>
      </c>
      <c r="AD2" s="16">
        <f>V2/Y2</f>
        <v>0.10463820249438016</v>
      </c>
      <c r="AE2" s="16">
        <f>W2/Y2</f>
        <v>7.1082597366393441E-2</v>
      </c>
      <c r="AF2" s="16">
        <f>X2/Y2</f>
        <v>3.8407184177035925E-2</v>
      </c>
      <c r="AG2" s="16">
        <f t="shared" ref="AG2:AG33" si="5">SUM(Z2:AF2)</f>
        <v>1</v>
      </c>
      <c r="AH2" s="12" t="s">
        <v>125</v>
      </c>
      <c r="AI2" s="12"/>
      <c r="AJ2" s="12"/>
      <c r="AK2" s="12"/>
      <c r="AL2" s="12"/>
      <c r="AM2" s="12"/>
      <c r="AN2" s="12"/>
      <c r="AO2" s="12"/>
      <c r="AP2" s="12"/>
      <c r="AQ2" s="12"/>
      <c r="AR2" s="12"/>
      <c r="AS2" s="12"/>
      <c r="AT2" s="12"/>
      <c r="AU2" s="12"/>
      <c r="AV2" s="13"/>
      <c r="AW2" s="13"/>
      <c r="AX2" s="13"/>
      <c r="AY2" s="13"/>
    </row>
    <row r="3" spans="1:51">
      <c r="A3" s="5">
        <v>1955</v>
      </c>
      <c r="B3" s="3" t="s">
        <v>3</v>
      </c>
      <c r="C3" s="9">
        <v>1909630</v>
      </c>
      <c r="D3" s="9">
        <f t="shared" si="0"/>
        <v>381926</v>
      </c>
      <c r="E3" s="9">
        <v>1675588</v>
      </c>
      <c r="F3" s="9">
        <v>1458074</v>
      </c>
      <c r="G3" s="9">
        <v>1302200</v>
      </c>
      <c r="H3" s="9">
        <v>1162834</v>
      </c>
      <c r="I3" s="9">
        <v>1015671</v>
      </c>
      <c r="J3" s="9">
        <v>923440</v>
      </c>
      <c r="K3" s="9">
        <v>785780</v>
      </c>
      <c r="L3" s="9">
        <v>674405</v>
      </c>
      <c r="M3" s="14">
        <v>525108</v>
      </c>
      <c r="N3" s="14">
        <v>441596</v>
      </c>
      <c r="O3" s="14">
        <v>341320</v>
      </c>
      <c r="P3" s="14">
        <v>263634</v>
      </c>
      <c r="Q3" s="14">
        <v>168864</v>
      </c>
      <c r="R3" s="10">
        <f t="shared" ref="R3:R33" si="6">D3+E3</f>
        <v>2057514</v>
      </c>
      <c r="S3" s="10">
        <f t="shared" ref="S3:S66" si="7">F3+G3</f>
        <v>2760274</v>
      </c>
      <c r="T3" s="11">
        <f t="shared" ref="T3:T66" si="8">H3+I3</f>
        <v>2178505</v>
      </c>
      <c r="U3" s="10">
        <f t="shared" ref="U3:U66" si="9">J3+K3</f>
        <v>1709220</v>
      </c>
      <c r="V3" s="10">
        <f t="shared" ref="V3:V66" si="10">L3+M3</f>
        <v>1199513</v>
      </c>
      <c r="W3" s="10">
        <f t="shared" ref="W3:W66" si="11">N3+O3</f>
        <v>782916</v>
      </c>
      <c r="X3" s="10">
        <f t="shared" ref="X3:X66" si="12">P3+Q3</f>
        <v>432498</v>
      </c>
      <c r="Y3" s="11">
        <f t="shared" ref="Y3:Y66" si="13">SUM(D3:Q3)</f>
        <v>11120440</v>
      </c>
      <c r="Z3" s="16">
        <f t="shared" si="1"/>
        <v>0.1850209164385582</v>
      </c>
      <c r="AA3" s="16">
        <f t="shared" si="2"/>
        <v>0.24821625763009378</v>
      </c>
      <c r="AB3" s="16">
        <f t="shared" si="3"/>
        <v>0.19590097154429142</v>
      </c>
      <c r="AC3" s="16">
        <f t="shared" si="4"/>
        <v>0.15370075284790891</v>
      </c>
      <c r="AD3" s="16">
        <f t="shared" ref="AD3:AD66" si="14">V3/Y3</f>
        <v>0.10786560603717119</v>
      </c>
      <c r="AE3" s="16">
        <f t="shared" ref="AE3:AE66" si="15">W3/Y3</f>
        <v>7.0403329364665423E-2</v>
      </c>
      <c r="AF3" s="16">
        <f t="shared" ref="AF3:AF66" si="16">X3/Y3</f>
        <v>3.8892166137311113E-2</v>
      </c>
      <c r="AG3" s="16">
        <f t="shared" si="5"/>
        <v>1</v>
      </c>
      <c r="AH3" s="12"/>
      <c r="AI3" s="13"/>
      <c r="AJ3" s="13"/>
      <c r="AK3" s="13"/>
      <c r="AL3" s="13"/>
      <c r="AM3" s="13"/>
      <c r="AN3" s="13"/>
      <c r="AO3" s="13"/>
      <c r="AP3" s="13"/>
      <c r="AQ3" s="13"/>
      <c r="AR3" s="13"/>
      <c r="AS3" s="13"/>
      <c r="AT3" s="13"/>
      <c r="AU3" s="13"/>
      <c r="AV3" s="13"/>
      <c r="AW3" s="13"/>
      <c r="AX3" s="13"/>
      <c r="AY3" s="13"/>
    </row>
    <row r="4" spans="1:51">
      <c r="A4" s="5">
        <v>1960</v>
      </c>
      <c r="B4" s="3" t="s">
        <v>3</v>
      </c>
      <c r="C4" s="9">
        <v>2442643</v>
      </c>
      <c r="D4" s="9">
        <f t="shared" si="0"/>
        <v>488528.6</v>
      </c>
      <c r="E4" s="9">
        <v>1882490</v>
      </c>
      <c r="F4" s="9">
        <v>1649658</v>
      </c>
      <c r="G4" s="9">
        <v>1426429</v>
      </c>
      <c r="H4" s="9">
        <v>1268018</v>
      </c>
      <c r="I4" s="9">
        <v>1128458</v>
      </c>
      <c r="J4" s="9">
        <v>980413</v>
      </c>
      <c r="K4" s="9">
        <v>884886</v>
      </c>
      <c r="L4" s="9">
        <v>745655</v>
      </c>
      <c r="M4" s="14">
        <v>629982</v>
      </c>
      <c r="N4" s="14">
        <v>478513</v>
      </c>
      <c r="O4" s="14">
        <v>387270</v>
      </c>
      <c r="P4" s="14">
        <v>281399</v>
      </c>
      <c r="Q4" s="14">
        <v>198083</v>
      </c>
      <c r="R4" s="10">
        <f t="shared" si="6"/>
        <v>2371018.6</v>
      </c>
      <c r="S4" s="10">
        <f t="shared" si="7"/>
        <v>3076087</v>
      </c>
      <c r="T4" s="11">
        <f t="shared" si="8"/>
        <v>2396476</v>
      </c>
      <c r="U4" s="10">
        <f t="shared" si="9"/>
        <v>1865299</v>
      </c>
      <c r="V4" s="10">
        <f t="shared" si="10"/>
        <v>1375637</v>
      </c>
      <c r="W4" s="10">
        <f t="shared" si="11"/>
        <v>865783</v>
      </c>
      <c r="X4" s="10">
        <f t="shared" si="12"/>
        <v>479482</v>
      </c>
      <c r="Y4" s="11">
        <f t="shared" si="13"/>
        <v>12429782.6</v>
      </c>
      <c r="Z4" s="16">
        <f t="shared" si="1"/>
        <v>0.19075302250258183</v>
      </c>
      <c r="AA4" s="16">
        <f t="shared" si="2"/>
        <v>0.24747713608442357</v>
      </c>
      <c r="AB4" s="16">
        <f t="shared" si="3"/>
        <v>0.19280111946607981</v>
      </c>
      <c r="AC4" s="16">
        <f t="shared" si="4"/>
        <v>0.15006690462953071</v>
      </c>
      <c r="AD4" s="16">
        <f t="shared" si="14"/>
        <v>0.11067265166809917</v>
      </c>
      <c r="AE4" s="16">
        <f t="shared" si="15"/>
        <v>6.965391333553976E-2</v>
      </c>
      <c r="AF4" s="16">
        <f t="shared" si="16"/>
        <v>3.8575252313745215E-2</v>
      </c>
      <c r="AG4" s="16">
        <f t="shared" si="5"/>
        <v>1</v>
      </c>
      <c r="AH4" s="12"/>
      <c r="AI4" s="12"/>
      <c r="AJ4" s="12"/>
      <c r="AK4" s="12"/>
      <c r="AL4" s="12"/>
      <c r="AM4" s="12"/>
      <c r="AN4" s="12"/>
      <c r="AO4" s="12"/>
      <c r="AP4" s="12"/>
      <c r="AQ4" s="12"/>
      <c r="AR4" s="12"/>
      <c r="AS4" s="12"/>
      <c r="AT4" s="12"/>
      <c r="AU4" s="12"/>
      <c r="AV4" s="13"/>
      <c r="AW4" s="13"/>
      <c r="AX4" s="13"/>
      <c r="AY4" s="13"/>
    </row>
    <row r="5" spans="1:51">
      <c r="A5" s="5">
        <v>1965</v>
      </c>
      <c r="B5" s="3" t="s">
        <v>3</v>
      </c>
      <c r="C5" s="9">
        <v>2773265</v>
      </c>
      <c r="D5" s="9">
        <f t="shared" si="0"/>
        <v>554653</v>
      </c>
      <c r="E5" s="9">
        <v>2411552</v>
      </c>
      <c r="F5" s="9">
        <v>1860302</v>
      </c>
      <c r="G5" s="9">
        <v>1631982</v>
      </c>
      <c r="H5" s="9">
        <v>1411129</v>
      </c>
      <c r="I5" s="9">
        <v>1249141</v>
      </c>
      <c r="J5" s="9">
        <v>1104731</v>
      </c>
      <c r="K5" s="9">
        <v>950774</v>
      </c>
      <c r="L5" s="9">
        <v>848143</v>
      </c>
      <c r="M5" s="14">
        <v>702534</v>
      </c>
      <c r="N5" s="14">
        <v>578936</v>
      </c>
      <c r="O5" s="14">
        <v>423000</v>
      </c>
      <c r="P5" s="14">
        <v>322550</v>
      </c>
      <c r="Q5" s="14">
        <v>213384</v>
      </c>
      <c r="R5" s="10">
        <f t="shared" si="6"/>
        <v>2966205</v>
      </c>
      <c r="S5" s="10">
        <f t="shared" si="7"/>
        <v>3492284</v>
      </c>
      <c r="T5" s="11">
        <f t="shared" si="8"/>
        <v>2660270</v>
      </c>
      <c r="U5" s="10">
        <f t="shared" si="9"/>
        <v>2055505</v>
      </c>
      <c r="V5" s="10">
        <f t="shared" si="10"/>
        <v>1550677</v>
      </c>
      <c r="W5" s="10">
        <f t="shared" si="11"/>
        <v>1001936</v>
      </c>
      <c r="X5" s="10">
        <f t="shared" si="12"/>
        <v>535934</v>
      </c>
      <c r="Y5" s="11">
        <f t="shared" si="13"/>
        <v>14262811</v>
      </c>
      <c r="Z5" s="16">
        <f t="shared" si="1"/>
        <v>0.2079677701681667</v>
      </c>
      <c r="AA5" s="16">
        <f t="shared" si="2"/>
        <v>0.24485243476899471</v>
      </c>
      <c r="AB5" s="16">
        <f t="shared" si="3"/>
        <v>0.18651793114274598</v>
      </c>
      <c r="AC5" s="16">
        <f t="shared" si="4"/>
        <v>0.14411640173875964</v>
      </c>
      <c r="AD5" s="16">
        <f t="shared" si="14"/>
        <v>0.10872169588449289</v>
      </c>
      <c r="AE5" s="16">
        <f t="shared" si="15"/>
        <v>7.0248143931795778E-2</v>
      </c>
      <c r="AF5" s="16">
        <f t="shared" si="16"/>
        <v>3.757562236504431E-2</v>
      </c>
      <c r="AG5" s="16">
        <f t="shared" si="5"/>
        <v>1</v>
      </c>
      <c r="AH5" s="12"/>
      <c r="AI5" s="13"/>
      <c r="AJ5" s="13"/>
      <c r="AK5" s="13"/>
      <c r="AL5" s="13"/>
      <c r="AM5" s="13"/>
      <c r="AN5" s="13"/>
      <c r="AO5" s="13"/>
      <c r="AP5" s="13"/>
      <c r="AQ5" s="13"/>
      <c r="AR5" s="13"/>
      <c r="AS5" s="13"/>
      <c r="AT5" s="13"/>
      <c r="AU5" s="13"/>
      <c r="AV5" s="13"/>
      <c r="AW5" s="13"/>
      <c r="AX5" s="13"/>
      <c r="AY5" s="13"/>
    </row>
    <row r="6" spans="1:51">
      <c r="A6" s="5">
        <v>1970</v>
      </c>
      <c r="B6" s="3" t="s">
        <v>3</v>
      </c>
      <c r="C6" s="9">
        <v>3134518</v>
      </c>
      <c r="D6" s="9">
        <f t="shared" si="0"/>
        <v>626903.6</v>
      </c>
      <c r="E6" s="9">
        <v>2742764</v>
      </c>
      <c r="F6" s="9">
        <v>2389086</v>
      </c>
      <c r="G6" s="9">
        <v>1852571</v>
      </c>
      <c r="H6" s="9">
        <v>1631685</v>
      </c>
      <c r="I6" s="9">
        <v>1407320</v>
      </c>
      <c r="J6" s="9">
        <v>1238336</v>
      </c>
      <c r="K6" s="9">
        <v>1084019</v>
      </c>
      <c r="L6" s="9">
        <v>920565</v>
      </c>
      <c r="M6" s="14">
        <v>806634</v>
      </c>
      <c r="N6" s="14">
        <v>650979</v>
      </c>
      <c r="O6" s="14">
        <v>516232.99999999994</v>
      </c>
      <c r="P6" s="14">
        <v>355494</v>
      </c>
      <c r="Q6" s="14">
        <v>247482</v>
      </c>
      <c r="R6" s="10">
        <f t="shared" si="6"/>
        <v>3369667.6</v>
      </c>
      <c r="S6" s="10">
        <f t="shared" si="7"/>
        <v>4241657</v>
      </c>
      <c r="T6" s="11">
        <f t="shared" si="8"/>
        <v>3039005</v>
      </c>
      <c r="U6" s="10">
        <f t="shared" si="9"/>
        <v>2322355</v>
      </c>
      <c r="V6" s="10">
        <f t="shared" si="10"/>
        <v>1727199</v>
      </c>
      <c r="W6" s="10">
        <f t="shared" si="11"/>
        <v>1167212</v>
      </c>
      <c r="X6" s="10">
        <f t="shared" si="12"/>
        <v>602976</v>
      </c>
      <c r="Y6" s="11">
        <f t="shared" si="13"/>
        <v>16470071.6</v>
      </c>
      <c r="Z6" s="16">
        <f t="shared" si="1"/>
        <v>0.20459337893831622</v>
      </c>
      <c r="AA6" s="16">
        <f t="shared" si="2"/>
        <v>0.2575372532078124</v>
      </c>
      <c r="AB6" s="16">
        <f t="shared" si="3"/>
        <v>0.18451680562214434</v>
      </c>
      <c r="AC6" s="16">
        <f t="shared" si="4"/>
        <v>0.1410045479097978</v>
      </c>
      <c r="AD6" s="16">
        <f t="shared" si="14"/>
        <v>0.10486894301054527</v>
      </c>
      <c r="AE6" s="16">
        <f t="shared" si="15"/>
        <v>7.0868665804707257E-2</v>
      </c>
      <c r="AF6" s="16">
        <f t="shared" si="16"/>
        <v>3.6610405506676727E-2</v>
      </c>
      <c r="AG6" s="16">
        <f t="shared" si="5"/>
        <v>1</v>
      </c>
      <c r="AH6" s="12"/>
      <c r="AI6" s="13"/>
      <c r="AJ6" s="13"/>
      <c r="AK6" s="13"/>
      <c r="AL6" s="13"/>
      <c r="AM6" s="13"/>
      <c r="AN6" s="13"/>
      <c r="AO6" s="13"/>
      <c r="AP6" s="13"/>
      <c r="AQ6" s="13"/>
      <c r="AR6" s="13"/>
      <c r="AS6" s="13"/>
      <c r="AT6" s="13"/>
      <c r="AU6" s="13"/>
      <c r="AV6" s="13"/>
      <c r="AW6" s="13"/>
      <c r="AX6" s="13"/>
      <c r="AY6" s="13"/>
    </row>
    <row r="7" spans="1:51">
      <c r="A7" s="5">
        <v>1975</v>
      </c>
      <c r="B7" s="3" t="s">
        <v>3</v>
      </c>
      <c r="C7" s="9">
        <v>3541404</v>
      </c>
      <c r="D7" s="9">
        <f t="shared" si="0"/>
        <v>708280.8</v>
      </c>
      <c r="E7" s="9">
        <v>3120387</v>
      </c>
      <c r="F7" s="9">
        <v>2730549</v>
      </c>
      <c r="G7" s="9">
        <v>2381091</v>
      </c>
      <c r="H7" s="9">
        <v>1858578</v>
      </c>
      <c r="I7" s="9">
        <v>1637469</v>
      </c>
      <c r="J7" s="9">
        <v>1402267</v>
      </c>
      <c r="K7" s="9">
        <v>1216737</v>
      </c>
      <c r="L7" s="9">
        <v>1045068</v>
      </c>
      <c r="M7" s="14">
        <v>867065</v>
      </c>
      <c r="N7" s="14">
        <v>736213</v>
      </c>
      <c r="O7" s="14">
        <v>565256</v>
      </c>
      <c r="P7" s="14">
        <v>417112</v>
      </c>
      <c r="Q7" s="14">
        <v>260600.00000000003</v>
      </c>
      <c r="R7" s="10">
        <f t="shared" si="6"/>
        <v>3828667.8</v>
      </c>
      <c r="S7" s="10">
        <f t="shared" si="7"/>
        <v>5111640</v>
      </c>
      <c r="T7" s="11">
        <f t="shared" si="8"/>
        <v>3496047</v>
      </c>
      <c r="U7" s="10">
        <f t="shared" si="9"/>
        <v>2619004</v>
      </c>
      <c r="V7" s="10">
        <f t="shared" si="10"/>
        <v>1912133</v>
      </c>
      <c r="W7" s="10">
        <f t="shared" si="11"/>
        <v>1301469</v>
      </c>
      <c r="X7" s="10">
        <f t="shared" si="12"/>
        <v>677712</v>
      </c>
      <c r="Y7" s="11">
        <f t="shared" si="13"/>
        <v>18946672.800000001</v>
      </c>
      <c r="Z7" s="16">
        <f t="shared" si="1"/>
        <v>0.2020759972167778</v>
      </c>
      <c r="AA7" s="16">
        <f t="shared" si="2"/>
        <v>0.26979090492342273</v>
      </c>
      <c r="AB7" s="16">
        <f t="shared" si="3"/>
        <v>0.1845203660243713</v>
      </c>
      <c r="AC7" s="16">
        <f t="shared" si="4"/>
        <v>0.13823028600567799</v>
      </c>
      <c r="AD7" s="16">
        <f t="shared" si="14"/>
        <v>0.10092183573255141</v>
      </c>
      <c r="AE7" s="16">
        <f t="shared" si="15"/>
        <v>6.8691163548251069E-2</v>
      </c>
      <c r="AF7" s="16">
        <f t="shared" si="16"/>
        <v>3.5769446548947634E-2</v>
      </c>
      <c r="AG7" s="16">
        <f t="shared" si="5"/>
        <v>1</v>
      </c>
      <c r="AH7" s="12"/>
      <c r="AI7" s="13"/>
      <c r="AJ7" s="13"/>
      <c r="AK7" s="13"/>
      <c r="AL7" s="13"/>
      <c r="AM7" s="13"/>
      <c r="AN7" s="13"/>
      <c r="AO7" s="13"/>
      <c r="AP7" s="13"/>
      <c r="AQ7" s="13"/>
      <c r="AR7" s="13"/>
      <c r="AS7" s="13"/>
      <c r="AT7" s="13"/>
      <c r="AU7" s="13"/>
      <c r="AV7" s="13"/>
      <c r="AW7" s="13"/>
      <c r="AX7" s="13"/>
      <c r="AY7" s="13"/>
    </row>
    <row r="8" spans="1:51">
      <c r="A8" s="5">
        <v>1980</v>
      </c>
      <c r="B8" s="3" t="s">
        <v>3</v>
      </c>
      <c r="C8" s="9">
        <v>4070649</v>
      </c>
      <c r="D8" s="9">
        <f t="shared" si="0"/>
        <v>814129.8</v>
      </c>
      <c r="E8" s="9">
        <v>3517691</v>
      </c>
      <c r="F8" s="9">
        <v>3097096</v>
      </c>
      <c r="G8" s="9">
        <v>2701333</v>
      </c>
      <c r="H8" s="9">
        <v>2351695</v>
      </c>
      <c r="I8" s="9">
        <v>1832453</v>
      </c>
      <c r="J8" s="9">
        <v>1604423</v>
      </c>
      <c r="K8" s="9">
        <v>1359480</v>
      </c>
      <c r="L8" s="9">
        <v>1161238</v>
      </c>
      <c r="M8" s="14">
        <v>973830</v>
      </c>
      <c r="N8" s="14">
        <v>781551</v>
      </c>
      <c r="O8" s="14">
        <v>631910</v>
      </c>
      <c r="P8" s="14">
        <v>450506</v>
      </c>
      <c r="Q8" s="14">
        <v>302090</v>
      </c>
      <c r="R8" s="10">
        <f t="shared" si="6"/>
        <v>4331820.8</v>
      </c>
      <c r="S8" s="10">
        <f t="shared" si="7"/>
        <v>5798429</v>
      </c>
      <c r="T8" s="11">
        <f t="shared" si="8"/>
        <v>4184148</v>
      </c>
      <c r="U8" s="10">
        <f t="shared" si="9"/>
        <v>2963903</v>
      </c>
      <c r="V8" s="10">
        <f t="shared" si="10"/>
        <v>2135068</v>
      </c>
      <c r="W8" s="10">
        <f t="shared" si="11"/>
        <v>1413461</v>
      </c>
      <c r="X8" s="10">
        <f t="shared" si="12"/>
        <v>752596</v>
      </c>
      <c r="Y8" s="11">
        <f t="shared" si="13"/>
        <v>21579425.800000001</v>
      </c>
      <c r="Z8" s="16">
        <f t="shared" si="1"/>
        <v>0.20073846450539012</v>
      </c>
      <c r="AA8" s="16">
        <f t="shared" si="2"/>
        <v>0.26870172792086061</v>
      </c>
      <c r="AB8" s="16">
        <f t="shared" si="3"/>
        <v>0.19389524256942925</v>
      </c>
      <c r="AC8" s="16">
        <f t="shared" si="4"/>
        <v>0.13734855725401182</v>
      </c>
      <c r="AD8" s="16">
        <f t="shared" si="14"/>
        <v>9.8939981989696862E-2</v>
      </c>
      <c r="AE8" s="16">
        <f t="shared" si="15"/>
        <v>6.5500398995787926E-2</v>
      </c>
      <c r="AF8" s="16">
        <f t="shared" si="16"/>
        <v>3.4875626764823371E-2</v>
      </c>
      <c r="AG8" s="16">
        <f t="shared" si="5"/>
        <v>1</v>
      </c>
      <c r="AH8" s="12"/>
      <c r="AI8" s="13"/>
      <c r="AJ8" s="13"/>
      <c r="AK8" s="13"/>
      <c r="AL8" s="13"/>
      <c r="AM8" s="13"/>
      <c r="AN8" s="13"/>
      <c r="AO8" s="13"/>
      <c r="AP8" s="13"/>
      <c r="AQ8" s="13"/>
      <c r="AR8" s="13"/>
      <c r="AS8" s="13"/>
      <c r="AT8" s="13"/>
      <c r="AU8" s="13"/>
      <c r="AV8" s="13"/>
      <c r="AW8" s="13"/>
      <c r="AX8" s="13"/>
      <c r="AY8" s="13"/>
    </row>
    <row r="9" spans="1:51">
      <c r="A9" s="5">
        <v>1985</v>
      </c>
      <c r="B9" s="3" t="s">
        <v>3</v>
      </c>
      <c r="C9" s="9">
        <v>4553807</v>
      </c>
      <c r="D9" s="9">
        <f t="shared" si="0"/>
        <v>910761.4</v>
      </c>
      <c r="E9" s="9">
        <v>4045468</v>
      </c>
      <c r="F9" s="9">
        <v>3494128</v>
      </c>
      <c r="G9" s="9">
        <v>3074404</v>
      </c>
      <c r="H9" s="9">
        <v>2684525</v>
      </c>
      <c r="I9" s="9">
        <v>2333866</v>
      </c>
      <c r="J9" s="9">
        <v>1808934</v>
      </c>
      <c r="K9" s="9">
        <v>1564625</v>
      </c>
      <c r="L9" s="9">
        <v>1303928</v>
      </c>
      <c r="M9" s="14">
        <v>1086153</v>
      </c>
      <c r="N9" s="14">
        <v>880384</v>
      </c>
      <c r="O9" s="14">
        <v>672489</v>
      </c>
      <c r="P9" s="14">
        <v>505447</v>
      </c>
      <c r="Q9" s="14">
        <v>326872</v>
      </c>
      <c r="R9" s="10">
        <f t="shared" si="6"/>
        <v>4956229.4000000004</v>
      </c>
      <c r="S9" s="10">
        <f t="shared" si="7"/>
        <v>6568532</v>
      </c>
      <c r="T9" s="11">
        <f t="shared" si="8"/>
        <v>5018391</v>
      </c>
      <c r="U9" s="10">
        <f t="shared" si="9"/>
        <v>3373559</v>
      </c>
      <c r="V9" s="10">
        <f t="shared" si="10"/>
        <v>2390081</v>
      </c>
      <c r="W9" s="10">
        <f t="shared" si="11"/>
        <v>1552873</v>
      </c>
      <c r="X9" s="10">
        <f t="shared" si="12"/>
        <v>832319</v>
      </c>
      <c r="Y9" s="11">
        <f t="shared" si="13"/>
        <v>24691984.399999999</v>
      </c>
      <c r="Z9" s="16">
        <f t="shared" si="1"/>
        <v>0.20072219873911798</v>
      </c>
      <c r="AA9" s="16">
        <f t="shared" si="2"/>
        <v>0.26601879758193919</v>
      </c>
      <c r="AB9" s="16">
        <f t="shared" si="3"/>
        <v>0.20323967967515807</v>
      </c>
      <c r="AC9" s="16">
        <f t="shared" si="4"/>
        <v>0.1366256735525882</v>
      </c>
      <c r="AD9" s="16">
        <f t="shared" si="14"/>
        <v>9.6795824964153149E-2</v>
      </c>
      <c r="AE9" s="16">
        <f t="shared" si="15"/>
        <v>6.2889761099962471E-2</v>
      </c>
      <c r="AF9" s="16">
        <f t="shared" si="16"/>
        <v>3.3708064387081016E-2</v>
      </c>
      <c r="AG9" s="16">
        <f t="shared" si="5"/>
        <v>1</v>
      </c>
      <c r="AH9" s="12"/>
      <c r="AI9" s="13"/>
      <c r="AJ9" s="13"/>
      <c r="AK9" s="13"/>
      <c r="AL9" s="13"/>
      <c r="AM9" s="13"/>
      <c r="AN9" s="13"/>
      <c r="AO9" s="13"/>
      <c r="AP9" s="13"/>
      <c r="AQ9" s="13"/>
      <c r="AR9" s="13"/>
      <c r="AS9" s="13"/>
      <c r="AT9" s="13"/>
      <c r="AU9" s="13"/>
      <c r="AV9" s="13"/>
      <c r="AW9" s="13"/>
      <c r="AX9" s="13"/>
      <c r="AY9" s="13"/>
    </row>
    <row r="10" spans="1:51">
      <c r="A10" s="5">
        <v>1990</v>
      </c>
      <c r="B10" s="3" t="s">
        <v>3</v>
      </c>
      <c r="C10" s="9">
        <v>4986614</v>
      </c>
      <c r="D10" s="9">
        <f t="shared" si="0"/>
        <v>997322.8</v>
      </c>
      <c r="E10" s="9">
        <v>4518792</v>
      </c>
      <c r="F10" s="9">
        <v>4006037</v>
      </c>
      <c r="G10" s="9">
        <v>3440745</v>
      </c>
      <c r="H10" s="9">
        <v>3013037</v>
      </c>
      <c r="I10" s="9">
        <v>2621717</v>
      </c>
      <c r="J10" s="9">
        <v>2269866</v>
      </c>
      <c r="K10" s="9">
        <v>1744859</v>
      </c>
      <c r="L10" s="9">
        <v>1488836</v>
      </c>
      <c r="M10" s="14">
        <v>1214627</v>
      </c>
      <c r="N10" s="14">
        <v>984962</v>
      </c>
      <c r="O10" s="14">
        <v>765863</v>
      </c>
      <c r="P10" s="14">
        <v>546844</v>
      </c>
      <c r="Q10" s="14">
        <v>375885</v>
      </c>
      <c r="R10" s="10">
        <f t="shared" si="6"/>
        <v>5516114.7999999998</v>
      </c>
      <c r="S10" s="10">
        <f t="shared" si="7"/>
        <v>7446782</v>
      </c>
      <c r="T10" s="11">
        <f t="shared" si="8"/>
        <v>5634754</v>
      </c>
      <c r="U10" s="10">
        <f t="shared" si="9"/>
        <v>4014725</v>
      </c>
      <c r="V10" s="10">
        <f t="shared" si="10"/>
        <v>2703463</v>
      </c>
      <c r="W10" s="10">
        <f t="shared" si="11"/>
        <v>1750825</v>
      </c>
      <c r="X10" s="10">
        <f t="shared" si="12"/>
        <v>922729</v>
      </c>
      <c r="Y10" s="29">
        <f t="shared" si="13"/>
        <v>27989392.800000001</v>
      </c>
      <c r="Z10" s="31">
        <f t="shared" si="1"/>
        <v>0.19707875906475542</v>
      </c>
      <c r="AA10" s="31">
        <f t="shared" si="2"/>
        <v>0.2660572901031279</v>
      </c>
      <c r="AB10" s="31">
        <f t="shared" si="3"/>
        <v>0.20131747909872486</v>
      </c>
      <c r="AC10" s="31">
        <f t="shared" si="4"/>
        <v>0.14343737388972583</v>
      </c>
      <c r="AD10" s="31">
        <f t="shared" si="14"/>
        <v>9.6588840612505181E-2</v>
      </c>
      <c r="AE10" s="31">
        <f t="shared" si="15"/>
        <v>6.255316121041396E-2</v>
      </c>
      <c r="AF10" s="31">
        <f t="shared" si="16"/>
        <v>3.2967096020746829E-2</v>
      </c>
      <c r="AG10" s="16">
        <f t="shared" si="5"/>
        <v>1</v>
      </c>
      <c r="AH10" s="12"/>
      <c r="AI10" s="13"/>
      <c r="AJ10" s="13"/>
      <c r="AK10" s="13"/>
      <c r="AL10" s="13"/>
      <c r="AM10" s="13"/>
      <c r="AN10" s="13"/>
      <c r="AO10" s="13"/>
      <c r="AP10" s="13"/>
      <c r="AQ10" s="13"/>
      <c r="AR10" s="13"/>
      <c r="AS10" s="13"/>
      <c r="AT10" s="13"/>
      <c r="AU10" s="13"/>
      <c r="AV10" s="13"/>
      <c r="AW10" s="13"/>
      <c r="AX10" s="13"/>
      <c r="AY10" s="13"/>
    </row>
    <row r="11" spans="1:51">
      <c r="A11" s="5">
        <v>1995</v>
      </c>
      <c r="B11" s="3" t="s">
        <v>3</v>
      </c>
      <c r="C11" s="9">
        <v>5143970</v>
      </c>
      <c r="D11" s="9">
        <f t="shared" si="0"/>
        <v>1028794</v>
      </c>
      <c r="E11" s="9">
        <v>4964842</v>
      </c>
      <c r="F11" s="9">
        <v>4511122</v>
      </c>
      <c r="G11" s="9">
        <v>4030938</v>
      </c>
      <c r="H11" s="9">
        <v>3495355</v>
      </c>
      <c r="I11" s="9">
        <v>3066536</v>
      </c>
      <c r="J11" s="9">
        <v>2655074</v>
      </c>
      <c r="K11" s="9">
        <v>2267268</v>
      </c>
      <c r="L11" s="9">
        <v>1720820</v>
      </c>
      <c r="M11" s="14">
        <v>1444898</v>
      </c>
      <c r="N11" s="14">
        <v>1163050</v>
      </c>
      <c r="O11" s="14">
        <v>919917</v>
      </c>
      <c r="P11" s="14">
        <v>671458</v>
      </c>
      <c r="Q11" s="14">
        <v>439342</v>
      </c>
      <c r="R11" s="10">
        <f t="shared" si="6"/>
        <v>5993636</v>
      </c>
      <c r="S11" s="10">
        <f t="shared" si="7"/>
        <v>8542060</v>
      </c>
      <c r="T11" s="11">
        <f t="shared" si="8"/>
        <v>6561891</v>
      </c>
      <c r="U11" s="10">
        <f t="shared" si="9"/>
        <v>4922342</v>
      </c>
      <c r="V11" s="10">
        <f t="shared" si="10"/>
        <v>3165718</v>
      </c>
      <c r="W11" s="10">
        <f t="shared" si="11"/>
        <v>2082967</v>
      </c>
      <c r="X11" s="10">
        <f t="shared" si="12"/>
        <v>1110800</v>
      </c>
      <c r="Y11" s="11">
        <f t="shared" si="13"/>
        <v>32379414</v>
      </c>
      <c r="Z11" s="16">
        <f t="shared" si="1"/>
        <v>0.18510637653911835</v>
      </c>
      <c r="AA11" s="16">
        <f t="shared" si="2"/>
        <v>0.26381144513609789</v>
      </c>
      <c r="AB11" s="16">
        <f t="shared" si="3"/>
        <v>0.20265626178410764</v>
      </c>
      <c r="AC11" s="16">
        <f t="shared" si="4"/>
        <v>0.15202072526698598</v>
      </c>
      <c r="AD11" s="16">
        <f t="shared" si="14"/>
        <v>9.7769465500518321E-2</v>
      </c>
      <c r="AE11" s="16">
        <f t="shared" si="15"/>
        <v>6.4329978300410248E-2</v>
      </c>
      <c r="AF11" s="16">
        <f t="shared" si="16"/>
        <v>3.430574747276155E-2</v>
      </c>
      <c r="AG11" s="16">
        <f t="shared" si="5"/>
        <v>1</v>
      </c>
      <c r="AH11" s="12"/>
      <c r="AI11" s="13"/>
      <c r="AJ11" s="13"/>
      <c r="AK11" s="13"/>
      <c r="AL11" s="13"/>
      <c r="AM11" s="13"/>
      <c r="AN11" s="13"/>
      <c r="AO11" s="13"/>
      <c r="AP11" s="13"/>
      <c r="AQ11" s="13"/>
      <c r="AR11" s="13"/>
      <c r="AS11" s="13"/>
      <c r="AT11" s="13"/>
      <c r="AU11" s="13"/>
      <c r="AV11" s="13"/>
      <c r="AW11" s="13"/>
      <c r="AX11" s="13"/>
      <c r="AY11" s="13"/>
    </row>
    <row r="12" spans="1:51">
      <c r="A12" s="5">
        <v>2000</v>
      </c>
      <c r="B12" s="3" t="s">
        <v>3</v>
      </c>
      <c r="C12" s="9">
        <v>5077026</v>
      </c>
      <c r="D12" s="9">
        <f t="shared" si="0"/>
        <v>1015405.2</v>
      </c>
      <c r="E12" s="9">
        <v>5132227</v>
      </c>
      <c r="F12" s="9">
        <v>4956830</v>
      </c>
      <c r="G12" s="9">
        <v>4490550</v>
      </c>
      <c r="H12" s="9">
        <v>3981790</v>
      </c>
      <c r="I12" s="9">
        <v>3428197</v>
      </c>
      <c r="J12" s="9">
        <v>2980765</v>
      </c>
      <c r="K12" s="9">
        <v>2553106</v>
      </c>
      <c r="L12" s="9">
        <v>2162220</v>
      </c>
      <c r="M12" s="14">
        <v>1611336</v>
      </c>
      <c r="N12" s="14">
        <v>1323601</v>
      </c>
      <c r="O12" s="14">
        <v>1030718.0000000001</v>
      </c>
      <c r="P12" s="14">
        <v>769776</v>
      </c>
      <c r="Q12" s="14">
        <v>520224.00000000006</v>
      </c>
      <c r="R12" s="10">
        <f t="shared" si="6"/>
        <v>6147632.2000000002</v>
      </c>
      <c r="S12" s="10">
        <f t="shared" si="7"/>
        <v>9447380</v>
      </c>
      <c r="T12" s="11">
        <f t="shared" si="8"/>
        <v>7409987</v>
      </c>
      <c r="U12" s="10">
        <f t="shared" si="9"/>
        <v>5533871</v>
      </c>
      <c r="V12" s="10">
        <f t="shared" si="10"/>
        <v>3773556</v>
      </c>
      <c r="W12" s="10">
        <f t="shared" si="11"/>
        <v>2354319</v>
      </c>
      <c r="X12" s="10">
        <f t="shared" si="12"/>
        <v>1290000</v>
      </c>
      <c r="Y12" s="11">
        <f t="shared" si="13"/>
        <v>35956745.200000003</v>
      </c>
      <c r="Z12" s="16">
        <f t="shared" si="1"/>
        <v>0.17097298895674237</v>
      </c>
      <c r="AA12" s="16">
        <f t="shared" si="2"/>
        <v>0.26274291367173019</v>
      </c>
      <c r="AB12" s="16">
        <f t="shared" si="3"/>
        <v>0.20608058262181081</v>
      </c>
      <c r="AC12" s="16">
        <f t="shared" si="4"/>
        <v>0.15390355743322395</v>
      </c>
      <c r="AD12" s="16">
        <f t="shared" si="14"/>
        <v>0.10494709626832407</v>
      </c>
      <c r="AE12" s="16">
        <f t="shared" si="15"/>
        <v>6.5476421375314023E-2</v>
      </c>
      <c r="AF12" s="16">
        <f t="shared" si="16"/>
        <v>3.5876439672854477E-2</v>
      </c>
      <c r="AG12" s="16">
        <f t="shared" si="5"/>
        <v>1</v>
      </c>
      <c r="AH12" s="12"/>
      <c r="AI12" s="13"/>
      <c r="AJ12" s="13"/>
      <c r="AK12" s="13"/>
      <c r="AL12" s="13"/>
      <c r="AM12" s="13"/>
      <c r="AN12" s="13"/>
      <c r="AO12" s="13"/>
      <c r="AP12" s="13"/>
      <c r="AQ12" s="13"/>
      <c r="AR12" s="13"/>
      <c r="AS12" s="13"/>
      <c r="AT12" s="13"/>
      <c r="AU12" s="13"/>
      <c r="AV12" s="13"/>
      <c r="AW12" s="13"/>
      <c r="AX12" s="13"/>
      <c r="AY12" s="13"/>
    </row>
    <row r="13" spans="1:51">
      <c r="A13" s="5">
        <v>2001</v>
      </c>
      <c r="B13" s="3" t="s">
        <v>3</v>
      </c>
      <c r="C13" s="9">
        <v>5077184</v>
      </c>
      <c r="D13" s="9">
        <f t="shared" si="0"/>
        <v>1015436.8</v>
      </c>
      <c r="E13" s="9">
        <v>5141809</v>
      </c>
      <c r="F13" s="9">
        <v>5020167</v>
      </c>
      <c r="G13" s="9">
        <v>4577194</v>
      </c>
      <c r="H13" s="9">
        <v>4058053</v>
      </c>
      <c r="I13" s="9">
        <v>3493258</v>
      </c>
      <c r="J13" s="9">
        <v>3023822</v>
      </c>
      <c r="K13" s="9">
        <v>2596550</v>
      </c>
      <c r="L13" s="9">
        <v>2218734</v>
      </c>
      <c r="M13" s="15">
        <v>1676160</v>
      </c>
      <c r="N13" s="15">
        <v>1345942</v>
      </c>
      <c r="O13" s="15">
        <v>1055421</v>
      </c>
      <c r="P13" s="15">
        <v>787130</v>
      </c>
      <c r="Q13" s="15">
        <v>536258</v>
      </c>
      <c r="R13" s="10">
        <f t="shared" si="6"/>
        <v>6157245.7999999998</v>
      </c>
      <c r="S13" s="10">
        <f t="shared" si="7"/>
        <v>9597361</v>
      </c>
      <c r="T13" s="11">
        <f t="shared" si="8"/>
        <v>7551311</v>
      </c>
      <c r="U13" s="10">
        <f t="shared" si="9"/>
        <v>5620372</v>
      </c>
      <c r="V13" s="10">
        <f t="shared" si="10"/>
        <v>3894894</v>
      </c>
      <c r="W13" s="10">
        <f t="shared" si="11"/>
        <v>2401363</v>
      </c>
      <c r="X13" s="10">
        <f t="shared" si="12"/>
        <v>1323388</v>
      </c>
      <c r="Y13" s="11">
        <f t="shared" si="13"/>
        <v>36545934.799999997</v>
      </c>
      <c r="Z13" s="16">
        <f t="shared" si="1"/>
        <v>0.16847963620840259</v>
      </c>
      <c r="AA13" s="16">
        <f t="shared" si="2"/>
        <v>0.26261090467440995</v>
      </c>
      <c r="AB13" s="16">
        <f t="shared" si="3"/>
        <v>0.2066251976129504</v>
      </c>
      <c r="AC13" s="16">
        <f t="shared" si="4"/>
        <v>0.15378925264212973</v>
      </c>
      <c r="AD13" s="16">
        <f t="shared" si="14"/>
        <v>0.10657530095522418</v>
      </c>
      <c r="AE13" s="16">
        <f t="shared" si="15"/>
        <v>6.5708074321853174E-2</v>
      </c>
      <c r="AF13" s="16">
        <f t="shared" si="16"/>
        <v>3.6211633585030094E-2</v>
      </c>
      <c r="AG13" s="16">
        <f t="shared" si="5"/>
        <v>1</v>
      </c>
      <c r="AH13" s="12"/>
      <c r="AI13" s="13"/>
      <c r="AJ13" s="13"/>
      <c r="AK13" s="13"/>
      <c r="AL13" s="13"/>
      <c r="AM13" s="13"/>
      <c r="AN13" s="13"/>
      <c r="AO13" s="13"/>
      <c r="AP13" s="13"/>
      <c r="AQ13" s="13"/>
      <c r="AR13" s="13"/>
      <c r="AS13" s="13"/>
      <c r="AT13" s="13"/>
      <c r="AU13" s="13"/>
      <c r="AV13" s="13"/>
      <c r="AW13" s="13"/>
      <c r="AX13" s="13"/>
      <c r="AY13" s="13"/>
    </row>
    <row r="14" spans="1:51">
      <c r="A14" s="5">
        <v>2002</v>
      </c>
      <c r="B14" s="3" t="s">
        <v>3</v>
      </c>
      <c r="C14" s="9">
        <v>5083030</v>
      </c>
      <c r="D14" s="9">
        <f t="shared" si="0"/>
        <v>1016606</v>
      </c>
      <c r="E14" s="9">
        <v>5140522</v>
      </c>
      <c r="F14" s="9">
        <v>5074808</v>
      </c>
      <c r="G14" s="9">
        <v>4671688</v>
      </c>
      <c r="H14" s="9">
        <v>4134209</v>
      </c>
      <c r="I14" s="9">
        <v>3566848</v>
      </c>
      <c r="J14" s="9">
        <v>3066144</v>
      </c>
      <c r="K14" s="9">
        <v>2640881</v>
      </c>
      <c r="L14" s="9">
        <v>2262224</v>
      </c>
      <c r="M14" s="15">
        <v>1755928</v>
      </c>
      <c r="N14" s="15">
        <v>1364415</v>
      </c>
      <c r="O14" s="15">
        <v>1083980</v>
      </c>
      <c r="P14" s="15">
        <v>804406</v>
      </c>
      <c r="Q14" s="15">
        <v>552199</v>
      </c>
      <c r="R14" s="10">
        <f t="shared" si="6"/>
        <v>6157128</v>
      </c>
      <c r="S14" s="10">
        <f t="shared" si="7"/>
        <v>9746496</v>
      </c>
      <c r="T14" s="11">
        <f t="shared" si="8"/>
        <v>7701057</v>
      </c>
      <c r="U14" s="10">
        <f t="shared" si="9"/>
        <v>5707025</v>
      </c>
      <c r="V14" s="10">
        <f t="shared" si="10"/>
        <v>4018152</v>
      </c>
      <c r="W14" s="10">
        <f t="shared" si="11"/>
        <v>2448395</v>
      </c>
      <c r="X14" s="10">
        <f t="shared" si="12"/>
        <v>1356605</v>
      </c>
      <c r="Y14" s="11">
        <f t="shared" si="13"/>
        <v>37134858</v>
      </c>
      <c r="Z14" s="16">
        <f t="shared" si="1"/>
        <v>0.16580453868976691</v>
      </c>
      <c r="AA14" s="16">
        <f t="shared" si="2"/>
        <v>0.2624621857985831</v>
      </c>
      <c r="AB14" s="16">
        <f t="shared" si="3"/>
        <v>0.20738081185068757</v>
      </c>
      <c r="AC14" s="16">
        <f t="shared" si="4"/>
        <v>0.15368377065020689</v>
      </c>
      <c r="AD14" s="16">
        <f t="shared" si="14"/>
        <v>0.10820431843310133</v>
      </c>
      <c r="AE14" s="16">
        <f t="shared" si="15"/>
        <v>6.59325262533655E-2</v>
      </c>
      <c r="AF14" s="16">
        <f t="shared" si="16"/>
        <v>3.6531848324288733E-2</v>
      </c>
      <c r="AG14" s="16">
        <f t="shared" si="5"/>
        <v>1</v>
      </c>
      <c r="AH14" s="12"/>
      <c r="AI14" s="13"/>
      <c r="AJ14" s="13"/>
      <c r="AK14" s="13"/>
      <c r="AL14" s="13"/>
      <c r="AM14" s="13"/>
      <c r="AN14" s="13"/>
      <c r="AO14" s="13"/>
      <c r="AP14" s="13"/>
      <c r="AQ14" s="13"/>
      <c r="AR14" s="13"/>
      <c r="AS14" s="13"/>
      <c r="AT14" s="13"/>
      <c r="AU14" s="13"/>
      <c r="AV14" s="13"/>
      <c r="AW14" s="13"/>
      <c r="AX14" s="13"/>
      <c r="AY14" s="13"/>
    </row>
    <row r="15" spans="1:51">
      <c r="A15" s="5">
        <v>2003</v>
      </c>
      <c r="B15" s="3" t="s">
        <v>3</v>
      </c>
      <c r="C15" s="9">
        <v>5093619</v>
      </c>
      <c r="D15" s="9">
        <f t="shared" si="0"/>
        <v>1018723.8</v>
      </c>
      <c r="E15" s="9">
        <v>5129825</v>
      </c>
      <c r="F15" s="9">
        <v>5118423</v>
      </c>
      <c r="G15" s="9">
        <v>4769082</v>
      </c>
      <c r="H15" s="9">
        <v>4211984</v>
      </c>
      <c r="I15" s="9">
        <v>3646149</v>
      </c>
      <c r="J15" s="9">
        <v>3110672</v>
      </c>
      <c r="K15" s="9">
        <v>2683692</v>
      </c>
      <c r="L15" s="9">
        <v>2297529</v>
      </c>
      <c r="M15" s="15">
        <v>1840989</v>
      </c>
      <c r="N15" s="15">
        <v>1384872</v>
      </c>
      <c r="O15" s="15">
        <v>1114281</v>
      </c>
      <c r="P15" s="15">
        <v>822441</v>
      </c>
      <c r="Q15" s="15">
        <v>568075</v>
      </c>
      <c r="R15" s="10">
        <f t="shared" si="6"/>
        <v>6148548.7999999998</v>
      </c>
      <c r="S15" s="10">
        <f t="shared" si="7"/>
        <v>9887505</v>
      </c>
      <c r="T15" s="11">
        <f t="shared" si="8"/>
        <v>7858133</v>
      </c>
      <c r="U15" s="10">
        <f t="shared" si="9"/>
        <v>5794364</v>
      </c>
      <c r="V15" s="10">
        <f t="shared" si="10"/>
        <v>4138518</v>
      </c>
      <c r="W15" s="10">
        <f t="shared" si="11"/>
        <v>2499153</v>
      </c>
      <c r="X15" s="10">
        <f t="shared" si="12"/>
        <v>1390516</v>
      </c>
      <c r="Y15" s="11">
        <f t="shared" si="13"/>
        <v>37716737.799999997</v>
      </c>
      <c r="Z15" s="16">
        <f t="shared" si="1"/>
        <v>0.16301910394806202</v>
      </c>
      <c r="AA15" s="16">
        <f t="shared" si="2"/>
        <v>0.26215164875685515</v>
      </c>
      <c r="AB15" s="16">
        <f t="shared" si="3"/>
        <v>0.20834604099827533</v>
      </c>
      <c r="AC15" s="16">
        <f t="shared" si="4"/>
        <v>0.15362845086777363</v>
      </c>
      <c r="AD15" s="16">
        <f t="shared" si="14"/>
        <v>0.10972629769693391</v>
      </c>
      <c r="AE15" s="16">
        <f t="shared" si="15"/>
        <v>6.626111232769448E-2</v>
      </c>
      <c r="AF15" s="16">
        <f t="shared" si="16"/>
        <v>3.6867345404405574E-2</v>
      </c>
      <c r="AG15" s="16">
        <f t="shared" si="5"/>
        <v>1</v>
      </c>
      <c r="AH15" s="12"/>
      <c r="AI15" s="13"/>
      <c r="AJ15" s="13"/>
      <c r="AK15" s="13"/>
      <c r="AL15" s="13"/>
      <c r="AM15" s="13"/>
      <c r="AN15" s="13"/>
      <c r="AO15" s="13"/>
      <c r="AP15" s="13"/>
      <c r="AQ15" s="13"/>
      <c r="AR15" s="13"/>
      <c r="AS15" s="13"/>
      <c r="AT15" s="13"/>
      <c r="AU15" s="13"/>
      <c r="AV15" s="13"/>
      <c r="AW15" s="13"/>
      <c r="AX15" s="13"/>
      <c r="AY15" s="13"/>
    </row>
    <row r="16" spans="1:51">
      <c r="A16" s="5">
        <v>2004</v>
      </c>
      <c r="B16" s="3" t="s">
        <v>3</v>
      </c>
      <c r="C16" s="9">
        <v>5103696</v>
      </c>
      <c r="D16" s="9">
        <f>C16/5</f>
        <v>1020739.2</v>
      </c>
      <c r="E16" s="9">
        <v>5114199</v>
      </c>
      <c r="F16" s="9">
        <v>5148761</v>
      </c>
      <c r="G16" s="9">
        <v>4860681</v>
      </c>
      <c r="H16" s="9">
        <v>4294360</v>
      </c>
      <c r="I16" s="9">
        <v>3726660</v>
      </c>
      <c r="J16" s="9">
        <v>3160389</v>
      </c>
      <c r="K16" s="9">
        <v>2722835</v>
      </c>
      <c r="L16" s="9">
        <v>2330982</v>
      </c>
      <c r="M16" s="15">
        <v>1917929</v>
      </c>
      <c r="N16" s="15">
        <v>1415762</v>
      </c>
      <c r="O16" s="15">
        <v>1142877</v>
      </c>
      <c r="P16" s="15">
        <v>842232</v>
      </c>
      <c r="Q16" s="15">
        <v>583674</v>
      </c>
      <c r="R16" s="10">
        <f t="shared" si="6"/>
        <v>6134938.2000000002</v>
      </c>
      <c r="S16" s="10">
        <f t="shared" si="7"/>
        <v>10009442</v>
      </c>
      <c r="T16" s="11">
        <f t="shared" si="8"/>
        <v>8021020</v>
      </c>
      <c r="U16" s="10">
        <f t="shared" si="9"/>
        <v>5883224</v>
      </c>
      <c r="V16" s="10">
        <f t="shared" si="10"/>
        <v>4248911</v>
      </c>
      <c r="W16" s="10">
        <f t="shared" si="11"/>
        <v>2558639</v>
      </c>
      <c r="X16" s="10">
        <f t="shared" si="12"/>
        <v>1425906</v>
      </c>
      <c r="Y16" s="11">
        <f t="shared" si="13"/>
        <v>38282080.200000003</v>
      </c>
      <c r="Z16" s="16">
        <f t="shared" si="1"/>
        <v>0.16025613467055011</v>
      </c>
      <c r="AA16" s="16">
        <f t="shared" si="2"/>
        <v>0.2614654675949401</v>
      </c>
      <c r="AB16" s="16">
        <f t="shared" si="3"/>
        <v>0.20952414179415463</v>
      </c>
      <c r="AC16" s="16">
        <f t="shared" si="4"/>
        <v>0.15368088592009166</v>
      </c>
      <c r="AD16" s="16">
        <f t="shared" si="14"/>
        <v>0.11098955380172887</v>
      </c>
      <c r="AE16" s="16">
        <f t="shared" si="15"/>
        <v>6.683646726177643E-2</v>
      </c>
      <c r="AF16" s="16">
        <f t="shared" si="16"/>
        <v>3.7247348956758096E-2</v>
      </c>
      <c r="AG16" s="16">
        <f t="shared" si="5"/>
        <v>0.99999999999999978</v>
      </c>
      <c r="AH16" s="12"/>
      <c r="AI16" s="13"/>
      <c r="AJ16" s="13"/>
      <c r="AK16" s="13"/>
      <c r="AL16" s="13"/>
      <c r="AM16" s="13"/>
      <c r="AN16" s="13"/>
      <c r="AO16" s="13"/>
      <c r="AP16" s="13"/>
      <c r="AQ16" s="13"/>
      <c r="AR16" s="13"/>
      <c r="AS16" s="13"/>
      <c r="AT16" s="13"/>
      <c r="AU16" s="13"/>
      <c r="AV16" s="13"/>
      <c r="AW16" s="13"/>
      <c r="AX16" s="13"/>
      <c r="AY16" s="13"/>
    </row>
    <row r="17" spans="1:51">
      <c r="A17" s="5">
        <v>2005</v>
      </c>
      <c r="B17" s="3" t="s">
        <v>3</v>
      </c>
      <c r="C17" s="9">
        <v>5105982</v>
      </c>
      <c r="D17" s="9">
        <f t="shared" si="0"/>
        <v>1021196.4</v>
      </c>
      <c r="E17" s="9">
        <v>5098537</v>
      </c>
      <c r="F17" s="9">
        <v>5164926</v>
      </c>
      <c r="G17" s="9">
        <v>4940183</v>
      </c>
      <c r="H17" s="9">
        <v>4383227</v>
      </c>
      <c r="I17" s="9">
        <v>3806087</v>
      </c>
      <c r="J17" s="9">
        <v>3216812</v>
      </c>
      <c r="K17" s="9">
        <v>2758812</v>
      </c>
      <c r="L17" s="9">
        <v>2365323</v>
      </c>
      <c r="M17" s="15">
        <v>1979715</v>
      </c>
      <c r="N17" s="15">
        <v>1461005</v>
      </c>
      <c r="O17" s="15">
        <v>1168101</v>
      </c>
      <c r="P17" s="15">
        <v>864351</v>
      </c>
      <c r="Q17" s="15">
        <v>599044</v>
      </c>
      <c r="R17" s="10">
        <f t="shared" si="6"/>
        <v>6119733.4000000004</v>
      </c>
      <c r="S17" s="10">
        <f t="shared" si="7"/>
        <v>10105109</v>
      </c>
      <c r="T17" s="11">
        <f t="shared" si="8"/>
        <v>8189314</v>
      </c>
      <c r="U17" s="10">
        <f t="shared" si="9"/>
        <v>5975624</v>
      </c>
      <c r="V17" s="10">
        <f t="shared" si="10"/>
        <v>4345038</v>
      </c>
      <c r="W17" s="10">
        <f t="shared" si="11"/>
        <v>2629106</v>
      </c>
      <c r="X17" s="10">
        <f t="shared" si="12"/>
        <v>1463395</v>
      </c>
      <c r="Y17" s="11">
        <f t="shared" si="13"/>
        <v>38827319.399999999</v>
      </c>
      <c r="Z17" s="16">
        <f t="shared" si="1"/>
        <v>0.15761411023394009</v>
      </c>
      <c r="AA17" s="16">
        <f t="shared" si="2"/>
        <v>0.26025770401239701</v>
      </c>
      <c r="AB17" s="16">
        <f t="shared" si="3"/>
        <v>0.21091628591800238</v>
      </c>
      <c r="AC17" s="16">
        <f t="shared" si="4"/>
        <v>0.15390256377060119</v>
      </c>
      <c r="AD17" s="16">
        <f t="shared" si="14"/>
        <v>0.11190672101870623</v>
      </c>
      <c r="AE17" s="16">
        <f t="shared" si="15"/>
        <v>6.7712786785893861E-2</v>
      </c>
      <c r="AF17" s="16">
        <f t="shared" si="16"/>
        <v>3.7689828260459309E-2</v>
      </c>
      <c r="AG17" s="16">
        <f t="shared" si="5"/>
        <v>1.0000000000000002</v>
      </c>
      <c r="AH17" s="12"/>
      <c r="AI17" s="13"/>
      <c r="AJ17" s="13"/>
      <c r="AK17" s="13"/>
      <c r="AL17" s="13"/>
      <c r="AM17" s="13"/>
      <c r="AN17" s="13"/>
      <c r="AO17" s="13"/>
      <c r="AP17" s="13"/>
      <c r="AQ17" s="13"/>
      <c r="AR17" s="13"/>
      <c r="AS17" s="13"/>
      <c r="AT17" s="13"/>
      <c r="AU17" s="13"/>
      <c r="AV17" s="13"/>
      <c r="AW17" s="13"/>
      <c r="AX17" s="13"/>
      <c r="AY17" s="13"/>
    </row>
    <row r="18" spans="1:51">
      <c r="A18" s="5">
        <v>2006</v>
      </c>
      <c r="B18" s="3" t="s">
        <v>3</v>
      </c>
      <c r="C18" s="9">
        <v>5118955</v>
      </c>
      <c r="D18" s="9">
        <f t="shared" si="0"/>
        <v>1023791</v>
      </c>
      <c r="E18" s="9">
        <v>5089679</v>
      </c>
      <c r="F18" s="9">
        <v>5168345</v>
      </c>
      <c r="G18" s="9">
        <v>5000146</v>
      </c>
      <c r="H18" s="9">
        <v>4460764</v>
      </c>
      <c r="I18" s="9">
        <v>3865972</v>
      </c>
      <c r="J18" s="9">
        <v>3268412</v>
      </c>
      <c r="K18" s="9">
        <v>2794870</v>
      </c>
      <c r="L18" s="9">
        <v>2397884</v>
      </c>
      <c r="M18" s="15">
        <v>2030109</v>
      </c>
      <c r="N18" s="15">
        <v>1516033</v>
      </c>
      <c r="O18" s="15">
        <v>1184839</v>
      </c>
      <c r="P18" s="15">
        <v>884717</v>
      </c>
      <c r="Q18" s="15">
        <v>613351</v>
      </c>
      <c r="R18" s="10">
        <f t="shared" si="6"/>
        <v>6113470</v>
      </c>
      <c r="S18" s="10">
        <f t="shared" si="7"/>
        <v>10168491</v>
      </c>
      <c r="T18" s="11">
        <f t="shared" si="8"/>
        <v>8326736</v>
      </c>
      <c r="U18" s="10">
        <f t="shared" si="9"/>
        <v>6063282</v>
      </c>
      <c r="V18" s="10">
        <f t="shared" si="10"/>
        <v>4427993</v>
      </c>
      <c r="W18" s="10">
        <f t="shared" si="11"/>
        <v>2700872</v>
      </c>
      <c r="X18" s="10">
        <f t="shared" si="12"/>
        <v>1498068</v>
      </c>
      <c r="Y18" s="11">
        <f t="shared" si="13"/>
        <v>39298912</v>
      </c>
      <c r="Z18" s="16">
        <f t="shared" si="1"/>
        <v>0.15556333976879563</v>
      </c>
      <c r="AA18" s="16">
        <f t="shared" si="2"/>
        <v>0.25874739229421923</v>
      </c>
      <c r="AB18" s="16">
        <f t="shared" si="3"/>
        <v>0.21188209994210527</v>
      </c>
      <c r="AC18" s="16">
        <f t="shared" si="4"/>
        <v>0.15428625606734353</v>
      </c>
      <c r="AD18" s="16">
        <f t="shared" si="14"/>
        <v>0.11267469694835318</v>
      </c>
      <c r="AE18" s="16">
        <f t="shared" si="15"/>
        <v>6.8726381025510319E-2</v>
      </c>
      <c r="AF18" s="16">
        <f t="shared" si="16"/>
        <v>3.8119833953672813E-2</v>
      </c>
      <c r="AG18" s="16">
        <f t="shared" si="5"/>
        <v>1</v>
      </c>
      <c r="AH18" s="12"/>
      <c r="AI18" s="13"/>
      <c r="AJ18" s="13"/>
      <c r="AK18" s="13"/>
      <c r="AL18" s="13"/>
      <c r="AM18" s="13"/>
      <c r="AN18" s="13"/>
      <c r="AO18" s="13"/>
      <c r="AP18" s="13"/>
      <c r="AQ18" s="13"/>
      <c r="AR18" s="13"/>
      <c r="AS18" s="13"/>
      <c r="AT18" s="13"/>
      <c r="AU18" s="13"/>
      <c r="AV18" s="13"/>
      <c r="AW18" s="13"/>
      <c r="AX18" s="13"/>
      <c r="AY18" s="13"/>
    </row>
    <row r="19" spans="1:51">
      <c r="A19" s="5">
        <v>2007</v>
      </c>
      <c r="B19" s="3" t="s">
        <v>3</v>
      </c>
      <c r="C19" s="9">
        <v>5132484</v>
      </c>
      <c r="D19" s="9">
        <f t="shared" si="0"/>
        <v>1026496.8</v>
      </c>
      <c r="E19" s="9">
        <v>5084497</v>
      </c>
      <c r="F19" s="9">
        <v>5157542</v>
      </c>
      <c r="G19" s="9">
        <v>5052047</v>
      </c>
      <c r="H19" s="9">
        <v>4548728</v>
      </c>
      <c r="I19" s="9">
        <v>3924290</v>
      </c>
      <c r="J19" s="9">
        <v>3323552</v>
      </c>
      <c r="K19" s="9">
        <v>2827556</v>
      </c>
      <c r="L19" s="9">
        <v>2430006</v>
      </c>
      <c r="M19" s="15">
        <v>2067996</v>
      </c>
      <c r="N19" s="15">
        <v>1584573</v>
      </c>
      <c r="O19" s="15">
        <v>1198159</v>
      </c>
      <c r="P19" s="15">
        <v>907470</v>
      </c>
      <c r="Q19" s="15">
        <v>626632</v>
      </c>
      <c r="R19" s="10">
        <f t="shared" si="6"/>
        <v>6110993.7999999998</v>
      </c>
      <c r="S19" s="10">
        <f t="shared" si="7"/>
        <v>10209589</v>
      </c>
      <c r="T19" s="11">
        <f t="shared" si="8"/>
        <v>8473018</v>
      </c>
      <c r="U19" s="10">
        <f t="shared" si="9"/>
        <v>6151108</v>
      </c>
      <c r="V19" s="10">
        <f t="shared" si="10"/>
        <v>4498002</v>
      </c>
      <c r="W19" s="10">
        <f t="shared" si="11"/>
        <v>2782732</v>
      </c>
      <c r="X19" s="10">
        <f t="shared" si="12"/>
        <v>1534102</v>
      </c>
      <c r="Y19" s="11">
        <f t="shared" si="13"/>
        <v>39759544.799999997</v>
      </c>
      <c r="Z19" s="16">
        <f t="shared" si="1"/>
        <v>0.15369878681307236</v>
      </c>
      <c r="AA19" s="16">
        <f t="shared" si="2"/>
        <v>0.25678334727816099</v>
      </c>
      <c r="AB19" s="16">
        <f t="shared" si="3"/>
        <v>0.21310651423755739</v>
      </c>
      <c r="AC19" s="16">
        <f t="shared" si="4"/>
        <v>0.15470770681459112</v>
      </c>
      <c r="AD19" s="16">
        <f t="shared" si="14"/>
        <v>0.11313011812952145</v>
      </c>
      <c r="AE19" s="16">
        <f t="shared" si="15"/>
        <v>6.9989030659123652E-2</v>
      </c>
      <c r="AF19" s="16">
        <f t="shared" si="16"/>
        <v>3.8584496067973095E-2</v>
      </c>
      <c r="AG19" s="16">
        <f t="shared" si="5"/>
        <v>1</v>
      </c>
      <c r="AH19" s="12"/>
      <c r="AI19" s="13"/>
      <c r="AJ19" s="13"/>
      <c r="AK19" s="13"/>
      <c r="AL19" s="13"/>
      <c r="AM19" s="13"/>
      <c r="AN19" s="13"/>
      <c r="AO19" s="13"/>
      <c r="AP19" s="13"/>
      <c r="AQ19" s="13"/>
      <c r="AR19" s="13"/>
      <c r="AS19" s="13"/>
      <c r="AT19" s="13"/>
      <c r="AU19" s="13"/>
      <c r="AV19" s="13"/>
      <c r="AW19" s="13"/>
      <c r="AX19" s="13"/>
      <c r="AY19" s="13"/>
    </row>
    <row r="20" spans="1:51">
      <c r="A20" s="5">
        <v>2008</v>
      </c>
      <c r="B20" s="3" t="s">
        <v>3</v>
      </c>
      <c r="C20" s="9">
        <v>5148044</v>
      </c>
      <c r="D20" s="9">
        <f t="shared" si="0"/>
        <v>1029608.8</v>
      </c>
      <c r="E20" s="9">
        <v>5084186</v>
      </c>
      <c r="F20" s="9">
        <v>5137926</v>
      </c>
      <c r="G20" s="9">
        <v>5096297</v>
      </c>
      <c r="H20" s="9">
        <v>4644896</v>
      </c>
      <c r="I20" s="9">
        <v>3986423</v>
      </c>
      <c r="J20" s="9">
        <v>3382460</v>
      </c>
      <c r="K20" s="9">
        <v>2859084</v>
      </c>
      <c r="L20" s="9">
        <v>2462577</v>
      </c>
      <c r="M20" s="15">
        <v>2097425</v>
      </c>
      <c r="N20" s="15">
        <v>1659178</v>
      </c>
      <c r="O20" s="15">
        <v>1214383</v>
      </c>
      <c r="P20" s="15">
        <v>931333</v>
      </c>
      <c r="Q20" s="15">
        <v>640098</v>
      </c>
      <c r="R20" s="10">
        <f t="shared" si="6"/>
        <v>6113794.7999999998</v>
      </c>
      <c r="S20" s="10">
        <f t="shared" si="7"/>
        <v>10234223</v>
      </c>
      <c r="T20" s="11">
        <f t="shared" si="8"/>
        <v>8631319</v>
      </c>
      <c r="U20" s="10">
        <f t="shared" si="9"/>
        <v>6241544</v>
      </c>
      <c r="V20" s="10">
        <f t="shared" si="10"/>
        <v>4560002</v>
      </c>
      <c r="W20" s="10">
        <f t="shared" si="11"/>
        <v>2873561</v>
      </c>
      <c r="X20" s="10">
        <f t="shared" si="12"/>
        <v>1571431</v>
      </c>
      <c r="Y20" s="11">
        <f t="shared" si="13"/>
        <v>40225874.799999997</v>
      </c>
      <c r="Z20" s="16">
        <f t="shared" si="1"/>
        <v>0.15198662130773599</v>
      </c>
      <c r="AA20" s="16">
        <f t="shared" si="2"/>
        <v>0.2544189045206296</v>
      </c>
      <c r="AB20" s="16">
        <f t="shared" si="3"/>
        <v>0.21457131865781079</v>
      </c>
      <c r="AC20" s="16">
        <f t="shared" si="4"/>
        <v>0.15516241799668706</v>
      </c>
      <c r="AD20" s="16">
        <f t="shared" si="14"/>
        <v>0.11335992126142649</v>
      </c>
      <c r="AE20" s="16">
        <f t="shared" si="15"/>
        <v>7.1435637243120936E-2</v>
      </c>
      <c r="AF20" s="16">
        <f t="shared" si="16"/>
        <v>3.9065179012589185E-2</v>
      </c>
      <c r="AG20" s="16">
        <f t="shared" si="5"/>
        <v>1</v>
      </c>
      <c r="AH20" s="12"/>
      <c r="AI20" s="13"/>
      <c r="AJ20" s="13"/>
      <c r="AK20" s="13"/>
      <c r="AL20" s="13"/>
      <c r="AM20" s="13"/>
      <c r="AN20" s="13"/>
      <c r="AO20" s="13"/>
      <c r="AP20" s="13"/>
      <c r="AQ20" s="13"/>
      <c r="AR20" s="13"/>
      <c r="AS20" s="13"/>
      <c r="AT20" s="13"/>
      <c r="AU20" s="13"/>
      <c r="AV20" s="13"/>
      <c r="AW20" s="13"/>
      <c r="AX20" s="13"/>
      <c r="AY20" s="13"/>
    </row>
    <row r="21" spans="1:51">
      <c r="A21" s="5">
        <v>2009</v>
      </c>
      <c r="B21" s="3" t="s">
        <v>3</v>
      </c>
      <c r="C21" s="9">
        <v>5167277</v>
      </c>
      <c r="D21" s="9">
        <f t="shared" si="0"/>
        <v>1033455.4</v>
      </c>
      <c r="E21" s="9">
        <v>5088913</v>
      </c>
      <c r="F21" s="9">
        <v>5119565</v>
      </c>
      <c r="G21" s="9">
        <v>5133897</v>
      </c>
      <c r="H21" s="9">
        <v>4743660</v>
      </c>
      <c r="I21" s="9">
        <v>4060253</v>
      </c>
      <c r="J21" s="9">
        <v>3444846</v>
      </c>
      <c r="K21" s="9">
        <v>2893968</v>
      </c>
      <c r="L21" s="9">
        <v>2495530</v>
      </c>
      <c r="M21" s="15">
        <v>2125364</v>
      </c>
      <c r="N21" s="15">
        <v>1729194</v>
      </c>
      <c r="O21" s="15">
        <v>1242147</v>
      </c>
      <c r="P21" s="15">
        <v>954400</v>
      </c>
      <c r="Q21" s="15">
        <v>655200</v>
      </c>
      <c r="R21" s="10">
        <f t="shared" si="6"/>
        <v>6122368.4000000004</v>
      </c>
      <c r="S21" s="10">
        <f t="shared" si="7"/>
        <v>10253462</v>
      </c>
      <c r="T21" s="11">
        <f t="shared" si="8"/>
        <v>8803913</v>
      </c>
      <c r="U21" s="10">
        <f t="shared" si="9"/>
        <v>6338814</v>
      </c>
      <c r="V21" s="10">
        <f t="shared" si="10"/>
        <v>4620894</v>
      </c>
      <c r="W21" s="10">
        <f t="shared" si="11"/>
        <v>2971341</v>
      </c>
      <c r="X21" s="10">
        <f t="shared" si="12"/>
        <v>1609600</v>
      </c>
      <c r="Y21" s="11">
        <f t="shared" si="13"/>
        <v>40720392.399999999</v>
      </c>
      <c r="Z21" s="16">
        <f t="shared" si="1"/>
        <v>0.15035140967845881</v>
      </c>
      <c r="AA21" s="16">
        <f t="shared" si="2"/>
        <v>0.25180165012358774</v>
      </c>
      <c r="AB21" s="16">
        <f t="shared" si="3"/>
        <v>0.21620403147195605</v>
      </c>
      <c r="AC21" s="16">
        <f t="shared" si="4"/>
        <v>0.15566682014586875</v>
      </c>
      <c r="AD21" s="16">
        <f t="shared" si="14"/>
        <v>0.11347862158617117</v>
      </c>
      <c r="AE21" s="16">
        <f t="shared" si="15"/>
        <v>7.2969360678361239E-2</v>
      </c>
      <c r="AF21" s="16">
        <f t="shared" si="16"/>
        <v>3.9528106315596313E-2</v>
      </c>
      <c r="AG21" s="16">
        <f t="shared" si="5"/>
        <v>1</v>
      </c>
      <c r="AH21" s="12"/>
      <c r="AI21" s="13"/>
      <c r="AJ21" s="13"/>
      <c r="AK21" s="13"/>
      <c r="AL21" s="13"/>
      <c r="AM21" s="13"/>
      <c r="AN21" s="13"/>
      <c r="AO21" s="13"/>
      <c r="AP21" s="13"/>
      <c r="AQ21" s="13"/>
      <c r="AR21" s="13"/>
      <c r="AS21" s="13"/>
      <c r="AT21" s="13"/>
      <c r="AU21" s="13"/>
      <c r="AV21" s="13"/>
      <c r="AW21" s="13"/>
      <c r="AX21" s="13"/>
      <c r="AY21" s="13"/>
    </row>
    <row r="22" spans="1:51">
      <c r="A22" s="5">
        <v>2010</v>
      </c>
      <c r="B22" s="3" t="s">
        <v>3</v>
      </c>
      <c r="C22" s="9">
        <v>5190311</v>
      </c>
      <c r="D22" s="9">
        <f t="shared" si="0"/>
        <v>1038062.2</v>
      </c>
      <c r="E22" s="9">
        <v>5098468</v>
      </c>
      <c r="F22" s="9">
        <v>5109723</v>
      </c>
      <c r="G22" s="9">
        <v>5164781</v>
      </c>
      <c r="H22" s="9">
        <v>4840177</v>
      </c>
      <c r="I22" s="9">
        <v>4150990</v>
      </c>
      <c r="J22" s="9">
        <v>3511336</v>
      </c>
      <c r="K22" s="9">
        <v>2935854</v>
      </c>
      <c r="L22" s="9">
        <v>2528237</v>
      </c>
      <c r="M22" s="15">
        <v>2156280</v>
      </c>
      <c r="N22" s="15">
        <v>1788495</v>
      </c>
      <c r="O22" s="15">
        <v>1285504</v>
      </c>
      <c r="P22" s="15">
        <v>976278</v>
      </c>
      <c r="Q22" s="15">
        <v>672773</v>
      </c>
      <c r="R22" s="10">
        <f t="shared" si="6"/>
        <v>6136530.2000000002</v>
      </c>
      <c r="S22" s="10">
        <f t="shared" si="7"/>
        <v>10274504</v>
      </c>
      <c r="T22" s="11">
        <f t="shared" si="8"/>
        <v>8991167</v>
      </c>
      <c r="U22" s="10">
        <f t="shared" si="9"/>
        <v>6447190</v>
      </c>
      <c r="V22" s="10">
        <f t="shared" si="10"/>
        <v>4684517</v>
      </c>
      <c r="W22" s="10">
        <f t="shared" si="11"/>
        <v>3073999</v>
      </c>
      <c r="X22" s="10">
        <f t="shared" si="12"/>
        <v>1649051</v>
      </c>
      <c r="Y22" s="11">
        <f t="shared" si="13"/>
        <v>41256958.200000003</v>
      </c>
      <c r="Z22" s="16">
        <f t="shared" si="1"/>
        <v>0.14873927860246372</v>
      </c>
      <c r="AA22" s="16">
        <f t="shared" si="2"/>
        <v>0.24903687640258459</v>
      </c>
      <c r="AB22" s="16">
        <f t="shared" si="3"/>
        <v>0.21793092346783818</v>
      </c>
      <c r="AC22" s="16">
        <f t="shared" si="4"/>
        <v>0.15626915510218103</v>
      </c>
      <c r="AD22" s="16">
        <f t="shared" si="14"/>
        <v>0.11354489531901554</v>
      </c>
      <c r="AE22" s="16">
        <f t="shared" si="15"/>
        <v>7.4508619493911202E-2</v>
      </c>
      <c r="AF22" s="16">
        <f t="shared" si="16"/>
        <v>3.9970251612005653E-2</v>
      </c>
      <c r="AG22" s="16">
        <f t="shared" si="5"/>
        <v>0.99999999999999989</v>
      </c>
      <c r="AH22" s="12"/>
      <c r="AI22" s="13"/>
      <c r="AJ22" s="13"/>
      <c r="AK22" s="13"/>
      <c r="AL22" s="13"/>
      <c r="AM22" s="13"/>
      <c r="AN22" s="13"/>
      <c r="AO22" s="13"/>
      <c r="AP22" s="13"/>
      <c r="AQ22" s="13"/>
      <c r="AR22" s="13"/>
      <c r="AS22" s="13"/>
      <c r="AT22" s="13"/>
      <c r="AU22" s="13"/>
      <c r="AV22" s="13"/>
      <c r="AW22" s="13"/>
      <c r="AX22" s="13"/>
      <c r="AY22" s="13"/>
    </row>
    <row r="23" spans="1:51">
      <c r="A23" s="5">
        <v>2011</v>
      </c>
      <c r="B23" s="3" t="s">
        <v>3</v>
      </c>
      <c r="C23" s="9">
        <v>5215617</v>
      </c>
      <c r="D23" s="9">
        <f t="shared" si="0"/>
        <v>1043123.4</v>
      </c>
      <c r="E23" s="9">
        <v>5108810</v>
      </c>
      <c r="F23" s="9">
        <v>5103516</v>
      </c>
      <c r="G23" s="9">
        <v>5169125</v>
      </c>
      <c r="H23" s="9">
        <v>4910623</v>
      </c>
      <c r="I23" s="9">
        <v>4243974</v>
      </c>
      <c r="J23" s="9">
        <v>3590506</v>
      </c>
      <c r="K23" s="9">
        <v>3009267</v>
      </c>
      <c r="L23" s="9">
        <v>2578361</v>
      </c>
      <c r="M23" s="15">
        <v>2202481</v>
      </c>
      <c r="N23" s="15">
        <v>1843645</v>
      </c>
      <c r="O23" s="15">
        <v>1341921</v>
      </c>
      <c r="P23" s="15">
        <v>995727</v>
      </c>
      <c r="Q23" s="15">
        <v>692279</v>
      </c>
      <c r="R23" s="10">
        <f t="shared" si="6"/>
        <v>6151933.4000000004</v>
      </c>
      <c r="S23" s="10">
        <f t="shared" si="7"/>
        <v>10272641</v>
      </c>
      <c r="T23" s="11">
        <f t="shared" si="8"/>
        <v>9154597</v>
      </c>
      <c r="U23" s="10">
        <f t="shared" si="9"/>
        <v>6599773</v>
      </c>
      <c r="V23" s="10">
        <f t="shared" si="10"/>
        <v>4780842</v>
      </c>
      <c r="W23" s="10">
        <f t="shared" si="11"/>
        <v>3185566</v>
      </c>
      <c r="X23" s="10">
        <f t="shared" si="12"/>
        <v>1688006</v>
      </c>
      <c r="Y23" s="11">
        <f t="shared" si="13"/>
        <v>41833358.399999999</v>
      </c>
      <c r="Z23" s="16">
        <f t="shared" si="1"/>
        <v>0.14705808080663207</v>
      </c>
      <c r="AA23" s="16">
        <f t="shared" si="2"/>
        <v>0.24556099230130182</v>
      </c>
      <c r="AB23" s="16">
        <f t="shared" si="3"/>
        <v>0.21883485692126503</v>
      </c>
      <c r="AC23" s="16">
        <f t="shared" si="4"/>
        <v>0.15776340347563395</v>
      </c>
      <c r="AD23" s="16">
        <f t="shared" si="14"/>
        <v>0.11428300721846898</v>
      </c>
      <c r="AE23" s="16">
        <f t="shared" si="15"/>
        <v>7.6148942419119764E-2</v>
      </c>
      <c r="AF23" s="16">
        <f t="shared" si="16"/>
        <v>4.0350716857578427E-2</v>
      </c>
      <c r="AG23" s="16">
        <f t="shared" si="5"/>
        <v>1</v>
      </c>
      <c r="AH23" s="12"/>
      <c r="AI23" s="13"/>
      <c r="AJ23" s="13"/>
      <c r="AK23" s="13"/>
      <c r="AL23" s="13"/>
      <c r="AM23" s="13"/>
      <c r="AN23" s="13"/>
      <c r="AO23" s="13"/>
      <c r="AP23" s="13"/>
      <c r="AQ23" s="13"/>
      <c r="AR23" s="13"/>
      <c r="AS23" s="13"/>
      <c r="AT23" s="13"/>
      <c r="AU23" s="13"/>
      <c r="AV23" s="13"/>
      <c r="AW23" s="13"/>
      <c r="AX23" s="13"/>
      <c r="AY23" s="13"/>
    </row>
    <row r="24" spans="1:51">
      <c r="A24" s="5">
        <v>2012</v>
      </c>
      <c r="B24" s="3" t="s">
        <v>3</v>
      </c>
      <c r="C24" s="9">
        <v>5249218</v>
      </c>
      <c r="D24" s="9">
        <f t="shared" si="0"/>
        <v>1049843.6000000001</v>
      </c>
      <c r="E24" s="9">
        <v>5123953</v>
      </c>
      <c r="F24" s="9">
        <v>5107936</v>
      </c>
      <c r="G24" s="9">
        <v>5167135</v>
      </c>
      <c r="H24" s="9">
        <v>4978005</v>
      </c>
      <c r="I24" s="9">
        <v>4351008</v>
      </c>
      <c r="J24" s="9">
        <v>3666717</v>
      </c>
      <c r="K24" s="9">
        <v>3088572</v>
      </c>
      <c r="L24" s="9">
        <v>2631569</v>
      </c>
      <c r="M24" s="15">
        <v>2253133</v>
      </c>
      <c r="N24" s="15">
        <v>1892732</v>
      </c>
      <c r="O24" s="15">
        <v>1413553</v>
      </c>
      <c r="P24" s="15">
        <v>1014674</v>
      </c>
      <c r="Q24" s="15">
        <v>714856</v>
      </c>
      <c r="R24" s="10">
        <f t="shared" si="6"/>
        <v>6173796.5999999996</v>
      </c>
      <c r="S24" s="10">
        <f t="shared" si="7"/>
        <v>10275071</v>
      </c>
      <c r="T24" s="11">
        <f t="shared" si="8"/>
        <v>9329013</v>
      </c>
      <c r="U24" s="10">
        <f t="shared" si="9"/>
        <v>6755289</v>
      </c>
      <c r="V24" s="10">
        <f t="shared" si="10"/>
        <v>4884702</v>
      </c>
      <c r="W24" s="10">
        <f t="shared" si="11"/>
        <v>3306285</v>
      </c>
      <c r="X24" s="10">
        <f t="shared" si="12"/>
        <v>1729530</v>
      </c>
      <c r="Y24" s="11">
        <f t="shared" si="13"/>
        <v>42453686.600000001</v>
      </c>
      <c r="Z24" s="16">
        <f t="shared" si="1"/>
        <v>0.14542427512054981</v>
      </c>
      <c r="AA24" s="16">
        <f t="shared" si="2"/>
        <v>0.24203012324493864</v>
      </c>
      <c r="AB24" s="16">
        <f t="shared" si="3"/>
        <v>0.21974565101726642</v>
      </c>
      <c r="AC24" s="16">
        <f t="shared" si="4"/>
        <v>0.15912137533893228</v>
      </c>
      <c r="AD24" s="16">
        <f t="shared" si="14"/>
        <v>0.11505954820894164</v>
      </c>
      <c r="AE24" s="16">
        <f t="shared" si="15"/>
        <v>7.787980891157753E-2</v>
      </c>
      <c r="AF24" s="16">
        <f t="shared" si="16"/>
        <v>4.0739218157793626E-2</v>
      </c>
      <c r="AG24" s="16">
        <f t="shared" si="5"/>
        <v>0.99999999999999989</v>
      </c>
      <c r="AH24" s="12"/>
      <c r="AI24" s="13"/>
      <c r="AJ24" s="13"/>
      <c r="AK24" s="13"/>
      <c r="AL24" s="13"/>
      <c r="AM24" s="13"/>
      <c r="AN24" s="13"/>
      <c r="AO24" s="13"/>
      <c r="AP24" s="13"/>
      <c r="AQ24" s="13"/>
      <c r="AR24" s="13"/>
      <c r="AS24" s="13"/>
      <c r="AT24" s="13"/>
      <c r="AU24" s="13"/>
      <c r="AV24" s="13"/>
      <c r="AW24" s="13"/>
      <c r="AX24" s="13"/>
      <c r="AY24" s="13"/>
    </row>
    <row r="25" spans="1:51">
      <c r="A25" s="5">
        <v>2013</v>
      </c>
      <c r="B25" s="3" t="s">
        <v>3</v>
      </c>
      <c r="C25" s="9">
        <v>5289897</v>
      </c>
      <c r="D25" s="9">
        <f t="shared" si="0"/>
        <v>1057979.3999999999</v>
      </c>
      <c r="E25" s="9">
        <v>5141727</v>
      </c>
      <c r="F25" s="9">
        <v>5118395</v>
      </c>
      <c r="G25" s="9">
        <v>5161785</v>
      </c>
      <c r="H25" s="9">
        <v>5039685</v>
      </c>
      <c r="I25" s="9">
        <v>4467294</v>
      </c>
      <c r="J25" s="9">
        <v>3742455</v>
      </c>
      <c r="K25" s="9">
        <v>3169297</v>
      </c>
      <c r="L25" s="9">
        <v>2689033</v>
      </c>
      <c r="M25" s="15">
        <v>2306252</v>
      </c>
      <c r="N25" s="15">
        <v>1938554</v>
      </c>
      <c r="O25" s="15">
        <v>1493151</v>
      </c>
      <c r="P25" s="15">
        <v>1038053.0000000001</v>
      </c>
      <c r="Q25" s="15">
        <v>739215</v>
      </c>
      <c r="R25" s="10">
        <f t="shared" si="6"/>
        <v>6199706.4000000004</v>
      </c>
      <c r="S25" s="10">
        <f t="shared" si="7"/>
        <v>10280180</v>
      </c>
      <c r="T25" s="11">
        <f t="shared" si="8"/>
        <v>9506979</v>
      </c>
      <c r="U25" s="10">
        <f t="shared" si="9"/>
        <v>6911752</v>
      </c>
      <c r="V25" s="10">
        <f t="shared" si="10"/>
        <v>4995285</v>
      </c>
      <c r="W25" s="10">
        <f t="shared" si="11"/>
        <v>3431705</v>
      </c>
      <c r="X25" s="10">
        <f t="shared" si="12"/>
        <v>1777268</v>
      </c>
      <c r="Y25" s="11">
        <f t="shared" si="13"/>
        <v>43102875.399999999</v>
      </c>
      <c r="Z25" s="16">
        <f t="shared" si="1"/>
        <v>0.14383510015204232</v>
      </c>
      <c r="AA25" s="16">
        <f t="shared" si="2"/>
        <v>0.23850334588118918</v>
      </c>
      <c r="AB25" s="16">
        <f t="shared" si="3"/>
        <v>0.22056484426558698</v>
      </c>
      <c r="AC25" s="16">
        <f t="shared" si="4"/>
        <v>0.16035477763045014</v>
      </c>
      <c r="AD25" s="16">
        <f t="shared" si="14"/>
        <v>0.11589215229014629</v>
      </c>
      <c r="AE25" s="16">
        <f t="shared" si="15"/>
        <v>7.9616614162126176E-2</v>
      </c>
      <c r="AF25" s="16">
        <f t="shared" si="16"/>
        <v>4.1233165618458953E-2</v>
      </c>
      <c r="AG25" s="16">
        <f t="shared" si="5"/>
        <v>1</v>
      </c>
      <c r="AH25" s="12"/>
      <c r="AI25" s="13"/>
      <c r="AJ25" s="13"/>
      <c r="AK25" s="13"/>
      <c r="AL25" s="13"/>
      <c r="AM25" s="13"/>
      <c r="AN25" s="13"/>
      <c r="AO25" s="13"/>
      <c r="AP25" s="13"/>
      <c r="AQ25" s="13"/>
      <c r="AR25" s="13"/>
      <c r="AS25" s="13"/>
      <c r="AT25" s="13"/>
      <c r="AU25" s="13"/>
      <c r="AV25" s="13"/>
      <c r="AW25" s="13"/>
      <c r="AX25" s="13"/>
      <c r="AY25" s="13"/>
    </row>
    <row r="26" spans="1:51">
      <c r="A26" s="5">
        <v>2014</v>
      </c>
      <c r="B26" s="3" t="s">
        <v>3</v>
      </c>
      <c r="C26" s="9">
        <v>5334550</v>
      </c>
      <c r="D26" s="9">
        <f t="shared" si="0"/>
        <v>1066910</v>
      </c>
      <c r="E26" s="9">
        <v>5160961</v>
      </c>
      <c r="F26" s="9">
        <v>5129324</v>
      </c>
      <c r="G26" s="9">
        <v>5158273</v>
      </c>
      <c r="H26" s="9">
        <v>5092564</v>
      </c>
      <c r="I26" s="9">
        <v>4582524</v>
      </c>
      <c r="J26" s="9">
        <v>3823490</v>
      </c>
      <c r="K26" s="9">
        <v>3246849</v>
      </c>
      <c r="L26" s="9">
        <v>2751118</v>
      </c>
      <c r="M26" s="15">
        <v>2359673</v>
      </c>
      <c r="N26" s="15">
        <v>1985361</v>
      </c>
      <c r="O26" s="15">
        <v>1570264</v>
      </c>
      <c r="P26" s="15">
        <v>1072543</v>
      </c>
      <c r="Q26" s="15">
        <v>763381</v>
      </c>
      <c r="R26" s="10">
        <f t="shared" si="6"/>
        <v>6227871</v>
      </c>
      <c r="S26" s="10">
        <f t="shared" si="7"/>
        <v>10287597</v>
      </c>
      <c r="T26" s="11">
        <f t="shared" si="8"/>
        <v>9675088</v>
      </c>
      <c r="U26" s="10">
        <f t="shared" si="9"/>
        <v>7070339</v>
      </c>
      <c r="V26" s="10">
        <f t="shared" si="10"/>
        <v>5110791</v>
      </c>
      <c r="W26" s="10">
        <f t="shared" si="11"/>
        <v>3555625</v>
      </c>
      <c r="X26" s="10">
        <f t="shared" si="12"/>
        <v>1835924</v>
      </c>
      <c r="Y26" s="11">
        <f t="shared" si="13"/>
        <v>43763235</v>
      </c>
      <c r="Z26" s="16">
        <f t="shared" si="1"/>
        <v>0.14230828685310856</v>
      </c>
      <c r="AA26" s="16">
        <f t="shared" si="2"/>
        <v>0.23507396105429593</v>
      </c>
      <c r="AB26" s="16">
        <f t="shared" si="3"/>
        <v>0.22107798932140185</v>
      </c>
      <c r="AC26" s="16">
        <f t="shared" si="4"/>
        <v>0.16155887470384672</v>
      </c>
      <c r="AD26" s="16">
        <f t="shared" si="14"/>
        <v>0.11678275154933131</v>
      </c>
      <c r="AE26" s="16">
        <f t="shared" si="15"/>
        <v>8.1246850238562124E-2</v>
      </c>
      <c r="AF26" s="16">
        <f t="shared" si="16"/>
        <v>4.195128627945352E-2</v>
      </c>
      <c r="AG26" s="16">
        <f t="shared" si="5"/>
        <v>1</v>
      </c>
      <c r="AH26" s="12"/>
      <c r="AI26" s="13"/>
      <c r="AJ26" s="13"/>
      <c r="AK26" s="13"/>
      <c r="AL26" s="13"/>
      <c r="AM26" s="13"/>
      <c r="AN26" s="13"/>
      <c r="AO26" s="13"/>
      <c r="AP26" s="13"/>
      <c r="AQ26" s="13"/>
      <c r="AR26" s="13"/>
      <c r="AS26" s="13"/>
      <c r="AT26" s="13"/>
      <c r="AU26" s="13"/>
      <c r="AV26" s="13"/>
      <c r="AW26" s="13"/>
      <c r="AX26" s="13"/>
      <c r="AY26" s="13"/>
    </row>
    <row r="27" spans="1:51">
      <c r="A27" s="5">
        <v>2015</v>
      </c>
      <c r="B27" s="3" t="s">
        <v>3</v>
      </c>
      <c r="C27" s="9">
        <v>5379653</v>
      </c>
      <c r="D27" s="9">
        <f t="shared" si="0"/>
        <v>1075930.6000000001</v>
      </c>
      <c r="E27" s="9">
        <v>5181944</v>
      </c>
      <c r="F27" s="9">
        <v>5137446</v>
      </c>
      <c r="G27" s="9">
        <v>5158966</v>
      </c>
      <c r="H27" s="9">
        <v>5134451</v>
      </c>
      <c r="I27" s="9">
        <v>4688763</v>
      </c>
      <c r="J27" s="9">
        <v>3914758</v>
      </c>
      <c r="K27" s="9">
        <v>3319227</v>
      </c>
      <c r="L27" s="9">
        <v>2816157</v>
      </c>
      <c r="M27" s="15">
        <v>2412652</v>
      </c>
      <c r="N27" s="15">
        <v>2035084</v>
      </c>
      <c r="O27" s="15">
        <v>1638878</v>
      </c>
      <c r="P27" s="15">
        <v>1121190</v>
      </c>
      <c r="Q27" s="15">
        <v>786845</v>
      </c>
      <c r="R27" s="10">
        <f t="shared" si="6"/>
        <v>6257874.5999999996</v>
      </c>
      <c r="S27" s="10">
        <f t="shared" si="7"/>
        <v>10296412</v>
      </c>
      <c r="T27" s="11">
        <f t="shared" si="8"/>
        <v>9823214</v>
      </c>
      <c r="U27" s="10">
        <f t="shared" si="9"/>
        <v>7233985</v>
      </c>
      <c r="V27" s="10">
        <f t="shared" si="10"/>
        <v>5228809</v>
      </c>
      <c r="W27" s="10">
        <f t="shared" si="11"/>
        <v>3673962</v>
      </c>
      <c r="X27" s="10">
        <f t="shared" si="12"/>
        <v>1908035</v>
      </c>
      <c r="Y27" s="11">
        <f t="shared" si="13"/>
        <v>44422291.600000001</v>
      </c>
      <c r="Z27" s="16">
        <f t="shared" si="1"/>
        <v>0.1408723947955895</v>
      </c>
      <c r="AA27" s="16">
        <f t="shared" si="2"/>
        <v>0.23178480058421838</v>
      </c>
      <c r="AB27" s="16">
        <f t="shared" si="3"/>
        <v>0.22113253608015124</v>
      </c>
      <c r="AC27" s="16">
        <f t="shared" si="4"/>
        <v>0.1628458312132641</v>
      </c>
      <c r="AD27" s="16">
        <f t="shared" si="14"/>
        <v>0.11770687219567033</v>
      </c>
      <c r="AE27" s="16">
        <f t="shared" si="15"/>
        <v>8.2705368581210248E-2</v>
      </c>
      <c r="AF27" s="16">
        <f t="shared" si="16"/>
        <v>4.2952196549896134E-2</v>
      </c>
      <c r="AG27" s="16">
        <f t="shared" si="5"/>
        <v>1</v>
      </c>
      <c r="AH27" s="12"/>
      <c r="AI27" s="13"/>
      <c r="AJ27" s="13"/>
      <c r="AK27" s="13"/>
      <c r="AL27" s="13"/>
      <c r="AM27" s="13"/>
      <c r="AN27" s="13"/>
      <c r="AO27" s="13"/>
      <c r="AP27" s="13"/>
      <c r="AQ27" s="13"/>
      <c r="AR27" s="13"/>
      <c r="AS27" s="13"/>
      <c r="AT27" s="13"/>
      <c r="AU27" s="13"/>
      <c r="AV27" s="13"/>
      <c r="AW27" s="13"/>
      <c r="AX27" s="13"/>
      <c r="AY27" s="13"/>
    </row>
    <row r="28" spans="1:51">
      <c r="A28" s="5">
        <v>2016</v>
      </c>
      <c r="B28" s="3" t="s">
        <v>3</v>
      </c>
      <c r="C28" s="9">
        <v>5430801</v>
      </c>
      <c r="D28" s="9">
        <f t="shared" si="0"/>
        <v>1086160.2</v>
      </c>
      <c r="E28" s="9">
        <v>5208308</v>
      </c>
      <c r="F28" s="9">
        <v>5138913</v>
      </c>
      <c r="G28" s="9">
        <v>5150190</v>
      </c>
      <c r="H28" s="9">
        <v>5156730</v>
      </c>
      <c r="I28" s="9">
        <v>4791959</v>
      </c>
      <c r="J28" s="9">
        <v>4036341</v>
      </c>
      <c r="K28" s="9">
        <v>3397040</v>
      </c>
      <c r="L28" s="9">
        <v>2875044</v>
      </c>
      <c r="M28" s="15">
        <v>2453729</v>
      </c>
      <c r="N28" s="15">
        <v>2070027</v>
      </c>
      <c r="O28" s="15">
        <v>1683518</v>
      </c>
      <c r="P28" s="15">
        <v>1169455</v>
      </c>
      <c r="Q28" s="15">
        <v>804776</v>
      </c>
      <c r="R28" s="10">
        <f t="shared" si="6"/>
        <v>6294468.2000000002</v>
      </c>
      <c r="S28" s="10">
        <f t="shared" si="7"/>
        <v>10289103</v>
      </c>
      <c r="T28" s="11">
        <f t="shared" si="8"/>
        <v>9948689</v>
      </c>
      <c r="U28" s="10">
        <f t="shared" si="9"/>
        <v>7433381</v>
      </c>
      <c r="V28" s="10">
        <f t="shared" si="10"/>
        <v>5328773</v>
      </c>
      <c r="W28" s="10">
        <f t="shared" si="11"/>
        <v>3753545</v>
      </c>
      <c r="X28" s="10">
        <f t="shared" si="12"/>
        <v>1974231</v>
      </c>
      <c r="Y28" s="11">
        <f t="shared" si="13"/>
        <v>45022190.200000003</v>
      </c>
      <c r="Z28" s="16">
        <f t="shared" si="1"/>
        <v>0.13980812954763805</v>
      </c>
      <c r="AA28" s="16">
        <f t="shared" si="2"/>
        <v>0.22853403964341121</v>
      </c>
      <c r="AB28" s="16">
        <f t="shared" si="3"/>
        <v>0.22097301254793242</v>
      </c>
      <c r="AC28" s="16">
        <f t="shared" si="4"/>
        <v>0.16510482868512247</v>
      </c>
      <c r="AD28" s="16">
        <f t="shared" si="14"/>
        <v>0.11835881320584887</v>
      </c>
      <c r="AE28" s="16">
        <f t="shared" si="15"/>
        <v>8.3370999574338786E-2</v>
      </c>
      <c r="AF28" s="16">
        <f t="shared" si="16"/>
        <v>4.3850176795708171E-2</v>
      </c>
      <c r="AG28" s="16">
        <f t="shared" si="5"/>
        <v>0.99999999999999989</v>
      </c>
      <c r="AH28" s="12"/>
      <c r="AI28" s="13"/>
      <c r="AJ28" s="13"/>
      <c r="AK28" s="13"/>
      <c r="AL28" s="13"/>
      <c r="AM28" s="13"/>
      <c r="AN28" s="13"/>
      <c r="AO28" s="13"/>
      <c r="AP28" s="13"/>
      <c r="AQ28" s="13"/>
      <c r="AR28" s="13"/>
      <c r="AS28" s="13"/>
      <c r="AT28" s="13"/>
      <c r="AU28" s="13"/>
      <c r="AV28" s="13"/>
      <c r="AW28" s="13"/>
      <c r="AX28" s="13"/>
      <c r="AY28" s="13"/>
    </row>
    <row r="29" spans="1:51">
      <c r="A29" s="2">
        <v>2017</v>
      </c>
      <c r="B29" s="3" t="s">
        <v>3</v>
      </c>
      <c r="C29" s="9">
        <v>5486797</v>
      </c>
      <c r="D29" s="9">
        <f t="shared" si="0"/>
        <v>1097359.3999999999</v>
      </c>
      <c r="E29" s="9">
        <v>5240653</v>
      </c>
      <c r="F29" s="9">
        <v>5142432</v>
      </c>
      <c r="G29" s="9">
        <v>5145215</v>
      </c>
      <c r="H29" s="9">
        <v>5162791</v>
      </c>
      <c r="I29" s="9">
        <v>4883070</v>
      </c>
      <c r="J29" s="9">
        <v>4171448.0000000005</v>
      </c>
      <c r="K29" s="9">
        <v>3476134</v>
      </c>
      <c r="L29" s="9">
        <v>2939786</v>
      </c>
      <c r="M29" s="15">
        <v>2496854</v>
      </c>
      <c r="N29" s="15">
        <v>2107479</v>
      </c>
      <c r="O29" s="15">
        <v>1721274</v>
      </c>
      <c r="P29" s="15">
        <v>1228222</v>
      </c>
      <c r="Q29" s="15">
        <v>820002</v>
      </c>
      <c r="R29" s="10">
        <f t="shared" si="6"/>
        <v>6338012.4000000004</v>
      </c>
      <c r="S29" s="10">
        <f t="shared" si="7"/>
        <v>10287647</v>
      </c>
      <c r="T29" s="11">
        <f t="shared" si="8"/>
        <v>10045861</v>
      </c>
      <c r="U29" s="10">
        <f t="shared" si="9"/>
        <v>7647582</v>
      </c>
      <c r="V29" s="10">
        <f t="shared" si="10"/>
        <v>5436640</v>
      </c>
      <c r="W29" s="10">
        <f t="shared" si="11"/>
        <v>3828753</v>
      </c>
      <c r="X29" s="10">
        <f t="shared" si="12"/>
        <v>2048224</v>
      </c>
      <c r="Y29" s="11">
        <f t="shared" si="13"/>
        <v>45632719.399999999</v>
      </c>
      <c r="Z29" s="16">
        <f t="shared" si="1"/>
        <v>0.13889184083997413</v>
      </c>
      <c r="AA29" s="16">
        <f t="shared" si="2"/>
        <v>0.22544453048748175</v>
      </c>
      <c r="AB29" s="16">
        <f t="shared" si="3"/>
        <v>0.22014600777879567</v>
      </c>
      <c r="AC29" s="16">
        <f t="shared" si="4"/>
        <v>0.16758988069424591</v>
      </c>
      <c r="AD29" s="16">
        <f t="shared" si="14"/>
        <v>0.11913907545908825</v>
      </c>
      <c r="AE29" s="16">
        <f t="shared" si="15"/>
        <v>8.3903678113910529E-2</v>
      </c>
      <c r="AF29" s="16">
        <f t="shared" si="16"/>
        <v>4.4884986626503788E-2</v>
      </c>
      <c r="AG29" s="16">
        <f t="shared" si="5"/>
        <v>0.99999999999999989</v>
      </c>
      <c r="AH29" s="12"/>
      <c r="AI29" s="13"/>
      <c r="AJ29" s="13"/>
      <c r="AK29" s="13"/>
      <c r="AL29" s="13"/>
      <c r="AM29" s="13"/>
      <c r="AN29" s="13"/>
      <c r="AO29" s="13"/>
      <c r="AP29" s="13"/>
      <c r="AQ29" s="13"/>
      <c r="AR29" s="13"/>
      <c r="AS29" s="13"/>
      <c r="AT29" s="13"/>
      <c r="AU29" s="13"/>
      <c r="AV29" s="13"/>
      <c r="AW29" s="13"/>
      <c r="AX29" s="13"/>
      <c r="AY29" s="13"/>
    </row>
    <row r="30" spans="1:51">
      <c r="A30" s="2">
        <v>2018</v>
      </c>
      <c r="B30" s="3" t="s">
        <v>3</v>
      </c>
      <c r="C30" s="9">
        <v>5544984</v>
      </c>
      <c r="D30" s="9">
        <f t="shared" si="0"/>
        <v>1108996.8</v>
      </c>
      <c r="E30" s="9">
        <v>5277523</v>
      </c>
      <c r="F30" s="9">
        <v>5148203</v>
      </c>
      <c r="G30" s="9">
        <v>5142767</v>
      </c>
      <c r="H30" s="9">
        <v>5157329</v>
      </c>
      <c r="I30" s="9">
        <v>4960320</v>
      </c>
      <c r="J30" s="9">
        <v>4312085</v>
      </c>
      <c r="K30" s="9">
        <v>3560117</v>
      </c>
      <c r="L30" s="9">
        <v>3009201</v>
      </c>
      <c r="M30" s="15">
        <v>2542494</v>
      </c>
      <c r="N30" s="15">
        <v>2146887</v>
      </c>
      <c r="O30" s="15">
        <v>1755236</v>
      </c>
      <c r="P30" s="15">
        <v>1291586</v>
      </c>
      <c r="Q30" s="15">
        <v>836868</v>
      </c>
      <c r="R30" s="10">
        <f t="shared" si="6"/>
        <v>6386519.7999999998</v>
      </c>
      <c r="S30" s="10">
        <f t="shared" si="7"/>
        <v>10290970</v>
      </c>
      <c r="T30" s="11">
        <f t="shared" si="8"/>
        <v>10117649</v>
      </c>
      <c r="U30" s="10">
        <f t="shared" si="9"/>
        <v>7872202</v>
      </c>
      <c r="V30" s="10">
        <f t="shared" si="10"/>
        <v>5551695</v>
      </c>
      <c r="W30" s="10">
        <f t="shared" si="11"/>
        <v>3902123</v>
      </c>
      <c r="X30" s="10">
        <f t="shared" si="12"/>
        <v>2128454</v>
      </c>
      <c r="Y30" s="11">
        <f t="shared" si="13"/>
        <v>46249612.799999997</v>
      </c>
      <c r="Z30" s="16">
        <f t="shared" si="1"/>
        <v>0.13808807065299367</v>
      </c>
      <c r="AA30" s="16">
        <f t="shared" si="2"/>
        <v>0.22250932228345058</v>
      </c>
      <c r="AB30" s="16">
        <f t="shared" si="3"/>
        <v>0.21876180982860036</v>
      </c>
      <c r="AC30" s="16">
        <f t="shared" si="4"/>
        <v>0.17021119796272111</v>
      </c>
      <c r="AD30" s="16">
        <f t="shared" si="14"/>
        <v>0.12003765359090747</v>
      </c>
      <c r="AE30" s="16">
        <f t="shared" si="15"/>
        <v>8.4370933371360035E-2</v>
      </c>
      <c r="AF30" s="16">
        <f t="shared" si="16"/>
        <v>4.6021012309966844E-2</v>
      </c>
      <c r="AG30" s="16">
        <f t="shared" si="5"/>
        <v>1</v>
      </c>
      <c r="AH30" s="12"/>
      <c r="AI30" s="13"/>
      <c r="AJ30" s="13"/>
      <c r="AK30" s="13"/>
      <c r="AL30" s="13"/>
      <c r="AM30" s="13"/>
      <c r="AN30" s="13"/>
      <c r="AO30" s="13"/>
      <c r="AP30" s="13"/>
      <c r="AQ30" s="13"/>
      <c r="AR30" s="13"/>
      <c r="AS30" s="13"/>
      <c r="AT30" s="13"/>
      <c r="AU30" s="13"/>
      <c r="AV30" s="13"/>
      <c r="AW30" s="13"/>
      <c r="AX30" s="13"/>
      <c r="AY30" s="13"/>
    </row>
    <row r="31" spans="1:51">
      <c r="A31" s="5">
        <v>2019</v>
      </c>
      <c r="B31" s="3" t="s">
        <v>3</v>
      </c>
      <c r="C31" s="9">
        <v>5598982</v>
      </c>
      <c r="D31" s="9">
        <f t="shared" si="0"/>
        <v>1119796.3999999999</v>
      </c>
      <c r="E31" s="9">
        <v>5318201</v>
      </c>
      <c r="F31" s="9">
        <v>5157409</v>
      </c>
      <c r="G31" s="9">
        <v>5140317</v>
      </c>
      <c r="H31" s="9">
        <v>5147863</v>
      </c>
      <c r="I31" s="9">
        <v>5021820</v>
      </c>
      <c r="J31" s="9">
        <v>4446304</v>
      </c>
      <c r="K31" s="9">
        <v>3654962</v>
      </c>
      <c r="L31" s="9">
        <v>3081448</v>
      </c>
      <c r="M31" s="15">
        <v>2591588</v>
      </c>
      <c r="N31" s="15">
        <v>2187357</v>
      </c>
      <c r="O31" s="15">
        <v>1789627</v>
      </c>
      <c r="P31" s="15">
        <v>1351242</v>
      </c>
      <c r="Q31" s="15">
        <v>861346</v>
      </c>
      <c r="R31" s="10">
        <f t="shared" si="6"/>
        <v>6437997.4000000004</v>
      </c>
      <c r="S31" s="10">
        <f t="shared" si="7"/>
        <v>10297726</v>
      </c>
      <c r="T31" s="11">
        <f t="shared" si="8"/>
        <v>10169683</v>
      </c>
      <c r="U31" s="10">
        <f t="shared" si="9"/>
        <v>8101266</v>
      </c>
      <c r="V31" s="10">
        <f t="shared" si="10"/>
        <v>5673036</v>
      </c>
      <c r="W31" s="10">
        <f t="shared" si="11"/>
        <v>3976984</v>
      </c>
      <c r="X31" s="10">
        <f t="shared" si="12"/>
        <v>2212588</v>
      </c>
      <c r="Y31" s="11">
        <f t="shared" si="13"/>
        <v>46869280.399999999</v>
      </c>
      <c r="Z31" s="16">
        <f t="shared" si="1"/>
        <v>0.13736070503015446</v>
      </c>
      <c r="AA31" s="16">
        <f t="shared" si="2"/>
        <v>0.2197116301363142</v>
      </c>
      <c r="AB31" s="16">
        <f t="shared" si="3"/>
        <v>0.21697971279285952</v>
      </c>
      <c r="AC31" s="16">
        <f t="shared" si="4"/>
        <v>0.17284809860234168</v>
      </c>
      <c r="AD31" s="16">
        <f t="shared" si="14"/>
        <v>0.12103953701836652</v>
      </c>
      <c r="AE31" s="16">
        <f t="shared" si="15"/>
        <v>8.4852678898820907E-2</v>
      </c>
      <c r="AF31" s="16">
        <f t="shared" si="16"/>
        <v>4.7207637521142744E-2</v>
      </c>
      <c r="AG31" s="16">
        <f t="shared" si="5"/>
        <v>1</v>
      </c>
      <c r="AH31" s="12"/>
      <c r="AI31" s="13"/>
      <c r="AJ31" s="13"/>
      <c r="AK31" s="13"/>
      <c r="AL31" s="13"/>
      <c r="AM31" s="13"/>
      <c r="AN31" s="13"/>
      <c r="AO31" s="13"/>
      <c r="AP31" s="13"/>
      <c r="AQ31" s="13"/>
      <c r="AR31" s="13"/>
      <c r="AS31" s="13"/>
      <c r="AT31" s="13"/>
      <c r="AU31" s="13"/>
      <c r="AV31" s="13"/>
      <c r="AW31" s="13"/>
      <c r="AX31" s="13"/>
      <c r="AY31" s="13"/>
    </row>
    <row r="32" spans="1:51">
      <c r="A32" s="5">
        <v>2020</v>
      </c>
      <c r="B32" s="3" t="s">
        <v>3</v>
      </c>
      <c r="C32" s="9">
        <v>5640310</v>
      </c>
      <c r="D32" s="9">
        <f t="shared" si="0"/>
        <v>1128062</v>
      </c>
      <c r="E32" s="9">
        <v>5363369</v>
      </c>
      <c r="F32" s="9">
        <v>5171530</v>
      </c>
      <c r="G32" s="9">
        <v>5136708</v>
      </c>
      <c r="H32" s="9">
        <v>5139599</v>
      </c>
      <c r="I32" s="9">
        <v>5066841</v>
      </c>
      <c r="J32" s="9">
        <v>4566647</v>
      </c>
      <c r="K32" s="9">
        <v>3763956</v>
      </c>
      <c r="L32" s="9">
        <v>3155792</v>
      </c>
      <c r="M32" s="15">
        <v>2644958</v>
      </c>
      <c r="N32" s="15">
        <v>2228595</v>
      </c>
      <c r="O32" s="15">
        <v>1826698</v>
      </c>
      <c r="P32" s="15">
        <v>1402991</v>
      </c>
      <c r="Q32" s="15">
        <v>896387</v>
      </c>
      <c r="R32" s="10">
        <f t="shared" si="6"/>
        <v>6491431</v>
      </c>
      <c r="S32" s="10">
        <f t="shared" si="7"/>
        <v>10308238</v>
      </c>
      <c r="T32" s="11">
        <f t="shared" si="8"/>
        <v>10206440</v>
      </c>
      <c r="U32" s="10">
        <f t="shared" si="9"/>
        <v>8330603</v>
      </c>
      <c r="V32" s="10">
        <f t="shared" si="10"/>
        <v>5800750</v>
      </c>
      <c r="W32" s="10">
        <f t="shared" si="11"/>
        <v>4055293</v>
      </c>
      <c r="X32" s="10">
        <f t="shared" si="12"/>
        <v>2299378</v>
      </c>
      <c r="Y32" s="29">
        <f t="shared" si="13"/>
        <v>47492133</v>
      </c>
      <c r="Z32" s="31">
        <f t="shared" si="1"/>
        <v>0.13668434306793506</v>
      </c>
      <c r="AA32" s="31">
        <f t="shared" si="2"/>
        <v>0.21705148513754899</v>
      </c>
      <c r="AB32" s="31">
        <f t="shared" si="3"/>
        <v>0.21490801434418622</v>
      </c>
      <c r="AC32" s="31">
        <f t="shared" si="4"/>
        <v>0.17541016740604176</v>
      </c>
      <c r="AD32" s="31">
        <f t="shared" si="14"/>
        <v>0.1221412817992403</v>
      </c>
      <c r="AE32" s="31">
        <f t="shared" si="15"/>
        <v>8.5388731645302182E-2</v>
      </c>
      <c r="AF32" s="31">
        <f t="shared" si="16"/>
        <v>4.8415976599745475E-2</v>
      </c>
      <c r="AG32" s="16">
        <f t="shared" si="5"/>
        <v>1</v>
      </c>
      <c r="AH32" s="12"/>
      <c r="AI32" s="13"/>
      <c r="AJ32" s="13"/>
      <c r="AK32" s="13"/>
      <c r="AL32" s="13"/>
      <c r="AM32" s="13"/>
      <c r="AN32" s="13"/>
      <c r="AO32" s="13"/>
      <c r="AP32" s="13"/>
      <c r="AQ32" s="13"/>
      <c r="AR32" s="13"/>
      <c r="AS32" s="13"/>
      <c r="AT32" s="13"/>
      <c r="AU32" s="13"/>
      <c r="AV32" s="13"/>
      <c r="AW32" s="13"/>
      <c r="AX32" s="13"/>
      <c r="AY32" s="13"/>
    </row>
    <row r="33" spans="1:51">
      <c r="A33" s="5">
        <v>2025</v>
      </c>
      <c r="B33" s="3" t="s">
        <v>3</v>
      </c>
      <c r="C33" s="9">
        <v>5627550</v>
      </c>
      <c r="D33" s="9">
        <f t="shared" si="0"/>
        <v>1125510</v>
      </c>
      <c r="E33" s="9">
        <v>5631115</v>
      </c>
      <c r="F33" s="9">
        <v>5353279</v>
      </c>
      <c r="G33" s="9">
        <v>5158651</v>
      </c>
      <c r="H33" s="9">
        <v>5106791</v>
      </c>
      <c r="I33" s="9">
        <v>5074136</v>
      </c>
      <c r="J33" s="9">
        <v>4946441</v>
      </c>
      <c r="K33" s="9">
        <v>4399521</v>
      </c>
      <c r="L33" s="9">
        <v>3574505</v>
      </c>
      <c r="M33" s="15">
        <v>2955457</v>
      </c>
      <c r="N33" s="15">
        <v>2441300</v>
      </c>
      <c r="O33" s="15">
        <v>2003796</v>
      </c>
      <c r="P33" s="15">
        <v>1572097</v>
      </c>
      <c r="Q33" s="15">
        <v>1133093</v>
      </c>
      <c r="R33" s="10">
        <f t="shared" si="6"/>
        <v>6756625</v>
      </c>
      <c r="S33" s="10">
        <f t="shared" si="7"/>
        <v>10511930</v>
      </c>
      <c r="T33" s="11">
        <f t="shared" si="8"/>
        <v>10180927</v>
      </c>
      <c r="U33" s="10">
        <f t="shared" si="9"/>
        <v>9345962</v>
      </c>
      <c r="V33" s="10">
        <f t="shared" si="10"/>
        <v>6529962</v>
      </c>
      <c r="W33" s="10">
        <f t="shared" si="11"/>
        <v>4445096</v>
      </c>
      <c r="X33" s="10">
        <f t="shared" si="12"/>
        <v>2705190</v>
      </c>
      <c r="Y33" s="11">
        <f t="shared" si="13"/>
        <v>50475692</v>
      </c>
      <c r="Z33" s="16">
        <f t="shared" si="1"/>
        <v>0.13385898701497742</v>
      </c>
      <c r="AA33" s="16">
        <f t="shared" si="2"/>
        <v>0.20825727361994364</v>
      </c>
      <c r="AB33" s="16">
        <f t="shared" si="3"/>
        <v>0.20169960225607209</v>
      </c>
      <c r="AC33" s="16">
        <f t="shared" si="4"/>
        <v>0.18515767946281944</v>
      </c>
      <c r="AD33" s="16">
        <f t="shared" si="14"/>
        <v>0.12936844927257263</v>
      </c>
      <c r="AE33" s="16">
        <f t="shared" si="15"/>
        <v>8.8064092315960726E-2</v>
      </c>
      <c r="AF33" s="16">
        <f t="shared" si="16"/>
        <v>5.3593916057654047E-2</v>
      </c>
      <c r="AG33" s="16">
        <f t="shared" si="5"/>
        <v>1</v>
      </c>
      <c r="AH33" s="12"/>
      <c r="AI33" s="13"/>
      <c r="AJ33" s="13"/>
      <c r="AK33" s="13"/>
      <c r="AL33" s="13"/>
      <c r="AM33" s="13"/>
      <c r="AN33" s="13"/>
      <c r="AO33" s="13"/>
      <c r="AP33" s="13"/>
      <c r="AQ33" s="13"/>
      <c r="AR33" s="13"/>
      <c r="AS33" s="13"/>
      <c r="AT33" s="13"/>
      <c r="AU33" s="13"/>
      <c r="AV33" s="13"/>
      <c r="AW33" s="13"/>
      <c r="AX33" s="13"/>
      <c r="AY33" s="13"/>
    </row>
    <row r="34" spans="1:51">
      <c r="A34" s="5">
        <v>2030</v>
      </c>
      <c r="B34" s="3" t="s">
        <v>3</v>
      </c>
      <c r="C34" s="9">
        <v>5529932</v>
      </c>
      <c r="D34" s="9">
        <f t="shared" ref="D34:D65" si="17">C34/5</f>
        <v>1105986.3999999999</v>
      </c>
      <c r="E34" s="9">
        <v>5619277</v>
      </c>
      <c r="F34" s="9">
        <v>5621522</v>
      </c>
      <c r="G34" s="9">
        <v>5331389</v>
      </c>
      <c r="H34" s="9">
        <v>5115444</v>
      </c>
      <c r="I34" s="9">
        <v>5035602</v>
      </c>
      <c r="J34" s="9">
        <v>4959532</v>
      </c>
      <c r="K34" s="9">
        <v>4780875</v>
      </c>
      <c r="L34" s="9">
        <v>4193813</v>
      </c>
      <c r="M34" s="15">
        <v>3349202</v>
      </c>
      <c r="N34" s="15">
        <v>2724644</v>
      </c>
      <c r="O34" s="15">
        <v>2197723</v>
      </c>
      <c r="P34" s="15">
        <v>1731992</v>
      </c>
      <c r="Q34" s="15">
        <v>1280059</v>
      </c>
      <c r="R34" s="10">
        <f t="shared" ref="R34:R65" si="18">D34+E34</f>
        <v>6725263.4000000004</v>
      </c>
      <c r="S34" s="10">
        <f t="shared" si="7"/>
        <v>10952911</v>
      </c>
      <c r="T34" s="11">
        <f t="shared" si="8"/>
        <v>10151046</v>
      </c>
      <c r="U34" s="10">
        <f t="shared" si="9"/>
        <v>9740407</v>
      </c>
      <c r="V34" s="10">
        <f t="shared" si="10"/>
        <v>7543015</v>
      </c>
      <c r="W34" s="10">
        <f t="shared" si="11"/>
        <v>4922367</v>
      </c>
      <c r="X34" s="10">
        <f t="shared" si="12"/>
        <v>3012051</v>
      </c>
      <c r="Y34" s="11">
        <f t="shared" si="13"/>
        <v>53047060.399999999</v>
      </c>
      <c r="Z34" s="16">
        <f t="shared" ref="Z34:Z65" si="19">R34/Y34</f>
        <v>0.12677919095400056</v>
      </c>
      <c r="AA34" s="16">
        <f t="shared" ref="AA34:AA65" si="20">S34/Y34</f>
        <v>0.20647536201647848</v>
      </c>
      <c r="AB34" s="16">
        <f t="shared" ref="AB34:AB65" si="21">T34/Y34</f>
        <v>0.19135925579016627</v>
      </c>
      <c r="AC34" s="16">
        <f t="shared" ref="AC34:AC65" si="22">U34/Y34</f>
        <v>0.18361822364053185</v>
      </c>
      <c r="AD34" s="16">
        <f t="shared" si="14"/>
        <v>0.14219477843111547</v>
      </c>
      <c r="AE34" s="16">
        <f t="shared" si="15"/>
        <v>9.2792455658862488E-2</v>
      </c>
      <c r="AF34" s="16">
        <f t="shared" si="16"/>
        <v>5.6780733508844911E-2</v>
      </c>
      <c r="AG34" s="16">
        <f t="shared" ref="AG34:AG65" si="23">SUM(Z34:AF34)</f>
        <v>1</v>
      </c>
      <c r="AH34" s="12"/>
      <c r="AI34" s="47"/>
      <c r="AJ34" s="47"/>
      <c r="AK34" s="47"/>
      <c r="AL34" s="47"/>
      <c r="AM34" s="47"/>
      <c r="AN34" s="47"/>
      <c r="AO34" s="47"/>
      <c r="AP34" s="13"/>
      <c r="AQ34" s="13"/>
      <c r="AR34" s="13"/>
      <c r="AS34" s="13"/>
      <c r="AT34" s="13"/>
      <c r="AU34" s="13"/>
      <c r="AV34" s="13"/>
      <c r="AW34" s="13"/>
      <c r="AX34" s="13"/>
      <c r="AY34" s="13"/>
    </row>
    <row r="35" spans="1:51">
      <c r="A35" s="5">
        <v>2035</v>
      </c>
      <c r="B35" s="3" t="s">
        <v>3</v>
      </c>
      <c r="C35" s="9">
        <v>5410295</v>
      </c>
      <c r="D35" s="9">
        <f t="shared" si="17"/>
        <v>1082059</v>
      </c>
      <c r="E35" s="9">
        <v>5523370</v>
      </c>
      <c r="F35" s="9">
        <v>5612813</v>
      </c>
      <c r="G35" s="9">
        <v>5606106</v>
      </c>
      <c r="H35" s="9">
        <v>5295293</v>
      </c>
      <c r="I35" s="9">
        <v>5052056</v>
      </c>
      <c r="J35" s="9">
        <v>4934022</v>
      </c>
      <c r="K35" s="9">
        <v>4813082</v>
      </c>
      <c r="L35" s="9">
        <v>4584967</v>
      </c>
      <c r="M35" s="15">
        <v>3953380</v>
      </c>
      <c r="N35" s="15">
        <v>3094365</v>
      </c>
      <c r="O35" s="15">
        <v>2454245</v>
      </c>
      <c r="P35" s="15">
        <v>1906392</v>
      </c>
      <c r="Q35" s="15">
        <v>1420349</v>
      </c>
      <c r="R35" s="10">
        <f t="shared" si="18"/>
        <v>6605429</v>
      </c>
      <c r="S35" s="10">
        <f t="shared" si="7"/>
        <v>11218919</v>
      </c>
      <c r="T35" s="11">
        <f t="shared" si="8"/>
        <v>10347349</v>
      </c>
      <c r="U35" s="10">
        <f t="shared" si="9"/>
        <v>9747104</v>
      </c>
      <c r="V35" s="10">
        <f t="shared" si="10"/>
        <v>8538347</v>
      </c>
      <c r="W35" s="10">
        <f t="shared" si="11"/>
        <v>5548610</v>
      </c>
      <c r="X35" s="10">
        <f t="shared" si="12"/>
        <v>3326741</v>
      </c>
      <c r="Y35" s="11">
        <f t="shared" si="13"/>
        <v>55332499</v>
      </c>
      <c r="Z35" s="16">
        <f t="shared" si="19"/>
        <v>0.1193770228957127</v>
      </c>
      <c r="AA35" s="16">
        <f t="shared" si="20"/>
        <v>0.20275460539022466</v>
      </c>
      <c r="AB35" s="16">
        <f t="shared" si="21"/>
        <v>0.18700310282389379</v>
      </c>
      <c r="AC35" s="16">
        <f t="shared" si="22"/>
        <v>0.1761551380500635</v>
      </c>
      <c r="AD35" s="16">
        <f t="shared" si="14"/>
        <v>0.15430980263515659</v>
      </c>
      <c r="AE35" s="16">
        <f t="shared" si="15"/>
        <v>0.10027759635435948</v>
      </c>
      <c r="AF35" s="16">
        <f t="shared" si="16"/>
        <v>6.0122731850589292E-2</v>
      </c>
      <c r="AG35" s="16">
        <f t="shared" si="23"/>
        <v>0.99999999999999989</v>
      </c>
      <c r="AH35" s="12"/>
      <c r="AI35" s="47"/>
      <c r="AJ35" s="47"/>
      <c r="AK35" s="47"/>
      <c r="AL35" s="47"/>
      <c r="AM35" s="47"/>
      <c r="AN35" s="47"/>
      <c r="AO35" s="47"/>
      <c r="AP35" s="13"/>
      <c r="AQ35" s="13"/>
      <c r="AR35" s="13"/>
      <c r="AS35" s="13"/>
      <c r="AT35" s="13"/>
      <c r="AU35" s="13"/>
      <c r="AV35" s="13"/>
      <c r="AW35" s="13"/>
      <c r="AX35" s="13"/>
      <c r="AY35" s="13"/>
    </row>
    <row r="36" spans="1:51">
      <c r="A36" s="5">
        <v>2040</v>
      </c>
      <c r="B36" s="3" t="s">
        <v>3</v>
      </c>
      <c r="C36" s="9">
        <v>5321235</v>
      </c>
      <c r="D36" s="9">
        <f t="shared" si="17"/>
        <v>1064247</v>
      </c>
      <c r="E36" s="9">
        <v>5405097</v>
      </c>
      <c r="F36" s="9">
        <v>5518789</v>
      </c>
      <c r="G36" s="9">
        <v>5602222</v>
      </c>
      <c r="H36" s="9">
        <v>5576985</v>
      </c>
      <c r="I36" s="9">
        <v>5240075</v>
      </c>
      <c r="J36" s="9">
        <v>4961666</v>
      </c>
      <c r="K36" s="9">
        <v>4804226</v>
      </c>
      <c r="L36" s="9">
        <v>4639188</v>
      </c>
      <c r="M36" s="15">
        <v>4352122</v>
      </c>
      <c r="N36" s="15">
        <v>3676588</v>
      </c>
      <c r="O36" s="15">
        <v>2794871</v>
      </c>
      <c r="P36" s="15">
        <v>2132543</v>
      </c>
      <c r="Q36" s="15">
        <v>1572002</v>
      </c>
      <c r="R36" s="10">
        <f t="shared" si="18"/>
        <v>6469344</v>
      </c>
      <c r="S36" s="10">
        <f t="shared" si="7"/>
        <v>11121011</v>
      </c>
      <c r="T36" s="11">
        <f t="shared" si="8"/>
        <v>10817060</v>
      </c>
      <c r="U36" s="10">
        <f t="shared" si="9"/>
        <v>9765892</v>
      </c>
      <c r="V36" s="10">
        <f t="shared" si="10"/>
        <v>8991310</v>
      </c>
      <c r="W36" s="10">
        <f t="shared" si="11"/>
        <v>6471459</v>
      </c>
      <c r="X36" s="10">
        <f t="shared" si="12"/>
        <v>3704545</v>
      </c>
      <c r="Y36" s="11">
        <f t="shared" si="13"/>
        <v>57340621</v>
      </c>
      <c r="Z36" s="16">
        <f t="shared" si="19"/>
        <v>0.11282305435792193</v>
      </c>
      <c r="AA36" s="16">
        <f t="shared" si="20"/>
        <v>0.19394646946708163</v>
      </c>
      <c r="AB36" s="16">
        <f t="shared" si="21"/>
        <v>0.18864567232363946</v>
      </c>
      <c r="AC36" s="16">
        <f t="shared" si="22"/>
        <v>0.17031367693070501</v>
      </c>
      <c r="AD36" s="16">
        <f t="shared" si="14"/>
        <v>0.15680524283125569</v>
      </c>
      <c r="AE36" s="16">
        <f t="shared" si="15"/>
        <v>0.11285993920435566</v>
      </c>
      <c r="AF36" s="16">
        <f t="shared" si="16"/>
        <v>6.4605944885040567E-2</v>
      </c>
      <c r="AG36" s="16">
        <f t="shared" si="23"/>
        <v>0.99999999999999989</v>
      </c>
      <c r="AH36" s="12"/>
      <c r="AI36" s="13"/>
      <c r="AJ36" s="13"/>
      <c r="AK36" s="13"/>
      <c r="AL36" s="13"/>
      <c r="AM36" s="13"/>
      <c r="AN36" s="13"/>
      <c r="AO36" s="13"/>
      <c r="AP36" s="13"/>
      <c r="AQ36" s="13"/>
      <c r="AR36" s="13"/>
      <c r="AS36" s="13"/>
      <c r="AT36" s="13"/>
      <c r="AU36" s="13"/>
      <c r="AV36" s="13"/>
      <c r="AW36" s="13"/>
      <c r="AX36" s="13"/>
      <c r="AY36" s="13"/>
    </row>
    <row r="37" spans="1:51">
      <c r="A37" s="5">
        <v>2045</v>
      </c>
      <c r="B37" s="3" t="s">
        <v>3</v>
      </c>
      <c r="C37" s="9">
        <v>5267354</v>
      </c>
      <c r="D37" s="9">
        <f t="shared" si="17"/>
        <v>1053470.8</v>
      </c>
      <c r="E37" s="9">
        <v>5316931</v>
      </c>
      <c r="F37" s="9">
        <v>5401919</v>
      </c>
      <c r="G37" s="9">
        <v>5511588</v>
      </c>
      <c r="H37" s="9">
        <v>5579534</v>
      </c>
      <c r="I37" s="9">
        <v>5529100</v>
      </c>
      <c r="J37" s="9">
        <v>5159272</v>
      </c>
      <c r="K37" s="9">
        <v>4845364</v>
      </c>
      <c r="L37" s="9">
        <v>4648604</v>
      </c>
      <c r="M37" s="15">
        <v>4428381</v>
      </c>
      <c r="N37" s="15">
        <v>4077000</v>
      </c>
      <c r="O37" s="15">
        <v>3344330</v>
      </c>
      <c r="P37" s="15">
        <v>2436887</v>
      </c>
      <c r="Q37" s="15">
        <v>1764028</v>
      </c>
      <c r="R37" s="10">
        <f t="shared" si="18"/>
        <v>6370401.7999999998</v>
      </c>
      <c r="S37" s="10">
        <f t="shared" si="7"/>
        <v>10913507</v>
      </c>
      <c r="T37" s="11">
        <f t="shared" si="8"/>
        <v>11108634</v>
      </c>
      <c r="U37" s="10">
        <f t="shared" si="9"/>
        <v>10004636</v>
      </c>
      <c r="V37" s="10">
        <f t="shared" si="10"/>
        <v>9076985</v>
      </c>
      <c r="W37" s="10">
        <f t="shared" si="11"/>
        <v>7421330</v>
      </c>
      <c r="X37" s="10">
        <f t="shared" si="12"/>
        <v>4200915</v>
      </c>
      <c r="Y37" s="11">
        <f t="shared" si="13"/>
        <v>59096408.799999997</v>
      </c>
      <c r="Z37" s="16">
        <f t="shared" si="19"/>
        <v>0.10779676683162515</v>
      </c>
      <c r="AA37" s="16">
        <f t="shared" si="20"/>
        <v>0.1846729305825433</v>
      </c>
      <c r="AB37" s="16">
        <f t="shared" si="21"/>
        <v>0.18797477250428118</v>
      </c>
      <c r="AC37" s="16">
        <f t="shared" si="22"/>
        <v>0.16929346813371848</v>
      </c>
      <c r="AD37" s="16">
        <f t="shared" si="14"/>
        <v>0.15359621987723898</v>
      </c>
      <c r="AE37" s="16">
        <f t="shared" si="15"/>
        <v>0.12558005047508064</v>
      </c>
      <c r="AF37" s="16">
        <f t="shared" si="16"/>
        <v>7.1085791595512315E-2</v>
      </c>
      <c r="AG37" s="16">
        <f t="shared" si="23"/>
        <v>1</v>
      </c>
      <c r="AH37" s="12"/>
      <c r="AI37" s="13"/>
      <c r="AJ37" s="13"/>
      <c r="AK37" s="13"/>
      <c r="AL37" s="13"/>
      <c r="AM37" s="13"/>
      <c r="AN37" s="13"/>
      <c r="AO37" s="13"/>
      <c r="AP37" s="13"/>
      <c r="AQ37" s="13"/>
      <c r="AR37" s="13"/>
      <c r="AS37" s="13"/>
      <c r="AT37" s="13"/>
      <c r="AU37" s="13"/>
      <c r="AV37" s="13"/>
      <c r="AW37" s="13"/>
      <c r="AX37" s="13"/>
      <c r="AY37" s="13"/>
    </row>
    <row r="38" spans="1:51">
      <c r="A38" s="5">
        <v>2050</v>
      </c>
      <c r="B38" s="3" t="s">
        <v>3</v>
      </c>
      <c r="C38" s="9">
        <v>5204198</v>
      </c>
      <c r="D38" s="9">
        <f t="shared" si="17"/>
        <v>1040839.6</v>
      </c>
      <c r="E38" s="9">
        <v>5263752</v>
      </c>
      <c r="F38" s="9">
        <v>5314843</v>
      </c>
      <c r="G38" s="9">
        <v>5397599</v>
      </c>
      <c r="H38" s="9">
        <v>5494484</v>
      </c>
      <c r="I38" s="9">
        <v>5540002</v>
      </c>
      <c r="J38" s="9">
        <v>5456851</v>
      </c>
      <c r="K38" s="9">
        <v>5053816</v>
      </c>
      <c r="L38" s="9">
        <v>4704597</v>
      </c>
      <c r="M38" s="15">
        <v>4457634</v>
      </c>
      <c r="N38" s="15">
        <v>4174576</v>
      </c>
      <c r="O38" s="15">
        <v>3739266</v>
      </c>
      <c r="P38" s="15">
        <v>2940322</v>
      </c>
      <c r="Q38" s="15">
        <v>2025272</v>
      </c>
      <c r="R38" s="10">
        <f t="shared" si="18"/>
        <v>6304591.5999999996</v>
      </c>
      <c r="S38" s="10">
        <f t="shared" si="7"/>
        <v>10712442</v>
      </c>
      <c r="T38" s="11">
        <f t="shared" si="8"/>
        <v>11034486</v>
      </c>
      <c r="U38" s="10">
        <f t="shared" si="9"/>
        <v>10510667</v>
      </c>
      <c r="V38" s="10">
        <f t="shared" si="10"/>
        <v>9162231</v>
      </c>
      <c r="W38" s="10">
        <f t="shared" si="11"/>
        <v>7913842</v>
      </c>
      <c r="X38" s="10">
        <f t="shared" si="12"/>
        <v>4965594</v>
      </c>
      <c r="Y38" s="11">
        <f t="shared" si="13"/>
        <v>60603853.600000001</v>
      </c>
      <c r="Z38" s="16">
        <f t="shared" si="19"/>
        <v>0.10402954969846999</v>
      </c>
      <c r="AA38" s="16">
        <f t="shared" si="20"/>
        <v>0.17676172988445077</v>
      </c>
      <c r="AB38" s="16">
        <f t="shared" si="21"/>
        <v>0.18207564939401807</v>
      </c>
      <c r="AC38" s="16">
        <f t="shared" si="22"/>
        <v>0.17343232114203377</v>
      </c>
      <c r="AD38" s="16">
        <f t="shared" si="14"/>
        <v>0.15118231689477912</v>
      </c>
      <c r="AE38" s="16">
        <f t="shared" si="15"/>
        <v>0.13058314826369391</v>
      </c>
      <c r="AF38" s="16">
        <f t="shared" si="16"/>
        <v>8.1935284722554347E-2</v>
      </c>
      <c r="AG38" s="16">
        <f t="shared" si="23"/>
        <v>1</v>
      </c>
      <c r="AH38" s="12"/>
      <c r="AI38" s="13"/>
      <c r="AJ38" s="13"/>
      <c r="AK38" s="13"/>
      <c r="AL38" s="13"/>
      <c r="AM38" s="13"/>
      <c r="AN38" s="13"/>
      <c r="AO38" s="13"/>
      <c r="AP38" s="13"/>
      <c r="AQ38" s="13"/>
      <c r="AR38" s="13"/>
      <c r="AS38" s="13"/>
      <c r="AT38" s="13"/>
      <c r="AU38" s="13"/>
      <c r="AV38" s="13"/>
      <c r="AW38" s="13"/>
      <c r="AX38" s="13"/>
      <c r="AY38" s="13"/>
    </row>
    <row r="39" spans="1:51">
      <c r="A39" s="5">
        <v>2055</v>
      </c>
      <c r="B39" s="3" t="s">
        <v>3</v>
      </c>
      <c r="C39" s="9">
        <v>5100186</v>
      </c>
      <c r="D39" s="9">
        <f t="shared" si="17"/>
        <v>1020037.2</v>
      </c>
      <c r="E39" s="9">
        <v>5201154</v>
      </c>
      <c r="F39" s="9">
        <v>5262320</v>
      </c>
      <c r="G39" s="9">
        <v>5312338</v>
      </c>
      <c r="H39" s="9">
        <v>5384565</v>
      </c>
      <c r="I39" s="9">
        <v>5461715</v>
      </c>
      <c r="J39" s="9">
        <v>5477613</v>
      </c>
      <c r="K39" s="9">
        <v>5359901</v>
      </c>
      <c r="L39" s="9">
        <v>4923950</v>
      </c>
      <c r="M39" s="15">
        <v>4530082</v>
      </c>
      <c r="N39" s="15">
        <v>4225358</v>
      </c>
      <c r="O39" s="15">
        <v>3858591</v>
      </c>
      <c r="P39" s="15">
        <v>3321943</v>
      </c>
      <c r="Q39" s="15">
        <v>2470182</v>
      </c>
      <c r="R39" s="10">
        <f t="shared" si="18"/>
        <v>6221191.2000000002</v>
      </c>
      <c r="S39" s="10">
        <f t="shared" si="7"/>
        <v>10574658</v>
      </c>
      <c r="T39" s="11">
        <f t="shared" si="8"/>
        <v>10846280</v>
      </c>
      <c r="U39" s="10">
        <f t="shared" si="9"/>
        <v>10837514</v>
      </c>
      <c r="V39" s="10">
        <f t="shared" si="10"/>
        <v>9454032</v>
      </c>
      <c r="W39" s="10">
        <f t="shared" si="11"/>
        <v>8083949</v>
      </c>
      <c r="X39" s="10">
        <f t="shared" si="12"/>
        <v>5792125</v>
      </c>
      <c r="Y39" s="11">
        <f t="shared" si="13"/>
        <v>61809749.200000003</v>
      </c>
      <c r="Z39" s="16">
        <f t="shared" si="19"/>
        <v>0.10065064622523982</v>
      </c>
      <c r="AA39" s="16">
        <f t="shared" si="20"/>
        <v>0.17108398168358852</v>
      </c>
      <c r="AB39" s="16">
        <f t="shared" si="21"/>
        <v>0.17547846642937032</v>
      </c>
      <c r="AC39" s="16">
        <f t="shared" si="22"/>
        <v>0.17533664414221567</v>
      </c>
      <c r="AD39" s="16">
        <f t="shared" si="14"/>
        <v>0.15295373500722761</v>
      </c>
      <c r="AE39" s="16">
        <f t="shared" si="15"/>
        <v>0.13078760397235198</v>
      </c>
      <c r="AF39" s="16">
        <f t="shared" si="16"/>
        <v>9.3708922540006026E-2</v>
      </c>
      <c r="AG39" s="16">
        <f t="shared" si="23"/>
        <v>1</v>
      </c>
      <c r="AH39" s="12"/>
      <c r="AI39" s="13"/>
      <c r="AJ39" s="13"/>
      <c r="AK39" s="13"/>
      <c r="AL39" s="13"/>
      <c r="AM39" s="13"/>
      <c r="AN39" s="13"/>
      <c r="AO39" s="13"/>
      <c r="AP39" s="13"/>
      <c r="AQ39" s="13"/>
      <c r="AR39" s="13"/>
      <c r="AS39" s="13"/>
      <c r="AT39" s="13"/>
      <c r="AU39" s="13"/>
      <c r="AV39" s="13"/>
      <c r="AW39" s="13"/>
      <c r="AX39" s="13"/>
      <c r="AY39" s="13"/>
    </row>
    <row r="40" spans="1:51">
      <c r="A40" s="5">
        <v>2060</v>
      </c>
      <c r="B40" s="3" t="s">
        <v>3</v>
      </c>
      <c r="C40" s="9">
        <v>4971747</v>
      </c>
      <c r="D40" s="9">
        <f t="shared" si="17"/>
        <v>994349.4</v>
      </c>
      <c r="E40" s="9">
        <v>5097719</v>
      </c>
      <c r="F40" s="9">
        <v>5200346</v>
      </c>
      <c r="G40" s="9">
        <v>5261195</v>
      </c>
      <c r="H40" s="9">
        <v>5302335</v>
      </c>
      <c r="I40" s="9">
        <v>5357215</v>
      </c>
      <c r="J40" s="9">
        <v>5407802</v>
      </c>
      <c r="K40" s="9">
        <v>5391603</v>
      </c>
      <c r="L40" s="9">
        <v>5238375</v>
      </c>
      <c r="M40" s="15">
        <v>4760458</v>
      </c>
      <c r="N40" s="15">
        <v>4315297</v>
      </c>
      <c r="O40" s="15">
        <v>3932301</v>
      </c>
      <c r="P40" s="15">
        <v>3461050</v>
      </c>
      <c r="Q40" s="15">
        <v>2826128</v>
      </c>
      <c r="R40" s="10">
        <f t="shared" si="18"/>
        <v>6092068.4000000004</v>
      </c>
      <c r="S40" s="10">
        <f t="shared" si="7"/>
        <v>10461541</v>
      </c>
      <c r="T40" s="11">
        <f t="shared" si="8"/>
        <v>10659550</v>
      </c>
      <c r="U40" s="10">
        <f t="shared" si="9"/>
        <v>10799405</v>
      </c>
      <c r="V40" s="10">
        <f t="shared" si="10"/>
        <v>9998833</v>
      </c>
      <c r="W40" s="10">
        <f t="shared" si="11"/>
        <v>8247598</v>
      </c>
      <c r="X40" s="10">
        <f t="shared" si="12"/>
        <v>6287178</v>
      </c>
      <c r="Y40" s="11">
        <f t="shared" si="13"/>
        <v>62546173.399999999</v>
      </c>
      <c r="Z40" s="16">
        <f t="shared" si="19"/>
        <v>9.7401136933502636E-2</v>
      </c>
      <c r="AA40" s="16">
        <f t="shared" si="20"/>
        <v>0.16726108779022444</v>
      </c>
      <c r="AB40" s="16">
        <f t="shared" si="21"/>
        <v>0.17042689297439897</v>
      </c>
      <c r="AC40" s="16">
        <f t="shared" si="22"/>
        <v>0.17266292105409603</v>
      </c>
      <c r="AD40" s="16">
        <f t="shared" si="14"/>
        <v>0.15986322514176382</v>
      </c>
      <c r="AE40" s="16">
        <f t="shared" si="15"/>
        <v>0.13186415014159764</v>
      </c>
      <c r="AF40" s="16">
        <f t="shared" si="16"/>
        <v>0.10052058596441649</v>
      </c>
      <c r="AG40" s="16">
        <f t="shared" si="23"/>
        <v>1</v>
      </c>
      <c r="AH40" s="12"/>
      <c r="AI40" s="13"/>
      <c r="AJ40" s="13"/>
      <c r="AK40" s="13"/>
      <c r="AL40" s="13"/>
      <c r="AM40" s="13"/>
      <c r="AN40" s="13"/>
      <c r="AO40" s="13"/>
      <c r="AP40" s="13"/>
      <c r="AQ40" s="13"/>
      <c r="AR40" s="13"/>
      <c r="AS40" s="13"/>
      <c r="AT40" s="13"/>
      <c r="AU40" s="13"/>
      <c r="AV40" s="13"/>
      <c r="AW40" s="13"/>
      <c r="AX40" s="13"/>
      <c r="AY40" s="13"/>
    </row>
    <row r="41" spans="1:51">
      <c r="A41" s="5">
        <v>2065</v>
      </c>
      <c r="B41" s="3" t="s">
        <v>3</v>
      </c>
      <c r="C41" s="9">
        <v>4837320</v>
      </c>
      <c r="D41" s="9">
        <f t="shared" si="17"/>
        <v>967464</v>
      </c>
      <c r="E41" s="9">
        <v>4969806</v>
      </c>
      <c r="F41" s="9">
        <v>5097486</v>
      </c>
      <c r="G41" s="9">
        <v>5200405</v>
      </c>
      <c r="H41" s="9">
        <v>5253617</v>
      </c>
      <c r="I41" s="9">
        <v>5279448</v>
      </c>
      <c r="J41" s="9">
        <v>5310935</v>
      </c>
      <c r="K41" s="9">
        <v>5332635</v>
      </c>
      <c r="L41" s="9">
        <v>5283054</v>
      </c>
      <c r="M41" s="15">
        <v>5083283</v>
      </c>
      <c r="N41" s="15">
        <v>4556244</v>
      </c>
      <c r="O41" s="15">
        <v>4040278</v>
      </c>
      <c r="P41" s="15">
        <v>3556682</v>
      </c>
      <c r="Q41" s="15">
        <v>2977731</v>
      </c>
      <c r="R41" s="10">
        <f t="shared" si="18"/>
        <v>5937270</v>
      </c>
      <c r="S41" s="10">
        <f t="shared" si="7"/>
        <v>10297891</v>
      </c>
      <c r="T41" s="11">
        <f t="shared" si="8"/>
        <v>10533065</v>
      </c>
      <c r="U41" s="10">
        <f t="shared" si="9"/>
        <v>10643570</v>
      </c>
      <c r="V41" s="10">
        <f t="shared" si="10"/>
        <v>10366337</v>
      </c>
      <c r="W41" s="10">
        <f t="shared" si="11"/>
        <v>8596522</v>
      </c>
      <c r="X41" s="10">
        <f t="shared" si="12"/>
        <v>6534413</v>
      </c>
      <c r="Y41" s="11">
        <f t="shared" si="13"/>
        <v>62909068</v>
      </c>
      <c r="Z41" s="16">
        <f t="shared" si="19"/>
        <v>9.4378603733248759E-2</v>
      </c>
      <c r="AA41" s="16">
        <f t="shared" si="20"/>
        <v>0.16369485874437054</v>
      </c>
      <c r="AB41" s="16">
        <f t="shared" si="21"/>
        <v>0.16743317513462447</v>
      </c>
      <c r="AC41" s="16">
        <f t="shared" si="22"/>
        <v>0.16918975814424719</v>
      </c>
      <c r="AD41" s="16">
        <f t="shared" si="14"/>
        <v>0.16478287359145108</v>
      </c>
      <c r="AE41" s="16">
        <f t="shared" si="15"/>
        <v>0.13664996594767545</v>
      </c>
      <c r="AF41" s="16">
        <f t="shared" si="16"/>
        <v>0.10387076470438253</v>
      </c>
      <c r="AG41" s="16">
        <f t="shared" si="23"/>
        <v>1</v>
      </c>
      <c r="AH41" s="12"/>
      <c r="AI41" s="13"/>
      <c r="AJ41" s="13"/>
      <c r="AK41" s="13"/>
      <c r="AL41" s="13"/>
      <c r="AM41" s="13"/>
      <c r="AN41" s="13"/>
      <c r="AO41" s="13"/>
      <c r="AP41" s="13"/>
      <c r="AQ41" s="13"/>
      <c r="AR41" s="13"/>
      <c r="AS41" s="13"/>
      <c r="AT41" s="13"/>
      <c r="AU41" s="13"/>
      <c r="AV41" s="13"/>
      <c r="AW41" s="13"/>
      <c r="AX41" s="13"/>
      <c r="AY41" s="13"/>
    </row>
    <row r="42" spans="1:51">
      <c r="A42" s="5">
        <v>2070</v>
      </c>
      <c r="B42" s="3" t="s">
        <v>3</v>
      </c>
      <c r="C42" s="9">
        <v>4726458</v>
      </c>
      <c r="D42" s="9">
        <f t="shared" si="17"/>
        <v>945291.6</v>
      </c>
      <c r="E42" s="9">
        <v>4835831</v>
      </c>
      <c r="F42" s="9">
        <v>4970014</v>
      </c>
      <c r="G42" s="9">
        <v>5098520</v>
      </c>
      <c r="H42" s="9">
        <v>5194816</v>
      </c>
      <c r="I42" s="9">
        <v>5234298</v>
      </c>
      <c r="J42" s="9">
        <v>5239470</v>
      </c>
      <c r="K42" s="9">
        <v>5245467</v>
      </c>
      <c r="L42" s="9">
        <v>5236750</v>
      </c>
      <c r="M42" s="15">
        <v>5142375</v>
      </c>
      <c r="N42" s="15">
        <v>4885628</v>
      </c>
      <c r="O42" s="15">
        <v>4289014</v>
      </c>
      <c r="P42" s="15">
        <v>3680162</v>
      </c>
      <c r="Q42" s="15">
        <v>3089045</v>
      </c>
      <c r="R42" s="10">
        <f t="shared" si="18"/>
        <v>5781122.5999999996</v>
      </c>
      <c r="S42" s="10">
        <f t="shared" si="7"/>
        <v>10068534</v>
      </c>
      <c r="T42" s="11">
        <f t="shared" si="8"/>
        <v>10429114</v>
      </c>
      <c r="U42" s="10">
        <f t="shared" si="9"/>
        <v>10484937</v>
      </c>
      <c r="V42" s="10">
        <f t="shared" si="10"/>
        <v>10379125</v>
      </c>
      <c r="W42" s="10">
        <f t="shared" si="11"/>
        <v>9174642</v>
      </c>
      <c r="X42" s="10">
        <f t="shared" si="12"/>
        <v>6769207</v>
      </c>
      <c r="Y42" s="11">
        <f t="shared" si="13"/>
        <v>63086681.600000001</v>
      </c>
      <c r="Z42" s="16">
        <f t="shared" si="19"/>
        <v>9.1637766536130497E-2</v>
      </c>
      <c r="AA42" s="16">
        <f t="shared" si="20"/>
        <v>0.15959840880265921</v>
      </c>
      <c r="AB42" s="16">
        <f t="shared" si="21"/>
        <v>0.16531403674274095</v>
      </c>
      <c r="AC42" s="16">
        <f t="shared" si="22"/>
        <v>0.16619889862775727</v>
      </c>
      <c r="AD42" s="16">
        <f t="shared" si="14"/>
        <v>0.16452165079483275</v>
      </c>
      <c r="AE42" s="16">
        <f t="shared" si="15"/>
        <v>0.14542914236909238</v>
      </c>
      <c r="AF42" s="16">
        <f t="shared" si="16"/>
        <v>0.10730009612678693</v>
      </c>
      <c r="AG42" s="16">
        <f t="shared" si="23"/>
        <v>1</v>
      </c>
      <c r="AH42" s="12"/>
      <c r="AI42" s="13"/>
      <c r="AJ42" s="13"/>
      <c r="AK42" s="13"/>
      <c r="AL42" s="13"/>
      <c r="AM42" s="13"/>
      <c r="AN42" s="13"/>
      <c r="AO42" s="13"/>
      <c r="AP42" s="13"/>
      <c r="AQ42" s="13"/>
      <c r="AR42" s="13"/>
      <c r="AS42" s="13"/>
      <c r="AT42" s="13"/>
      <c r="AU42" s="13"/>
      <c r="AV42" s="13"/>
      <c r="AW42" s="13"/>
      <c r="AX42" s="13"/>
      <c r="AY42" s="13"/>
    </row>
    <row r="43" spans="1:51">
      <c r="A43" s="5">
        <v>2075</v>
      </c>
      <c r="B43" s="3" t="s">
        <v>3</v>
      </c>
      <c r="C43" s="9">
        <v>4632337</v>
      </c>
      <c r="D43" s="9">
        <f t="shared" si="17"/>
        <v>926467.4</v>
      </c>
      <c r="E43" s="9">
        <v>4725189</v>
      </c>
      <c r="F43" s="9">
        <v>4836285</v>
      </c>
      <c r="G43" s="9">
        <v>4971609</v>
      </c>
      <c r="H43" s="9">
        <v>5094432</v>
      </c>
      <c r="I43" s="9">
        <v>5178310</v>
      </c>
      <c r="J43" s="9">
        <v>5199200</v>
      </c>
      <c r="K43" s="9">
        <v>5181662</v>
      </c>
      <c r="L43" s="9">
        <v>5160403</v>
      </c>
      <c r="M43" s="15">
        <v>5109822</v>
      </c>
      <c r="N43" s="15">
        <v>4958877</v>
      </c>
      <c r="O43" s="15">
        <v>4620705</v>
      </c>
      <c r="P43" s="15">
        <v>3931309</v>
      </c>
      <c r="Q43" s="15">
        <v>3222702</v>
      </c>
      <c r="R43" s="10">
        <f t="shared" si="18"/>
        <v>5651656.4000000004</v>
      </c>
      <c r="S43" s="10">
        <f t="shared" si="7"/>
        <v>9807894</v>
      </c>
      <c r="T43" s="11">
        <f t="shared" si="8"/>
        <v>10272742</v>
      </c>
      <c r="U43" s="10">
        <f t="shared" si="9"/>
        <v>10380862</v>
      </c>
      <c r="V43" s="10">
        <f t="shared" si="10"/>
        <v>10270225</v>
      </c>
      <c r="W43" s="10">
        <f t="shared" si="11"/>
        <v>9579582</v>
      </c>
      <c r="X43" s="10">
        <f t="shared" si="12"/>
        <v>7154011</v>
      </c>
      <c r="Y43" s="11">
        <f t="shared" si="13"/>
        <v>63116972.399999999</v>
      </c>
      <c r="Z43" s="16">
        <f t="shared" si="19"/>
        <v>8.9542577615779315E-2</v>
      </c>
      <c r="AA43" s="16">
        <f t="shared" si="20"/>
        <v>0.15539233944624378</v>
      </c>
      <c r="AB43" s="16">
        <f t="shared" si="21"/>
        <v>0.16275720474830635</v>
      </c>
      <c r="AC43" s="16">
        <f t="shared" si="22"/>
        <v>0.16447021467081649</v>
      </c>
      <c r="AD43" s="16">
        <f t="shared" si="14"/>
        <v>0.16271732640965522</v>
      </c>
      <c r="AE43" s="16">
        <f t="shared" si="15"/>
        <v>0.1517750556742484</v>
      </c>
      <c r="AF43" s="16">
        <f t="shared" si="16"/>
        <v>0.11334528143495046</v>
      </c>
      <c r="AG43" s="16">
        <f t="shared" si="23"/>
        <v>1</v>
      </c>
      <c r="AH43" s="12"/>
      <c r="AI43" s="13"/>
      <c r="AJ43" s="13"/>
      <c r="AK43" s="13"/>
      <c r="AL43" s="13"/>
      <c r="AM43" s="13"/>
      <c r="AN43" s="13"/>
      <c r="AO43" s="13"/>
      <c r="AP43" s="13"/>
      <c r="AQ43" s="13"/>
      <c r="AR43" s="13"/>
      <c r="AS43" s="13"/>
      <c r="AT43" s="13"/>
      <c r="AU43" s="13"/>
      <c r="AV43" s="13"/>
      <c r="AW43" s="13"/>
      <c r="AX43" s="13"/>
      <c r="AY43" s="13"/>
    </row>
    <row r="44" spans="1:51">
      <c r="A44" s="5">
        <v>2080</v>
      </c>
      <c r="B44" s="3" t="s">
        <v>3</v>
      </c>
      <c r="C44" s="9">
        <v>4537456</v>
      </c>
      <c r="D44" s="9">
        <f t="shared" si="17"/>
        <v>907491.2</v>
      </c>
      <c r="E44" s="9">
        <v>4631198</v>
      </c>
      <c r="F44" s="9">
        <v>4725727</v>
      </c>
      <c r="G44" s="9">
        <v>4838225</v>
      </c>
      <c r="H44" s="9">
        <v>4968767</v>
      </c>
      <c r="I44" s="9">
        <v>5080454</v>
      </c>
      <c r="J44" s="9">
        <v>5147463</v>
      </c>
      <c r="K44" s="9">
        <v>5147664</v>
      </c>
      <c r="L44" s="9">
        <v>5105614</v>
      </c>
      <c r="M44" s="15">
        <v>5046112</v>
      </c>
      <c r="N44" s="15">
        <v>4941721</v>
      </c>
      <c r="O44" s="15">
        <v>4709125</v>
      </c>
      <c r="P44" s="15">
        <v>4260007</v>
      </c>
      <c r="Q44" s="15">
        <v>3469250</v>
      </c>
      <c r="R44" s="10">
        <f t="shared" si="18"/>
        <v>5538689.2000000002</v>
      </c>
      <c r="S44" s="10">
        <f t="shared" si="7"/>
        <v>9563952</v>
      </c>
      <c r="T44" s="11">
        <f t="shared" si="8"/>
        <v>10049221</v>
      </c>
      <c r="U44" s="10">
        <f t="shared" si="9"/>
        <v>10295127</v>
      </c>
      <c r="V44" s="10">
        <f t="shared" si="10"/>
        <v>10151726</v>
      </c>
      <c r="W44" s="10">
        <f t="shared" si="11"/>
        <v>9650846</v>
      </c>
      <c r="X44" s="10">
        <f t="shared" si="12"/>
        <v>7729257</v>
      </c>
      <c r="Y44" s="11">
        <f t="shared" si="13"/>
        <v>62978818.200000003</v>
      </c>
      <c r="Z44" s="16">
        <f t="shared" si="19"/>
        <v>8.7945270462379044E-2</v>
      </c>
      <c r="AA44" s="16">
        <f t="shared" si="20"/>
        <v>0.15185982006883705</v>
      </c>
      <c r="AB44" s="16">
        <f t="shared" si="21"/>
        <v>0.15956509326813628</v>
      </c>
      <c r="AC44" s="16">
        <f t="shared" si="22"/>
        <v>0.16346967590446146</v>
      </c>
      <c r="AD44" s="16">
        <f t="shared" si="14"/>
        <v>0.1611927039939279</v>
      </c>
      <c r="AE44" s="16">
        <f t="shared" si="15"/>
        <v>0.15323955380286891</v>
      </c>
      <c r="AF44" s="16">
        <f t="shared" si="16"/>
        <v>0.12272788249938929</v>
      </c>
      <c r="AG44" s="16">
        <f t="shared" si="23"/>
        <v>1</v>
      </c>
      <c r="AH44" s="12"/>
      <c r="AI44" s="13"/>
      <c r="AJ44" s="13"/>
      <c r="AK44" s="13"/>
      <c r="AL44" s="13"/>
      <c r="AM44" s="13"/>
      <c r="AN44" s="13"/>
      <c r="AO44" s="13"/>
      <c r="AP44" s="13"/>
      <c r="AQ44" s="13"/>
      <c r="AR44" s="13"/>
      <c r="AS44" s="13"/>
      <c r="AT44" s="13"/>
      <c r="AU44" s="13"/>
      <c r="AV44" s="13"/>
      <c r="AW44" s="13"/>
      <c r="AX44" s="13"/>
      <c r="AY44" s="13"/>
    </row>
    <row r="45" spans="1:51">
      <c r="A45" s="5">
        <v>2085</v>
      </c>
      <c r="B45" s="3" t="s">
        <v>3</v>
      </c>
      <c r="C45" s="9">
        <v>4442196</v>
      </c>
      <c r="D45" s="9">
        <f t="shared" si="17"/>
        <v>888439.2</v>
      </c>
      <c r="E45" s="9">
        <v>4536440</v>
      </c>
      <c r="F45" s="9">
        <v>4631744</v>
      </c>
      <c r="G45" s="9">
        <v>4727813</v>
      </c>
      <c r="H45" s="9">
        <v>4836369</v>
      </c>
      <c r="I45" s="9">
        <v>4957049</v>
      </c>
      <c r="J45" s="9">
        <v>5053660</v>
      </c>
      <c r="K45" s="9">
        <v>5101675</v>
      </c>
      <c r="L45" s="9">
        <v>5079274</v>
      </c>
      <c r="M45" s="15">
        <v>5002254</v>
      </c>
      <c r="N45" s="15">
        <v>4892982</v>
      </c>
      <c r="O45" s="15">
        <v>4710271</v>
      </c>
      <c r="P45" s="15">
        <v>4364384</v>
      </c>
      <c r="Q45" s="15">
        <v>3786669</v>
      </c>
      <c r="R45" s="10">
        <f t="shared" si="18"/>
        <v>5424879.2000000002</v>
      </c>
      <c r="S45" s="10">
        <f t="shared" si="7"/>
        <v>9359557</v>
      </c>
      <c r="T45" s="11">
        <f t="shared" si="8"/>
        <v>9793418</v>
      </c>
      <c r="U45" s="10">
        <f t="shared" si="9"/>
        <v>10155335</v>
      </c>
      <c r="V45" s="10">
        <f t="shared" si="10"/>
        <v>10081528</v>
      </c>
      <c r="W45" s="10">
        <f t="shared" si="11"/>
        <v>9603253</v>
      </c>
      <c r="X45" s="10">
        <f t="shared" si="12"/>
        <v>8151053</v>
      </c>
      <c r="Y45" s="11">
        <f t="shared" si="13"/>
        <v>62569023.200000003</v>
      </c>
      <c r="Z45" s="16">
        <f t="shared" si="19"/>
        <v>8.6702315659612214E-2</v>
      </c>
      <c r="AA45" s="16">
        <f t="shared" si="20"/>
        <v>0.14958771163939155</v>
      </c>
      <c r="AB45" s="16">
        <f t="shared" si="21"/>
        <v>0.15652182979899867</v>
      </c>
      <c r="AC45" s="16">
        <f t="shared" si="22"/>
        <v>0.16230611380233279</v>
      </c>
      <c r="AD45" s="16">
        <f t="shared" si="14"/>
        <v>0.16112650452884167</v>
      </c>
      <c r="AE45" s="16">
        <f t="shared" si="15"/>
        <v>0.15348254629616784</v>
      </c>
      <c r="AF45" s="16">
        <f t="shared" si="16"/>
        <v>0.13027297827465523</v>
      </c>
      <c r="AG45" s="16">
        <f t="shared" si="23"/>
        <v>1</v>
      </c>
      <c r="AH45" s="12"/>
      <c r="AI45" s="13"/>
      <c r="AJ45" s="13"/>
      <c r="AK45" s="13"/>
      <c r="AL45" s="13"/>
      <c r="AM45" s="13"/>
      <c r="AN45" s="13"/>
      <c r="AO45" s="13"/>
      <c r="AP45" s="13"/>
      <c r="AQ45" s="13"/>
      <c r="AR45" s="13"/>
      <c r="AS45" s="13"/>
      <c r="AT45" s="13"/>
      <c r="AU45" s="13"/>
      <c r="AV45" s="13"/>
      <c r="AW45" s="13"/>
      <c r="AX45" s="13"/>
      <c r="AY45" s="13"/>
    </row>
    <row r="46" spans="1:51">
      <c r="A46" s="5">
        <v>2090</v>
      </c>
      <c r="B46" s="3" t="s">
        <v>3</v>
      </c>
      <c r="C46" s="9">
        <v>4337436</v>
      </c>
      <c r="D46" s="9">
        <f t="shared" si="17"/>
        <v>867487.2</v>
      </c>
      <c r="E46" s="9">
        <v>4441273</v>
      </c>
      <c r="F46" s="9">
        <v>4536983</v>
      </c>
      <c r="G46" s="9">
        <v>4633894</v>
      </c>
      <c r="H46" s="9">
        <v>4726655</v>
      </c>
      <c r="I46" s="9">
        <v>4826616</v>
      </c>
      <c r="J46" s="9">
        <v>4933964</v>
      </c>
      <c r="K46" s="9">
        <v>5013402</v>
      </c>
      <c r="L46" s="9">
        <v>5040364</v>
      </c>
      <c r="M46" s="15">
        <v>4985325</v>
      </c>
      <c r="N46" s="15">
        <v>4862250</v>
      </c>
      <c r="O46" s="15">
        <v>4679839</v>
      </c>
      <c r="P46" s="15">
        <v>4386816</v>
      </c>
      <c r="Q46" s="15">
        <v>3905568</v>
      </c>
      <c r="R46" s="10">
        <f t="shared" si="18"/>
        <v>5308760.2</v>
      </c>
      <c r="S46" s="10">
        <f t="shared" si="7"/>
        <v>9170877</v>
      </c>
      <c r="T46" s="11">
        <f t="shared" si="8"/>
        <v>9553271</v>
      </c>
      <c r="U46" s="10">
        <f t="shared" si="9"/>
        <v>9947366</v>
      </c>
      <c r="V46" s="10">
        <f t="shared" si="10"/>
        <v>10025689</v>
      </c>
      <c r="W46" s="10">
        <f t="shared" si="11"/>
        <v>9542089</v>
      </c>
      <c r="X46" s="10">
        <f t="shared" si="12"/>
        <v>8292384</v>
      </c>
      <c r="Y46" s="11">
        <f t="shared" si="13"/>
        <v>61840436.200000003</v>
      </c>
      <c r="Z46" s="16">
        <f t="shared" si="19"/>
        <v>8.5846098866941695E-2</v>
      </c>
      <c r="AA46" s="16">
        <f t="shared" si="20"/>
        <v>0.1482990347988522</v>
      </c>
      <c r="AB46" s="16">
        <f t="shared" si="21"/>
        <v>0.15448259402801559</v>
      </c>
      <c r="AC46" s="16">
        <f t="shared" si="22"/>
        <v>0.16085536602343695</v>
      </c>
      <c r="AD46" s="16">
        <f t="shared" si="14"/>
        <v>0.16212189978051933</v>
      </c>
      <c r="AE46" s="16">
        <f t="shared" si="15"/>
        <v>0.15430177382869106</v>
      </c>
      <c r="AF46" s="16">
        <f t="shared" si="16"/>
        <v>0.13409323267354314</v>
      </c>
      <c r="AG46" s="16">
        <f t="shared" si="23"/>
        <v>0.99999999999999989</v>
      </c>
      <c r="AH46" s="12"/>
      <c r="AI46" s="13"/>
      <c r="AJ46" s="13"/>
      <c r="AK46" s="13"/>
      <c r="AL46" s="13"/>
      <c r="AM46" s="13"/>
      <c r="AN46" s="13"/>
      <c r="AO46" s="13"/>
      <c r="AP46" s="13"/>
      <c r="AQ46" s="13"/>
      <c r="AR46" s="13"/>
      <c r="AS46" s="13"/>
      <c r="AT46" s="13"/>
      <c r="AU46" s="13"/>
      <c r="AV46" s="13"/>
      <c r="AW46" s="13"/>
      <c r="AX46" s="13"/>
      <c r="AY46" s="13"/>
    </row>
    <row r="47" spans="1:51">
      <c r="A47" s="5">
        <v>2095</v>
      </c>
      <c r="B47" s="3" t="s">
        <v>3</v>
      </c>
      <c r="C47" s="9">
        <v>4234486</v>
      </c>
      <c r="D47" s="9">
        <f t="shared" si="17"/>
        <v>846897.2</v>
      </c>
      <c r="E47" s="9">
        <v>4336625</v>
      </c>
      <c r="F47" s="9">
        <v>4441805</v>
      </c>
      <c r="G47" s="9">
        <v>4539124</v>
      </c>
      <c r="H47" s="9">
        <v>4633239</v>
      </c>
      <c r="I47" s="9">
        <v>4718452</v>
      </c>
      <c r="J47" s="9">
        <v>4806792</v>
      </c>
      <c r="K47" s="9">
        <v>4898807</v>
      </c>
      <c r="L47" s="9">
        <v>4958978</v>
      </c>
      <c r="M47" s="15">
        <v>4955229</v>
      </c>
      <c r="N47" s="15">
        <v>4856689</v>
      </c>
      <c r="O47" s="15">
        <v>4665421</v>
      </c>
      <c r="P47" s="15">
        <v>4378577</v>
      </c>
      <c r="Q47" s="15">
        <v>3950642</v>
      </c>
      <c r="R47" s="10">
        <f t="shared" si="18"/>
        <v>5183522.2</v>
      </c>
      <c r="S47" s="10">
        <f t="shared" si="7"/>
        <v>8980929</v>
      </c>
      <c r="T47" s="11">
        <f t="shared" si="8"/>
        <v>9351691</v>
      </c>
      <c r="U47" s="10">
        <f t="shared" si="9"/>
        <v>9705599</v>
      </c>
      <c r="V47" s="10">
        <f t="shared" si="10"/>
        <v>9914207</v>
      </c>
      <c r="W47" s="10">
        <f t="shared" si="11"/>
        <v>9522110</v>
      </c>
      <c r="X47" s="10">
        <f t="shared" si="12"/>
        <v>8329219</v>
      </c>
      <c r="Y47" s="11">
        <f t="shared" si="13"/>
        <v>60987277.200000003</v>
      </c>
      <c r="Z47" s="16">
        <f t="shared" si="19"/>
        <v>8.4993500906776015E-2</v>
      </c>
      <c r="AA47" s="16">
        <f t="shared" si="20"/>
        <v>0.14725905815647725</v>
      </c>
      <c r="AB47" s="16">
        <f t="shared" si="21"/>
        <v>0.15333839169983474</v>
      </c>
      <c r="AC47" s="16">
        <f t="shared" si="22"/>
        <v>0.15914137252220206</v>
      </c>
      <c r="AD47" s="16">
        <f t="shared" si="14"/>
        <v>0.16256188921974041</v>
      </c>
      <c r="AE47" s="16">
        <f t="shared" si="15"/>
        <v>0.15613272861441993</v>
      </c>
      <c r="AF47" s="16">
        <f t="shared" si="16"/>
        <v>0.1365730588805496</v>
      </c>
      <c r="AG47" s="16">
        <f t="shared" si="23"/>
        <v>1</v>
      </c>
      <c r="AH47" s="12"/>
      <c r="AI47" s="13"/>
      <c r="AJ47" s="13"/>
      <c r="AK47" s="13"/>
      <c r="AL47" s="13"/>
      <c r="AM47" s="13"/>
      <c r="AN47" s="13"/>
      <c r="AO47" s="13"/>
      <c r="AP47" s="13"/>
      <c r="AQ47" s="13"/>
      <c r="AR47" s="13"/>
      <c r="AS47" s="13"/>
      <c r="AT47" s="13"/>
      <c r="AU47" s="13"/>
      <c r="AV47" s="13"/>
      <c r="AW47" s="13"/>
      <c r="AX47" s="13"/>
      <c r="AY47" s="13"/>
    </row>
    <row r="48" spans="1:51">
      <c r="A48" s="30">
        <v>2100</v>
      </c>
      <c r="B48" s="3" t="s">
        <v>3</v>
      </c>
      <c r="C48" s="9">
        <v>4141502.9999999995</v>
      </c>
      <c r="D48" s="9">
        <f t="shared" si="17"/>
        <v>828300.59999999986</v>
      </c>
      <c r="E48" s="9">
        <v>4233738</v>
      </c>
      <c r="F48" s="9">
        <v>4337142</v>
      </c>
      <c r="G48" s="9">
        <v>4443847</v>
      </c>
      <c r="H48" s="9">
        <v>4538814</v>
      </c>
      <c r="I48" s="9">
        <v>4626310</v>
      </c>
      <c r="J48" s="9">
        <v>4701335</v>
      </c>
      <c r="K48" s="9">
        <v>4776191</v>
      </c>
      <c r="L48" s="9">
        <v>4850790</v>
      </c>
      <c r="M48" s="15">
        <v>4882528</v>
      </c>
      <c r="N48" s="15">
        <v>4837386</v>
      </c>
      <c r="O48" s="15">
        <v>4674110</v>
      </c>
      <c r="P48" s="15">
        <v>4384068</v>
      </c>
      <c r="Q48" s="15">
        <v>3967010</v>
      </c>
      <c r="R48" s="10">
        <f t="shared" si="18"/>
        <v>5062038.5999999996</v>
      </c>
      <c r="S48" s="10">
        <f t="shared" si="7"/>
        <v>8780989</v>
      </c>
      <c r="T48" s="11">
        <f t="shared" si="8"/>
        <v>9165124</v>
      </c>
      <c r="U48" s="10">
        <f t="shared" si="9"/>
        <v>9477526</v>
      </c>
      <c r="V48" s="10">
        <f t="shared" si="10"/>
        <v>9733318</v>
      </c>
      <c r="W48" s="10">
        <f t="shared" si="11"/>
        <v>9511496</v>
      </c>
      <c r="X48" s="10">
        <f t="shared" si="12"/>
        <v>8351078</v>
      </c>
      <c r="Y48" s="29">
        <f t="shared" si="13"/>
        <v>60081569.600000001</v>
      </c>
      <c r="Z48" s="31">
        <f t="shared" si="19"/>
        <v>8.42527689223352E-2</v>
      </c>
      <c r="AA48" s="31">
        <f t="shared" si="20"/>
        <v>0.1461511251863167</v>
      </c>
      <c r="AB48" s="31">
        <f t="shared" si="21"/>
        <v>0.1525446831868387</v>
      </c>
      <c r="AC48" s="31">
        <f t="shared" si="22"/>
        <v>0.15774431432297334</v>
      </c>
      <c r="AD48" s="31">
        <f t="shared" si="14"/>
        <v>0.16200172639963786</v>
      </c>
      <c r="AE48" s="31">
        <f t="shared" si="15"/>
        <v>0.15830971233481222</v>
      </c>
      <c r="AF48" s="31">
        <f t="shared" si="16"/>
        <v>0.1389956696470859</v>
      </c>
      <c r="AG48" s="16">
        <f t="shared" si="23"/>
        <v>0.99999999999999989</v>
      </c>
      <c r="AH48" s="12"/>
    </row>
    <row r="49" spans="1:33">
      <c r="A49" s="5">
        <v>1950</v>
      </c>
      <c r="B49" s="3" t="s">
        <v>4</v>
      </c>
      <c r="C49" s="9">
        <v>854001</v>
      </c>
      <c r="D49" s="9">
        <f t="shared" si="17"/>
        <v>170800.2</v>
      </c>
      <c r="E49" s="9">
        <v>743000</v>
      </c>
      <c r="F49" s="9">
        <v>686249</v>
      </c>
      <c r="G49" s="9">
        <v>619886</v>
      </c>
      <c r="H49" s="9">
        <v>541999</v>
      </c>
      <c r="I49" s="9">
        <v>492001</v>
      </c>
      <c r="J49" s="9">
        <v>430000</v>
      </c>
      <c r="K49" s="9">
        <v>364999</v>
      </c>
      <c r="L49" s="9">
        <v>291000</v>
      </c>
      <c r="M49" s="15">
        <v>238000</v>
      </c>
      <c r="N49" s="15">
        <v>193001</v>
      </c>
      <c r="O49" s="15">
        <v>146000</v>
      </c>
      <c r="P49" s="15">
        <v>101000</v>
      </c>
      <c r="Q49" s="15">
        <v>73905</v>
      </c>
      <c r="R49" s="10">
        <f t="shared" si="18"/>
        <v>913800.2</v>
      </c>
      <c r="S49" s="10">
        <f t="shared" si="7"/>
        <v>1306135</v>
      </c>
      <c r="T49" s="11">
        <f t="shared" si="8"/>
        <v>1034000</v>
      </c>
      <c r="U49" s="10">
        <f t="shared" si="9"/>
        <v>794999</v>
      </c>
      <c r="V49" s="10">
        <f t="shared" si="10"/>
        <v>529000</v>
      </c>
      <c r="W49" s="10">
        <f t="shared" si="11"/>
        <v>339001</v>
      </c>
      <c r="X49" s="10">
        <f t="shared" si="12"/>
        <v>174905</v>
      </c>
      <c r="Y49" s="11">
        <f t="shared" si="13"/>
        <v>5091840.2</v>
      </c>
      <c r="Z49" s="16">
        <f t="shared" si="19"/>
        <v>0.17946364459748754</v>
      </c>
      <c r="AA49" s="16">
        <f t="shared" si="20"/>
        <v>0.25651531640761233</v>
      </c>
      <c r="AB49" s="16">
        <f t="shared" si="21"/>
        <v>0.2030700020790126</v>
      </c>
      <c r="AC49" s="16">
        <f t="shared" si="22"/>
        <v>0.15613196187892933</v>
      </c>
      <c r="AD49" s="16">
        <f t="shared" si="14"/>
        <v>0.10389171286247356</v>
      </c>
      <c r="AE49" s="16">
        <f t="shared" si="15"/>
        <v>6.6577305391477132E-2</v>
      </c>
      <c r="AF49" s="16">
        <f t="shared" si="16"/>
        <v>3.4350056783007447E-2</v>
      </c>
      <c r="AG49" s="16">
        <f t="shared" si="23"/>
        <v>0.99999999999999989</v>
      </c>
    </row>
    <row r="50" spans="1:33">
      <c r="A50" s="5">
        <v>1955</v>
      </c>
      <c r="B50" s="3" t="s">
        <v>4</v>
      </c>
      <c r="C50" s="9">
        <v>953586</v>
      </c>
      <c r="D50" s="9">
        <f t="shared" si="17"/>
        <v>190717.2</v>
      </c>
      <c r="E50" s="9">
        <v>839525</v>
      </c>
      <c r="F50" s="9">
        <v>729446</v>
      </c>
      <c r="G50" s="9">
        <v>667901</v>
      </c>
      <c r="H50" s="9">
        <v>599463</v>
      </c>
      <c r="I50" s="9">
        <v>522217.99999999994</v>
      </c>
      <c r="J50" s="9">
        <v>470808</v>
      </c>
      <c r="K50" s="9">
        <v>407247</v>
      </c>
      <c r="L50" s="9">
        <v>341123</v>
      </c>
      <c r="M50" s="15">
        <v>266611</v>
      </c>
      <c r="N50" s="15">
        <v>211655</v>
      </c>
      <c r="O50" s="15">
        <v>163953</v>
      </c>
      <c r="P50" s="15">
        <v>115573</v>
      </c>
      <c r="Q50" s="15">
        <v>71982</v>
      </c>
      <c r="R50" s="10">
        <f t="shared" si="18"/>
        <v>1030242.2</v>
      </c>
      <c r="S50" s="10">
        <f t="shared" si="7"/>
        <v>1397347</v>
      </c>
      <c r="T50" s="11">
        <f t="shared" si="8"/>
        <v>1121681</v>
      </c>
      <c r="U50" s="10">
        <f t="shared" si="9"/>
        <v>878055</v>
      </c>
      <c r="V50" s="10">
        <f t="shared" si="10"/>
        <v>607734</v>
      </c>
      <c r="W50" s="10">
        <f t="shared" si="11"/>
        <v>375608</v>
      </c>
      <c r="X50" s="10">
        <f t="shared" si="12"/>
        <v>187555</v>
      </c>
      <c r="Y50" s="11">
        <f t="shared" si="13"/>
        <v>5598222.2000000002</v>
      </c>
      <c r="Z50" s="16">
        <f t="shared" si="19"/>
        <v>0.18403024445867833</v>
      </c>
      <c r="AA50" s="16">
        <f t="shared" si="20"/>
        <v>0.24960549082885633</v>
      </c>
      <c r="AB50" s="16">
        <f t="shared" si="21"/>
        <v>0.20036378691792547</v>
      </c>
      <c r="AC50" s="16">
        <f t="shared" si="22"/>
        <v>0.156845328504467</v>
      </c>
      <c r="AD50" s="16">
        <f t="shared" si="14"/>
        <v>0.10855839198379799</v>
      </c>
      <c r="AE50" s="16">
        <f t="shared" si="15"/>
        <v>6.7094157141529678E-2</v>
      </c>
      <c r="AF50" s="16">
        <f t="shared" si="16"/>
        <v>3.3502600164745155E-2</v>
      </c>
      <c r="AG50" s="16">
        <f t="shared" si="23"/>
        <v>0.99999999999999989</v>
      </c>
    </row>
    <row r="51" spans="1:33">
      <c r="A51" s="5">
        <v>1960</v>
      </c>
      <c r="B51" s="3" t="s">
        <v>4</v>
      </c>
      <c r="C51" s="9">
        <v>1213107</v>
      </c>
      <c r="D51" s="9">
        <f t="shared" si="17"/>
        <v>242621.4</v>
      </c>
      <c r="E51" s="9">
        <v>939743</v>
      </c>
      <c r="F51" s="9">
        <v>826361</v>
      </c>
      <c r="G51" s="9">
        <v>712761</v>
      </c>
      <c r="H51" s="9">
        <v>649205</v>
      </c>
      <c r="I51" s="9">
        <v>580812</v>
      </c>
      <c r="J51" s="9">
        <v>502836</v>
      </c>
      <c r="K51" s="9">
        <v>448993</v>
      </c>
      <c r="L51" s="9">
        <v>383457</v>
      </c>
      <c r="M51" s="15">
        <v>315093</v>
      </c>
      <c r="N51" s="15">
        <v>239291</v>
      </c>
      <c r="O51" s="15">
        <v>181727</v>
      </c>
      <c r="P51" s="15">
        <v>131501</v>
      </c>
      <c r="Q51" s="15">
        <v>83694</v>
      </c>
      <c r="R51" s="10">
        <f t="shared" si="18"/>
        <v>1182364.3999999999</v>
      </c>
      <c r="S51" s="10">
        <f t="shared" si="7"/>
        <v>1539122</v>
      </c>
      <c r="T51" s="11">
        <f t="shared" si="8"/>
        <v>1230017</v>
      </c>
      <c r="U51" s="10">
        <f t="shared" si="9"/>
        <v>951829</v>
      </c>
      <c r="V51" s="10">
        <f t="shared" si="10"/>
        <v>698550</v>
      </c>
      <c r="W51" s="10">
        <f t="shared" si="11"/>
        <v>421018</v>
      </c>
      <c r="X51" s="10">
        <f t="shared" si="12"/>
        <v>215195</v>
      </c>
      <c r="Y51" s="11">
        <f t="shared" si="13"/>
        <v>6238095.4000000004</v>
      </c>
      <c r="Z51" s="16">
        <f t="shared" si="19"/>
        <v>0.18953932637836859</v>
      </c>
      <c r="AA51" s="16">
        <f t="shared" si="20"/>
        <v>0.24672947451236477</v>
      </c>
      <c r="AB51" s="16">
        <f t="shared" si="21"/>
        <v>0.19717829259231912</v>
      </c>
      <c r="AC51" s="16">
        <f t="shared" si="22"/>
        <v>0.15258327084898379</v>
      </c>
      <c r="AD51" s="16">
        <f t="shared" si="14"/>
        <v>0.11198129480353891</v>
      </c>
      <c r="AE51" s="16">
        <f t="shared" si="15"/>
        <v>6.7491433362817752E-2</v>
      </c>
      <c r="AF51" s="16">
        <f t="shared" si="16"/>
        <v>3.4496907501606978E-2</v>
      </c>
      <c r="AG51" s="16">
        <f t="shared" si="23"/>
        <v>0.99999999999999989</v>
      </c>
    </row>
    <row r="52" spans="1:33">
      <c r="A52" s="5">
        <v>1965</v>
      </c>
      <c r="B52" s="3" t="s">
        <v>4</v>
      </c>
      <c r="C52" s="9">
        <v>1381609</v>
      </c>
      <c r="D52" s="9">
        <f t="shared" si="17"/>
        <v>276321.8</v>
      </c>
      <c r="E52" s="9">
        <v>1197234</v>
      </c>
      <c r="F52" s="9">
        <v>929389</v>
      </c>
      <c r="G52" s="9">
        <v>818690</v>
      </c>
      <c r="H52" s="9">
        <v>705340</v>
      </c>
      <c r="I52" s="9">
        <v>638857</v>
      </c>
      <c r="J52" s="9">
        <v>567490</v>
      </c>
      <c r="K52" s="9">
        <v>485716</v>
      </c>
      <c r="L52" s="9">
        <v>427490</v>
      </c>
      <c r="M52" s="15">
        <v>357751</v>
      </c>
      <c r="N52" s="15">
        <v>285491</v>
      </c>
      <c r="O52" s="15">
        <v>207503</v>
      </c>
      <c r="P52" s="15">
        <v>147357</v>
      </c>
      <c r="Q52" s="15">
        <v>96416</v>
      </c>
      <c r="R52" s="10">
        <f t="shared" si="18"/>
        <v>1473555.8</v>
      </c>
      <c r="S52" s="10">
        <f t="shared" si="7"/>
        <v>1748079</v>
      </c>
      <c r="T52" s="11">
        <f t="shared" si="8"/>
        <v>1344197</v>
      </c>
      <c r="U52" s="10">
        <f t="shared" si="9"/>
        <v>1053206</v>
      </c>
      <c r="V52" s="10">
        <f t="shared" si="10"/>
        <v>785241</v>
      </c>
      <c r="W52" s="10">
        <f t="shared" si="11"/>
        <v>492994</v>
      </c>
      <c r="X52" s="10">
        <f t="shared" si="12"/>
        <v>243773</v>
      </c>
      <c r="Y52" s="11">
        <f t="shared" si="13"/>
        <v>7141045.7999999998</v>
      </c>
      <c r="Z52" s="16">
        <f t="shared" si="19"/>
        <v>0.20635013991928186</v>
      </c>
      <c r="AA52" s="16">
        <f t="shared" si="20"/>
        <v>0.24479313660192462</v>
      </c>
      <c r="AB52" s="16">
        <f t="shared" si="21"/>
        <v>0.18823531421686163</v>
      </c>
      <c r="AC52" s="16">
        <f t="shared" si="22"/>
        <v>0.14748624074081698</v>
      </c>
      <c r="AD52" s="16">
        <f t="shared" si="14"/>
        <v>0.10996162494854746</v>
      </c>
      <c r="AE52" s="16">
        <f t="shared" si="15"/>
        <v>6.9036666870278304E-2</v>
      </c>
      <c r="AF52" s="16">
        <f t="shared" si="16"/>
        <v>3.4136876702289182E-2</v>
      </c>
      <c r="AG52" s="16">
        <f t="shared" si="23"/>
        <v>0.99999999999999989</v>
      </c>
    </row>
    <row r="53" spans="1:33">
      <c r="A53" s="5">
        <v>1970</v>
      </c>
      <c r="B53" s="3" t="s">
        <v>4</v>
      </c>
      <c r="C53" s="9">
        <v>1564567</v>
      </c>
      <c r="D53" s="9">
        <f t="shared" si="17"/>
        <v>312913.40000000002</v>
      </c>
      <c r="E53" s="9">
        <v>1365857</v>
      </c>
      <c r="F53" s="9">
        <v>1187768</v>
      </c>
      <c r="G53" s="9">
        <v>928913</v>
      </c>
      <c r="H53" s="9">
        <v>822760</v>
      </c>
      <c r="I53" s="9">
        <v>708099</v>
      </c>
      <c r="J53" s="9">
        <v>635392</v>
      </c>
      <c r="K53" s="9">
        <v>556877</v>
      </c>
      <c r="L53" s="9">
        <v>469512</v>
      </c>
      <c r="M53" s="15">
        <v>404514</v>
      </c>
      <c r="N53" s="15">
        <v>328042</v>
      </c>
      <c r="O53" s="15">
        <v>250291</v>
      </c>
      <c r="P53" s="15">
        <v>170346</v>
      </c>
      <c r="Q53" s="15">
        <v>109566</v>
      </c>
      <c r="R53" s="10">
        <f t="shared" si="18"/>
        <v>1678770.4</v>
      </c>
      <c r="S53" s="10">
        <f t="shared" si="7"/>
        <v>2116681</v>
      </c>
      <c r="T53" s="11">
        <f t="shared" si="8"/>
        <v>1530859</v>
      </c>
      <c r="U53" s="10">
        <f t="shared" si="9"/>
        <v>1192269</v>
      </c>
      <c r="V53" s="10">
        <f t="shared" si="10"/>
        <v>874026</v>
      </c>
      <c r="W53" s="10">
        <f t="shared" si="11"/>
        <v>578333</v>
      </c>
      <c r="X53" s="10">
        <f t="shared" si="12"/>
        <v>279912</v>
      </c>
      <c r="Y53" s="11">
        <f t="shared" si="13"/>
        <v>8250850.4000000004</v>
      </c>
      <c r="Z53" s="16">
        <f t="shared" si="19"/>
        <v>0.20346634814758002</v>
      </c>
      <c r="AA53" s="16">
        <f t="shared" si="20"/>
        <v>0.25654095000922572</v>
      </c>
      <c r="AB53" s="16">
        <f t="shared" si="21"/>
        <v>0.18553954147562776</v>
      </c>
      <c r="AC53" s="16">
        <f t="shared" si="22"/>
        <v>0.14450255939678652</v>
      </c>
      <c r="AD53" s="16">
        <f t="shared" si="14"/>
        <v>0.10593162615092379</v>
      </c>
      <c r="AE53" s="16">
        <f t="shared" si="15"/>
        <v>7.0093744518746823E-2</v>
      </c>
      <c r="AF53" s="16">
        <f t="shared" si="16"/>
        <v>3.3925230301109326E-2</v>
      </c>
      <c r="AG53" s="16">
        <f t="shared" si="23"/>
        <v>1</v>
      </c>
    </row>
    <row r="54" spans="1:33">
      <c r="A54" s="5">
        <v>1975</v>
      </c>
      <c r="B54" s="3" t="s">
        <v>4</v>
      </c>
      <c r="C54" s="9">
        <v>1770239</v>
      </c>
      <c r="D54" s="9">
        <f t="shared" si="17"/>
        <v>354047.8</v>
      </c>
      <c r="E54" s="9">
        <v>1555900</v>
      </c>
      <c r="F54" s="9">
        <v>1358795</v>
      </c>
      <c r="G54" s="9">
        <v>1184850</v>
      </c>
      <c r="H54" s="9">
        <v>936116</v>
      </c>
      <c r="I54" s="9">
        <v>830282</v>
      </c>
      <c r="J54" s="9">
        <v>708141</v>
      </c>
      <c r="K54" s="9">
        <v>623560</v>
      </c>
      <c r="L54" s="9">
        <v>533290</v>
      </c>
      <c r="M54" s="15">
        <v>437302</v>
      </c>
      <c r="N54" s="15">
        <v>363302</v>
      </c>
      <c r="O54" s="15">
        <v>276942</v>
      </c>
      <c r="P54" s="15">
        <v>192489</v>
      </c>
      <c r="Q54" s="15">
        <v>116369</v>
      </c>
      <c r="R54" s="10">
        <f t="shared" si="18"/>
        <v>1909947.8</v>
      </c>
      <c r="S54" s="10">
        <f t="shared" si="7"/>
        <v>2543645</v>
      </c>
      <c r="T54" s="11">
        <f t="shared" si="8"/>
        <v>1766398</v>
      </c>
      <c r="U54" s="10">
        <f t="shared" si="9"/>
        <v>1331701</v>
      </c>
      <c r="V54" s="10">
        <f t="shared" si="10"/>
        <v>970592</v>
      </c>
      <c r="W54" s="10">
        <f t="shared" si="11"/>
        <v>640244</v>
      </c>
      <c r="X54" s="10">
        <f t="shared" si="12"/>
        <v>308858</v>
      </c>
      <c r="Y54" s="11">
        <f t="shared" si="13"/>
        <v>9471385.8000000007</v>
      </c>
      <c r="Z54" s="16">
        <f t="shared" si="19"/>
        <v>0.20165452451530375</v>
      </c>
      <c r="AA54" s="16">
        <f t="shared" si="20"/>
        <v>0.26856101669937255</v>
      </c>
      <c r="AB54" s="16">
        <f t="shared" si="21"/>
        <v>0.18649836859142618</v>
      </c>
      <c r="AC54" s="16">
        <f t="shared" si="22"/>
        <v>0.1406025504736593</v>
      </c>
      <c r="AD54" s="16">
        <f t="shared" si="14"/>
        <v>0.10247623953825215</v>
      </c>
      <c r="AE54" s="16">
        <f t="shared" si="15"/>
        <v>6.759771099177482E-2</v>
      </c>
      <c r="AF54" s="16">
        <f t="shared" si="16"/>
        <v>3.2609589190211209E-2</v>
      </c>
      <c r="AG54" s="16">
        <f t="shared" si="23"/>
        <v>0.99999999999999989</v>
      </c>
    </row>
    <row r="55" spans="1:33">
      <c r="A55" s="5">
        <v>1980</v>
      </c>
      <c r="B55" s="3" t="s">
        <v>4</v>
      </c>
      <c r="C55" s="9">
        <v>2039006</v>
      </c>
      <c r="D55" s="9">
        <f t="shared" si="17"/>
        <v>407801.2</v>
      </c>
      <c r="E55" s="9">
        <v>1754934</v>
      </c>
      <c r="F55" s="9">
        <v>1541578</v>
      </c>
      <c r="G55" s="9">
        <v>1341916</v>
      </c>
      <c r="H55" s="9">
        <v>1168597</v>
      </c>
      <c r="I55" s="9">
        <v>922157</v>
      </c>
      <c r="J55" s="9">
        <v>811694</v>
      </c>
      <c r="K55" s="9">
        <v>682779</v>
      </c>
      <c r="L55" s="9">
        <v>589215</v>
      </c>
      <c r="M55" s="15">
        <v>488668</v>
      </c>
      <c r="N55" s="15">
        <v>384403</v>
      </c>
      <c r="O55" s="15">
        <v>299930</v>
      </c>
      <c r="P55" s="15">
        <v>207508</v>
      </c>
      <c r="Q55" s="15">
        <v>127461</v>
      </c>
      <c r="R55" s="10">
        <f t="shared" si="18"/>
        <v>2162735.2000000002</v>
      </c>
      <c r="S55" s="10">
        <f t="shared" si="7"/>
        <v>2883494</v>
      </c>
      <c r="T55" s="11">
        <f t="shared" si="8"/>
        <v>2090754</v>
      </c>
      <c r="U55" s="10">
        <f t="shared" si="9"/>
        <v>1494473</v>
      </c>
      <c r="V55" s="10">
        <f t="shared" si="10"/>
        <v>1077883</v>
      </c>
      <c r="W55" s="10">
        <f t="shared" si="11"/>
        <v>684333</v>
      </c>
      <c r="X55" s="10">
        <f t="shared" si="12"/>
        <v>334969</v>
      </c>
      <c r="Y55" s="11">
        <f t="shared" si="13"/>
        <v>10728641.199999999</v>
      </c>
      <c r="Z55" s="16">
        <f t="shared" si="19"/>
        <v>0.20158519235408864</v>
      </c>
      <c r="AA55" s="16">
        <f t="shared" si="20"/>
        <v>0.26876600179340515</v>
      </c>
      <c r="AB55" s="16">
        <f t="shared" si="21"/>
        <v>0.19487593638605419</v>
      </c>
      <c r="AC55" s="16">
        <f t="shared" si="22"/>
        <v>0.13929750954855311</v>
      </c>
      <c r="AD55" s="16">
        <f t="shared" si="14"/>
        <v>0.10046780201764974</v>
      </c>
      <c r="AE55" s="16">
        <f t="shared" si="15"/>
        <v>6.3785617138543138E-2</v>
      </c>
      <c r="AF55" s="16">
        <f t="shared" si="16"/>
        <v>3.1221940761706153E-2</v>
      </c>
      <c r="AG55" s="16">
        <f t="shared" si="23"/>
        <v>1.0000000000000002</v>
      </c>
    </row>
    <row r="56" spans="1:33">
      <c r="A56" s="5">
        <v>1985</v>
      </c>
      <c r="B56" s="3" t="s">
        <v>4</v>
      </c>
      <c r="C56" s="9">
        <v>2284013</v>
      </c>
      <c r="D56" s="9">
        <f t="shared" si="17"/>
        <v>456802.6</v>
      </c>
      <c r="E56" s="9">
        <v>2022581</v>
      </c>
      <c r="F56" s="9">
        <v>1740529</v>
      </c>
      <c r="G56" s="9">
        <v>1529128</v>
      </c>
      <c r="H56" s="9">
        <v>1334280</v>
      </c>
      <c r="I56" s="9">
        <v>1161258</v>
      </c>
      <c r="J56" s="9">
        <v>910474</v>
      </c>
      <c r="K56" s="9">
        <v>788792</v>
      </c>
      <c r="L56" s="9">
        <v>649417</v>
      </c>
      <c r="M56" s="15">
        <v>542630</v>
      </c>
      <c r="N56" s="15">
        <v>431273</v>
      </c>
      <c r="O56" s="15">
        <v>318439</v>
      </c>
      <c r="P56" s="15">
        <v>225368</v>
      </c>
      <c r="Q56" s="15">
        <v>137788</v>
      </c>
      <c r="R56" s="10">
        <f t="shared" si="18"/>
        <v>2479383.6</v>
      </c>
      <c r="S56" s="10">
        <f t="shared" si="7"/>
        <v>3269657</v>
      </c>
      <c r="T56" s="11">
        <f t="shared" si="8"/>
        <v>2495538</v>
      </c>
      <c r="U56" s="10">
        <f t="shared" si="9"/>
        <v>1699266</v>
      </c>
      <c r="V56" s="10">
        <f t="shared" si="10"/>
        <v>1192047</v>
      </c>
      <c r="W56" s="10">
        <f t="shared" si="11"/>
        <v>749712</v>
      </c>
      <c r="X56" s="10">
        <f t="shared" si="12"/>
        <v>363156</v>
      </c>
      <c r="Y56" s="11">
        <f t="shared" si="13"/>
        <v>12248759.6</v>
      </c>
      <c r="Z56" s="16">
        <f t="shared" si="19"/>
        <v>0.20241915761004894</v>
      </c>
      <c r="AA56" s="16">
        <f t="shared" si="20"/>
        <v>0.26693780486964575</v>
      </c>
      <c r="AB56" s="16">
        <f t="shared" si="21"/>
        <v>0.20373801768466418</v>
      </c>
      <c r="AC56" s="16">
        <f t="shared" si="22"/>
        <v>0.13872963920363007</v>
      </c>
      <c r="AD56" s="16">
        <f t="shared" si="14"/>
        <v>9.7319813509932879E-2</v>
      </c>
      <c r="AE56" s="16">
        <f t="shared" si="15"/>
        <v>6.1207177255728003E-2</v>
      </c>
      <c r="AF56" s="16">
        <f t="shared" si="16"/>
        <v>2.9648389866350221E-2</v>
      </c>
      <c r="AG56" s="16">
        <f t="shared" si="23"/>
        <v>1.0000000000000002</v>
      </c>
    </row>
    <row r="57" spans="1:33">
      <c r="A57" s="5">
        <v>1990</v>
      </c>
      <c r="B57" s="3" t="s">
        <v>4</v>
      </c>
      <c r="C57" s="9">
        <v>2503747</v>
      </c>
      <c r="D57" s="9">
        <f t="shared" si="17"/>
        <v>500749.4</v>
      </c>
      <c r="E57" s="9">
        <v>2262069</v>
      </c>
      <c r="F57" s="9">
        <v>1997091</v>
      </c>
      <c r="G57" s="9">
        <v>1704617</v>
      </c>
      <c r="H57" s="9">
        <v>1487803</v>
      </c>
      <c r="I57" s="9">
        <v>1292532</v>
      </c>
      <c r="J57" s="9">
        <v>1119026</v>
      </c>
      <c r="K57" s="9">
        <v>867515</v>
      </c>
      <c r="L57" s="9">
        <v>737697</v>
      </c>
      <c r="M57" s="15">
        <v>590198</v>
      </c>
      <c r="N57" s="15">
        <v>477938</v>
      </c>
      <c r="O57" s="15">
        <v>360713</v>
      </c>
      <c r="P57" s="15">
        <v>243039</v>
      </c>
      <c r="Q57" s="15">
        <v>152888</v>
      </c>
      <c r="R57" s="10">
        <f t="shared" si="18"/>
        <v>2762818.4</v>
      </c>
      <c r="S57" s="10">
        <f t="shared" si="7"/>
        <v>3701708</v>
      </c>
      <c r="T57" s="11">
        <f t="shared" si="8"/>
        <v>2780335</v>
      </c>
      <c r="U57" s="10">
        <f t="shared" si="9"/>
        <v>1986541</v>
      </c>
      <c r="V57" s="10">
        <f t="shared" si="10"/>
        <v>1327895</v>
      </c>
      <c r="W57" s="10">
        <f t="shared" si="11"/>
        <v>838651</v>
      </c>
      <c r="X57" s="10">
        <f t="shared" si="12"/>
        <v>395927</v>
      </c>
      <c r="Y57" s="11">
        <f t="shared" si="13"/>
        <v>13793875.4</v>
      </c>
      <c r="Z57" s="16">
        <f t="shared" si="19"/>
        <v>0.20029312429485913</v>
      </c>
      <c r="AA57" s="16">
        <f t="shared" si="20"/>
        <v>0.26835881089660996</v>
      </c>
      <c r="AB57" s="16">
        <f t="shared" si="21"/>
        <v>0.20156300672398417</v>
      </c>
      <c r="AC57" s="16">
        <f t="shared" si="22"/>
        <v>0.14401616241944595</v>
      </c>
      <c r="AD57" s="16">
        <f t="shared" si="14"/>
        <v>9.6266999772957204E-2</v>
      </c>
      <c r="AE57" s="16">
        <f t="shared" si="15"/>
        <v>6.0798794804250586E-2</v>
      </c>
      <c r="AF57" s="16">
        <f t="shared" si="16"/>
        <v>2.8703101087892962E-2</v>
      </c>
      <c r="AG57" s="16">
        <f t="shared" si="23"/>
        <v>0.99999999999999989</v>
      </c>
    </row>
    <row r="58" spans="1:33">
      <c r="A58" s="5">
        <v>1995</v>
      </c>
      <c r="B58" s="3" t="s">
        <v>4</v>
      </c>
      <c r="C58" s="9">
        <v>2584367</v>
      </c>
      <c r="D58" s="9">
        <f t="shared" si="17"/>
        <v>516873.4</v>
      </c>
      <c r="E58" s="9">
        <v>2489174</v>
      </c>
      <c r="F58" s="9">
        <v>2254149</v>
      </c>
      <c r="G58" s="9">
        <v>2001249</v>
      </c>
      <c r="H58" s="9">
        <v>1718591</v>
      </c>
      <c r="I58" s="9">
        <v>1498960</v>
      </c>
      <c r="J58" s="9">
        <v>1292771</v>
      </c>
      <c r="K58" s="9">
        <v>1098938</v>
      </c>
      <c r="L58" s="9">
        <v>834508</v>
      </c>
      <c r="M58" s="15">
        <v>693451</v>
      </c>
      <c r="N58" s="15">
        <v>547625</v>
      </c>
      <c r="O58" s="15">
        <v>431936</v>
      </c>
      <c r="P58" s="15">
        <v>301065</v>
      </c>
      <c r="Q58" s="15">
        <v>182454</v>
      </c>
      <c r="R58" s="10">
        <f t="shared" si="18"/>
        <v>3006047.4</v>
      </c>
      <c r="S58" s="10">
        <f t="shared" si="7"/>
        <v>4255398</v>
      </c>
      <c r="T58" s="11">
        <f t="shared" si="8"/>
        <v>3217551</v>
      </c>
      <c r="U58" s="10">
        <f t="shared" si="9"/>
        <v>2391709</v>
      </c>
      <c r="V58" s="10">
        <f t="shared" si="10"/>
        <v>1527959</v>
      </c>
      <c r="W58" s="10">
        <f t="shared" si="11"/>
        <v>979561</v>
      </c>
      <c r="X58" s="10">
        <f t="shared" si="12"/>
        <v>483519</v>
      </c>
      <c r="Y58" s="11">
        <f t="shared" si="13"/>
        <v>15861744.4</v>
      </c>
      <c r="Z58" s="16">
        <f t="shared" si="19"/>
        <v>0.18951556173102876</v>
      </c>
      <c r="AA58" s="16">
        <f t="shared" si="20"/>
        <v>0.26828058079160572</v>
      </c>
      <c r="AB58" s="16">
        <f t="shared" si="21"/>
        <v>0.20284975718055323</v>
      </c>
      <c r="AC58" s="16">
        <f t="shared" si="22"/>
        <v>0.15078473966583397</v>
      </c>
      <c r="AD58" s="16">
        <f t="shared" si="14"/>
        <v>9.6329821075669328E-2</v>
      </c>
      <c r="AE58" s="16">
        <f t="shared" si="15"/>
        <v>6.1756196247872965E-2</v>
      </c>
      <c r="AF58" s="16">
        <f t="shared" si="16"/>
        <v>3.0483343307435972E-2</v>
      </c>
      <c r="AG58" s="16">
        <f t="shared" si="23"/>
        <v>0.99999999999999989</v>
      </c>
    </row>
    <row r="59" spans="1:33">
      <c r="A59" s="5">
        <v>2000</v>
      </c>
      <c r="B59" s="3" t="s">
        <v>4</v>
      </c>
      <c r="C59" s="9">
        <v>2554260</v>
      </c>
      <c r="D59" s="9">
        <f t="shared" si="17"/>
        <v>510852</v>
      </c>
      <c r="E59" s="9">
        <v>2575011</v>
      </c>
      <c r="F59" s="9">
        <v>2483161</v>
      </c>
      <c r="G59" s="9">
        <v>2248684</v>
      </c>
      <c r="H59" s="9">
        <v>1982786</v>
      </c>
      <c r="I59" s="9">
        <v>1683748</v>
      </c>
      <c r="J59" s="9">
        <v>1447926</v>
      </c>
      <c r="K59" s="9">
        <v>1231705</v>
      </c>
      <c r="L59" s="9">
        <v>1036146</v>
      </c>
      <c r="M59" s="15">
        <v>768421</v>
      </c>
      <c r="N59" s="15">
        <v>619806</v>
      </c>
      <c r="O59" s="15">
        <v>466183</v>
      </c>
      <c r="P59" s="15">
        <v>339553</v>
      </c>
      <c r="Q59" s="15">
        <v>213567</v>
      </c>
      <c r="R59" s="10">
        <f t="shared" si="18"/>
        <v>3085863</v>
      </c>
      <c r="S59" s="10">
        <f t="shared" si="7"/>
        <v>4731845</v>
      </c>
      <c r="T59" s="11">
        <f t="shared" si="8"/>
        <v>3666534</v>
      </c>
      <c r="U59" s="10">
        <f t="shared" si="9"/>
        <v>2679631</v>
      </c>
      <c r="V59" s="10">
        <f t="shared" si="10"/>
        <v>1804567</v>
      </c>
      <c r="W59" s="10">
        <f t="shared" si="11"/>
        <v>1085989</v>
      </c>
      <c r="X59" s="10">
        <f t="shared" si="12"/>
        <v>553120</v>
      </c>
      <c r="Y59" s="11">
        <f t="shared" si="13"/>
        <v>17607549</v>
      </c>
      <c r="Z59" s="16">
        <f t="shared" si="19"/>
        <v>0.17525795327901686</v>
      </c>
      <c r="AA59" s="16">
        <f t="shared" si="20"/>
        <v>0.26873956165051704</v>
      </c>
      <c r="AB59" s="16">
        <f t="shared" si="21"/>
        <v>0.20823647856950447</v>
      </c>
      <c r="AC59" s="16">
        <f t="shared" si="22"/>
        <v>0.15218648546711414</v>
      </c>
      <c r="AD59" s="16">
        <f t="shared" si="14"/>
        <v>0.10248825659948468</v>
      </c>
      <c r="AE59" s="16">
        <f t="shared" si="15"/>
        <v>6.1677465727910226E-2</v>
      </c>
      <c r="AF59" s="16">
        <f t="shared" si="16"/>
        <v>3.1413798706452556E-2</v>
      </c>
      <c r="AG59" s="16">
        <f t="shared" si="23"/>
        <v>0.99999999999999989</v>
      </c>
    </row>
    <row r="60" spans="1:33">
      <c r="A60" s="5">
        <v>2001</v>
      </c>
      <c r="B60" s="3" t="s">
        <v>4</v>
      </c>
      <c r="C60" s="9">
        <v>2555557</v>
      </c>
      <c r="D60" s="9">
        <f t="shared" si="17"/>
        <v>511111.4</v>
      </c>
      <c r="E60" s="9">
        <v>2581618</v>
      </c>
      <c r="F60" s="9">
        <v>2517455</v>
      </c>
      <c r="G60" s="9">
        <v>2296885</v>
      </c>
      <c r="H60" s="9">
        <v>2025842</v>
      </c>
      <c r="I60" s="9">
        <v>1718628</v>
      </c>
      <c r="J60" s="9">
        <v>1468346</v>
      </c>
      <c r="K60" s="9">
        <v>1250514</v>
      </c>
      <c r="L60" s="9">
        <v>1059756</v>
      </c>
      <c r="M60" s="15">
        <v>796562</v>
      </c>
      <c r="N60" s="15">
        <v>629371</v>
      </c>
      <c r="O60" s="15">
        <v>476150</v>
      </c>
      <c r="P60" s="15">
        <v>345099</v>
      </c>
      <c r="Q60" s="15">
        <v>220403</v>
      </c>
      <c r="R60" s="10">
        <f t="shared" si="18"/>
        <v>3092729.4</v>
      </c>
      <c r="S60" s="10">
        <f t="shared" si="7"/>
        <v>4814340</v>
      </c>
      <c r="T60" s="11">
        <f t="shared" si="8"/>
        <v>3744470</v>
      </c>
      <c r="U60" s="10">
        <f t="shared" si="9"/>
        <v>2718860</v>
      </c>
      <c r="V60" s="10">
        <f t="shared" si="10"/>
        <v>1856318</v>
      </c>
      <c r="W60" s="10">
        <f t="shared" si="11"/>
        <v>1105521</v>
      </c>
      <c r="X60" s="10">
        <f t="shared" si="12"/>
        <v>565502</v>
      </c>
      <c r="Y60" s="11">
        <f t="shared" si="13"/>
        <v>17897740.399999999</v>
      </c>
      <c r="Z60" s="16">
        <f t="shared" si="19"/>
        <v>0.1727999921152058</v>
      </c>
      <c r="AA60" s="16">
        <f t="shared" si="20"/>
        <v>0.2689914979435058</v>
      </c>
      <c r="AB60" s="16">
        <f t="shared" si="21"/>
        <v>0.20921467829536741</v>
      </c>
      <c r="AC60" s="16">
        <f t="shared" si="22"/>
        <v>0.15191079651596692</v>
      </c>
      <c r="AD60" s="16">
        <f t="shared" si="14"/>
        <v>0.10371800900632128</v>
      </c>
      <c r="AE60" s="16">
        <f t="shared" si="15"/>
        <v>6.1768747076027544E-2</v>
      </c>
      <c r="AF60" s="16">
        <f t="shared" si="16"/>
        <v>3.1596279047605362E-2</v>
      </c>
      <c r="AG60" s="16">
        <f t="shared" si="23"/>
        <v>1.0000000000000002</v>
      </c>
    </row>
    <row r="61" spans="1:33">
      <c r="A61" s="5">
        <v>2002</v>
      </c>
      <c r="B61" s="3" t="s">
        <v>4</v>
      </c>
      <c r="C61" s="9">
        <v>2559246</v>
      </c>
      <c r="D61" s="9">
        <f t="shared" si="17"/>
        <v>511849.2</v>
      </c>
      <c r="E61" s="9">
        <v>2582620</v>
      </c>
      <c r="F61" s="9">
        <v>2546968</v>
      </c>
      <c r="G61" s="9">
        <v>2348165</v>
      </c>
      <c r="H61" s="9">
        <v>2069938.9999999998</v>
      </c>
      <c r="I61" s="9">
        <v>1759391</v>
      </c>
      <c r="J61" s="9">
        <v>1488894</v>
      </c>
      <c r="K61" s="9">
        <v>1270053</v>
      </c>
      <c r="L61" s="9">
        <v>1077752</v>
      </c>
      <c r="M61" s="15">
        <v>831061</v>
      </c>
      <c r="N61" s="15">
        <v>636945</v>
      </c>
      <c r="O61" s="15">
        <v>488645</v>
      </c>
      <c r="P61" s="15">
        <v>349808</v>
      </c>
      <c r="Q61" s="15">
        <v>226950</v>
      </c>
      <c r="R61" s="10">
        <f t="shared" si="18"/>
        <v>3094469.2</v>
      </c>
      <c r="S61" s="10">
        <f t="shared" si="7"/>
        <v>4895133</v>
      </c>
      <c r="T61" s="11">
        <f t="shared" si="8"/>
        <v>3829330</v>
      </c>
      <c r="U61" s="10">
        <f t="shared" si="9"/>
        <v>2758947</v>
      </c>
      <c r="V61" s="10">
        <f t="shared" si="10"/>
        <v>1908813</v>
      </c>
      <c r="W61" s="10">
        <f t="shared" si="11"/>
        <v>1125590</v>
      </c>
      <c r="X61" s="10">
        <f t="shared" si="12"/>
        <v>576758</v>
      </c>
      <c r="Y61" s="11">
        <f t="shared" si="13"/>
        <v>18189040.199999999</v>
      </c>
      <c r="Z61" s="16">
        <f t="shared" si="19"/>
        <v>0.17012822919595286</v>
      </c>
      <c r="AA61" s="16">
        <f t="shared" si="20"/>
        <v>0.26912541542461377</v>
      </c>
      <c r="AB61" s="16">
        <f t="shared" si="21"/>
        <v>0.21052952535670355</v>
      </c>
      <c r="AC61" s="16">
        <f t="shared" si="22"/>
        <v>0.15168183530651608</v>
      </c>
      <c r="AD61" s="16">
        <f t="shared" si="14"/>
        <v>0.10494303047392242</v>
      </c>
      <c r="AE61" s="16">
        <f t="shared" si="15"/>
        <v>6.1882869443545464E-2</v>
      </c>
      <c r="AF61" s="16">
        <f t="shared" si="16"/>
        <v>3.1709094798745896E-2</v>
      </c>
      <c r="AG61" s="16">
        <f t="shared" si="23"/>
        <v>1</v>
      </c>
    </row>
    <row r="62" spans="1:33">
      <c r="A62" s="5">
        <v>2003</v>
      </c>
      <c r="B62" s="3" t="s">
        <v>4</v>
      </c>
      <c r="C62" s="9">
        <v>2564825</v>
      </c>
      <c r="D62" s="9">
        <f t="shared" si="17"/>
        <v>512965</v>
      </c>
      <c r="E62" s="9">
        <v>2578828</v>
      </c>
      <c r="F62" s="9">
        <v>2570601</v>
      </c>
      <c r="G62" s="9">
        <v>2399680</v>
      </c>
      <c r="H62" s="9">
        <v>2115845</v>
      </c>
      <c r="I62" s="9">
        <v>1804588</v>
      </c>
      <c r="J62" s="9">
        <v>1511189</v>
      </c>
      <c r="K62" s="9">
        <v>1289225</v>
      </c>
      <c r="L62" s="9">
        <v>1092544</v>
      </c>
      <c r="M62" s="15">
        <v>867469</v>
      </c>
      <c r="N62" s="15">
        <v>645231</v>
      </c>
      <c r="O62" s="15">
        <v>502426</v>
      </c>
      <c r="P62" s="15">
        <v>354603</v>
      </c>
      <c r="Q62" s="15">
        <v>233030</v>
      </c>
      <c r="R62" s="10">
        <f t="shared" si="18"/>
        <v>3091793</v>
      </c>
      <c r="S62" s="10">
        <f t="shared" si="7"/>
        <v>4970281</v>
      </c>
      <c r="T62" s="11">
        <f t="shared" si="8"/>
        <v>3920433</v>
      </c>
      <c r="U62" s="10">
        <f t="shared" si="9"/>
        <v>2800414</v>
      </c>
      <c r="V62" s="10">
        <f t="shared" si="10"/>
        <v>1960013</v>
      </c>
      <c r="W62" s="10">
        <f t="shared" si="11"/>
        <v>1147657</v>
      </c>
      <c r="X62" s="10">
        <f t="shared" si="12"/>
        <v>587633</v>
      </c>
      <c r="Y62" s="11">
        <f t="shared" si="13"/>
        <v>18478224</v>
      </c>
      <c r="Z62" s="16">
        <f t="shared" si="19"/>
        <v>0.16732089620734114</v>
      </c>
      <c r="AA62" s="16">
        <f t="shared" si="20"/>
        <v>0.26898044963628537</v>
      </c>
      <c r="AB62" s="16">
        <f t="shared" si="21"/>
        <v>0.21216503274340651</v>
      </c>
      <c r="AC62" s="16">
        <f t="shared" si="22"/>
        <v>0.15155211886163952</v>
      </c>
      <c r="AD62" s="16">
        <f t="shared" si="14"/>
        <v>0.10607150340855269</v>
      </c>
      <c r="AE62" s="16">
        <f t="shared" si="15"/>
        <v>6.2108620395553163E-2</v>
      </c>
      <c r="AF62" s="16">
        <f t="shared" si="16"/>
        <v>3.1801378747221595E-2</v>
      </c>
      <c r="AG62" s="16">
        <f t="shared" si="23"/>
        <v>1</v>
      </c>
    </row>
    <row r="63" spans="1:33">
      <c r="A63" s="5">
        <v>2004</v>
      </c>
      <c r="B63" s="3" t="s">
        <v>4</v>
      </c>
      <c r="C63" s="9">
        <v>2569786</v>
      </c>
      <c r="D63" s="9">
        <f t="shared" si="17"/>
        <v>513957.2</v>
      </c>
      <c r="E63" s="9">
        <v>2572378</v>
      </c>
      <c r="F63" s="9">
        <v>2587254</v>
      </c>
      <c r="G63" s="9">
        <v>2447383</v>
      </c>
      <c r="H63" s="9">
        <v>2164457</v>
      </c>
      <c r="I63" s="9">
        <v>1851680</v>
      </c>
      <c r="J63" s="9">
        <v>1537200</v>
      </c>
      <c r="K63" s="9">
        <v>1307145</v>
      </c>
      <c r="L63" s="9">
        <v>1106952</v>
      </c>
      <c r="M63" s="15">
        <v>899928</v>
      </c>
      <c r="N63" s="15">
        <v>658072</v>
      </c>
      <c r="O63" s="15">
        <v>515452</v>
      </c>
      <c r="P63" s="15">
        <v>360646</v>
      </c>
      <c r="Q63" s="15">
        <v>238257</v>
      </c>
      <c r="R63" s="10">
        <f t="shared" si="18"/>
        <v>3086335.2</v>
      </c>
      <c r="S63" s="10">
        <f t="shared" si="7"/>
        <v>5034637</v>
      </c>
      <c r="T63" s="11">
        <f t="shared" si="8"/>
        <v>4016137</v>
      </c>
      <c r="U63" s="10">
        <f t="shared" si="9"/>
        <v>2844345</v>
      </c>
      <c r="V63" s="10">
        <f t="shared" si="10"/>
        <v>2006880</v>
      </c>
      <c r="W63" s="10">
        <f t="shared" si="11"/>
        <v>1173524</v>
      </c>
      <c r="X63" s="10">
        <f t="shared" si="12"/>
        <v>598903</v>
      </c>
      <c r="Y63" s="11">
        <f t="shared" si="13"/>
        <v>18760761.199999999</v>
      </c>
      <c r="Z63" s="16">
        <f t="shared" si="19"/>
        <v>0.16451012659337086</v>
      </c>
      <c r="AA63" s="16">
        <f t="shared" si="20"/>
        <v>0.2683599533264141</v>
      </c>
      <c r="AB63" s="16">
        <f t="shared" si="21"/>
        <v>0.21407111135767776</v>
      </c>
      <c r="AC63" s="16">
        <f t="shared" si="22"/>
        <v>0.15161138557640189</v>
      </c>
      <c r="AD63" s="16">
        <f t="shared" si="14"/>
        <v>0.10697220537085671</v>
      </c>
      <c r="AE63" s="16">
        <f t="shared" si="15"/>
        <v>6.2552046129130415E-2</v>
      </c>
      <c r="AF63" s="16">
        <f t="shared" si="16"/>
        <v>3.1923171646148343E-2</v>
      </c>
      <c r="AG63" s="16">
        <f t="shared" si="23"/>
        <v>1.0000000000000002</v>
      </c>
    </row>
    <row r="64" spans="1:33">
      <c r="A64" s="5">
        <v>2005</v>
      </c>
      <c r="B64" s="3" t="s">
        <v>4</v>
      </c>
      <c r="C64" s="9">
        <v>2570683</v>
      </c>
      <c r="D64" s="9">
        <f t="shared" si="17"/>
        <v>514136.6</v>
      </c>
      <c r="E64" s="9">
        <v>2565499</v>
      </c>
      <c r="F64" s="9">
        <v>2596517</v>
      </c>
      <c r="G64" s="9">
        <v>2488613</v>
      </c>
      <c r="H64" s="9">
        <v>2215800</v>
      </c>
      <c r="I64" s="9">
        <v>1899279</v>
      </c>
      <c r="J64" s="9">
        <v>1568198</v>
      </c>
      <c r="K64" s="9">
        <v>1324166</v>
      </c>
      <c r="L64" s="9">
        <v>1122009</v>
      </c>
      <c r="M64" s="15">
        <v>925655</v>
      </c>
      <c r="N64" s="15">
        <v>677128</v>
      </c>
      <c r="O64" s="15">
        <v>526663</v>
      </c>
      <c r="P64" s="15">
        <v>368590</v>
      </c>
      <c r="Q64" s="15">
        <v>242587</v>
      </c>
      <c r="R64" s="10">
        <f t="shared" si="18"/>
        <v>3079635.6</v>
      </c>
      <c r="S64" s="10">
        <f t="shared" si="7"/>
        <v>5085130</v>
      </c>
      <c r="T64" s="11">
        <f t="shared" si="8"/>
        <v>4115079</v>
      </c>
      <c r="U64" s="10">
        <f t="shared" si="9"/>
        <v>2892364</v>
      </c>
      <c r="V64" s="10">
        <f t="shared" si="10"/>
        <v>2047664</v>
      </c>
      <c r="W64" s="10">
        <f t="shared" si="11"/>
        <v>1203791</v>
      </c>
      <c r="X64" s="10">
        <f t="shared" si="12"/>
        <v>611177</v>
      </c>
      <c r="Y64" s="11">
        <f t="shared" si="13"/>
        <v>19034840.600000001</v>
      </c>
      <c r="Z64" s="16">
        <f t="shared" si="19"/>
        <v>0.16178940841774109</v>
      </c>
      <c r="AA64" s="16">
        <f t="shared" si="20"/>
        <v>0.26714854654469761</v>
      </c>
      <c r="AB64" s="16">
        <f t="shared" si="21"/>
        <v>0.21618668033395561</v>
      </c>
      <c r="AC64" s="16">
        <f t="shared" si="22"/>
        <v>0.15195104917243171</v>
      </c>
      <c r="AD64" s="16">
        <f t="shared" si="14"/>
        <v>0.10757452836248074</v>
      </c>
      <c r="AE64" s="16">
        <f t="shared" si="15"/>
        <v>6.3241454199516642E-2</v>
      </c>
      <c r="AF64" s="16">
        <f t="shared" si="16"/>
        <v>3.2108332969176527E-2</v>
      </c>
      <c r="AG64" s="16">
        <f t="shared" si="23"/>
        <v>0.99999999999999989</v>
      </c>
    </row>
    <row r="65" spans="1:51">
      <c r="A65" s="5">
        <v>2006</v>
      </c>
      <c r="B65" s="3" t="s">
        <v>4</v>
      </c>
      <c r="C65" s="9">
        <v>2577330</v>
      </c>
      <c r="D65" s="9">
        <f t="shared" si="17"/>
        <v>515466</v>
      </c>
      <c r="E65" s="9">
        <v>2561083</v>
      </c>
      <c r="F65" s="9">
        <v>2599128</v>
      </c>
      <c r="G65" s="9">
        <v>2521676</v>
      </c>
      <c r="H65" s="9">
        <v>2261035</v>
      </c>
      <c r="I65" s="9">
        <v>1936862</v>
      </c>
      <c r="J65" s="9">
        <v>1596194</v>
      </c>
      <c r="K65" s="9">
        <v>1339461</v>
      </c>
      <c r="L65" s="9">
        <v>1134542</v>
      </c>
      <c r="M65" s="15">
        <v>946643</v>
      </c>
      <c r="N65" s="15">
        <v>700403</v>
      </c>
      <c r="O65" s="15">
        <v>533586</v>
      </c>
      <c r="P65" s="15">
        <v>377064</v>
      </c>
      <c r="Q65" s="15">
        <v>247219</v>
      </c>
      <c r="R65" s="10">
        <f t="shared" si="18"/>
        <v>3076549</v>
      </c>
      <c r="S65" s="10">
        <f t="shared" si="7"/>
        <v>5120804</v>
      </c>
      <c r="T65" s="11">
        <f t="shared" si="8"/>
        <v>4197897</v>
      </c>
      <c r="U65" s="10">
        <f t="shared" si="9"/>
        <v>2935655</v>
      </c>
      <c r="V65" s="10">
        <f t="shared" si="10"/>
        <v>2081185</v>
      </c>
      <c r="W65" s="10">
        <f t="shared" si="11"/>
        <v>1233989</v>
      </c>
      <c r="X65" s="10">
        <f t="shared" si="12"/>
        <v>624283</v>
      </c>
      <c r="Y65" s="11">
        <f t="shared" si="13"/>
        <v>19270362</v>
      </c>
      <c r="Z65" s="16">
        <f t="shared" si="19"/>
        <v>0.15965185293353595</v>
      </c>
      <c r="AA65" s="16">
        <f t="shared" si="20"/>
        <v>0.26573470700757984</v>
      </c>
      <c r="AB65" s="16">
        <f t="shared" si="21"/>
        <v>0.21784214536291535</v>
      </c>
      <c r="AC65" s="16">
        <f t="shared" si="22"/>
        <v>0.15234041789147501</v>
      </c>
      <c r="AD65" s="16">
        <f t="shared" si="14"/>
        <v>0.10799926851400093</v>
      </c>
      <c r="AE65" s="16">
        <f t="shared" si="15"/>
        <v>6.4035589990473457E-2</v>
      </c>
      <c r="AF65" s="16">
        <f t="shared" si="16"/>
        <v>3.239601830001948E-2</v>
      </c>
      <c r="AG65" s="16">
        <f t="shared" si="23"/>
        <v>0.99999999999999989</v>
      </c>
    </row>
    <row r="66" spans="1:51">
      <c r="A66" s="5">
        <v>2007</v>
      </c>
      <c r="B66" s="3" t="s">
        <v>4</v>
      </c>
      <c r="C66" s="9">
        <v>2584414</v>
      </c>
      <c r="D66" s="9">
        <f t="shared" ref="D66:D97" si="24">C66/5</f>
        <v>516882.8</v>
      </c>
      <c r="E66" s="9">
        <v>2558306</v>
      </c>
      <c r="F66" s="9">
        <v>2594308</v>
      </c>
      <c r="G66" s="9">
        <v>2549621</v>
      </c>
      <c r="H66" s="9">
        <v>2310313</v>
      </c>
      <c r="I66" s="9">
        <v>1975849</v>
      </c>
      <c r="J66" s="9">
        <v>1628288</v>
      </c>
      <c r="K66" s="9">
        <v>1353302</v>
      </c>
      <c r="L66" s="9">
        <v>1146862</v>
      </c>
      <c r="M66" s="15">
        <v>961938</v>
      </c>
      <c r="N66" s="15">
        <v>729261</v>
      </c>
      <c r="O66" s="15">
        <v>538910</v>
      </c>
      <c r="P66" s="15">
        <v>386969</v>
      </c>
      <c r="Q66" s="15">
        <v>250639</v>
      </c>
      <c r="R66" s="10">
        <f t="shared" ref="R66:R97" si="25">D66+E66</f>
        <v>3075188.8</v>
      </c>
      <c r="S66" s="10">
        <f t="shared" si="7"/>
        <v>5143929</v>
      </c>
      <c r="T66" s="11">
        <f t="shared" si="8"/>
        <v>4286162</v>
      </c>
      <c r="U66" s="10">
        <f t="shared" si="9"/>
        <v>2981590</v>
      </c>
      <c r="V66" s="10">
        <f t="shared" si="10"/>
        <v>2108800</v>
      </c>
      <c r="W66" s="10">
        <f t="shared" si="11"/>
        <v>1268171</v>
      </c>
      <c r="X66" s="10">
        <f t="shared" si="12"/>
        <v>637608</v>
      </c>
      <c r="Y66" s="11">
        <f t="shared" si="13"/>
        <v>19501448.800000001</v>
      </c>
      <c r="Z66" s="16">
        <f t="shared" ref="Z66:Z97" si="26">R66/Y66</f>
        <v>0.15769027376058334</v>
      </c>
      <c r="AA66" s="16">
        <f t="shared" ref="AA66:AA97" si="27">S66/Y66</f>
        <v>0.26377163321322056</v>
      </c>
      <c r="AB66" s="16">
        <f t="shared" ref="AB66:AB97" si="28">T66/Y66</f>
        <v>0.21978684988778885</v>
      </c>
      <c r="AC66" s="16">
        <f t="shared" ref="AC66:AC97" si="29">U66/Y66</f>
        <v>0.15289069189567084</v>
      </c>
      <c r="AD66" s="16">
        <f t="shared" si="14"/>
        <v>0.10813555554908309</v>
      </c>
      <c r="AE66" s="16">
        <f t="shared" si="15"/>
        <v>6.5029578725453466E-2</v>
      </c>
      <c r="AF66" s="16">
        <f t="shared" si="16"/>
        <v>3.2695416968199817E-2</v>
      </c>
      <c r="AG66" s="16">
        <f t="shared" ref="AG66:AG97" si="30">SUM(Z66:AF66)</f>
        <v>0.99999999999999989</v>
      </c>
    </row>
    <row r="67" spans="1:51">
      <c r="A67" s="5">
        <v>2008</v>
      </c>
      <c r="B67" s="3" t="s">
        <v>4</v>
      </c>
      <c r="C67" s="9">
        <v>2592577</v>
      </c>
      <c r="D67" s="9">
        <f t="shared" si="24"/>
        <v>518515.4</v>
      </c>
      <c r="E67" s="9">
        <v>2557928</v>
      </c>
      <c r="F67" s="9">
        <v>2584945</v>
      </c>
      <c r="G67" s="9">
        <v>2572307</v>
      </c>
      <c r="H67" s="9">
        <v>2362377</v>
      </c>
      <c r="I67" s="9">
        <v>2018461</v>
      </c>
      <c r="J67" s="9">
        <v>1664587</v>
      </c>
      <c r="K67" s="9">
        <v>1367150</v>
      </c>
      <c r="L67" s="9">
        <v>1159644</v>
      </c>
      <c r="M67" s="15">
        <v>973184</v>
      </c>
      <c r="N67" s="15">
        <v>760379</v>
      </c>
      <c r="O67" s="15">
        <v>545594</v>
      </c>
      <c r="P67" s="15">
        <v>397428</v>
      </c>
      <c r="Q67" s="15">
        <v>253885</v>
      </c>
      <c r="R67" s="10">
        <f t="shared" si="25"/>
        <v>3076443.4</v>
      </c>
      <c r="S67" s="10">
        <f t="shared" ref="S67:S130" si="31">F67+G67</f>
        <v>5157252</v>
      </c>
      <c r="T67" s="11">
        <f t="shared" ref="T67:T130" si="32">H67+I67</f>
        <v>4380838</v>
      </c>
      <c r="U67" s="10">
        <f t="shared" ref="U67:U130" si="33">J67+K67</f>
        <v>3031737</v>
      </c>
      <c r="V67" s="10">
        <f t="shared" ref="V67:V130" si="34">L67+M67</f>
        <v>2132828</v>
      </c>
      <c r="W67" s="10">
        <f t="shared" ref="W67:W130" si="35">N67+O67</f>
        <v>1305973</v>
      </c>
      <c r="X67" s="10">
        <f t="shared" ref="X67:X130" si="36">P67+Q67</f>
        <v>651313</v>
      </c>
      <c r="Y67" s="11">
        <f t="shared" ref="Y67:Y130" si="37">SUM(D67:Q67)</f>
        <v>19736384.399999999</v>
      </c>
      <c r="Z67" s="16">
        <f t="shared" si="26"/>
        <v>0.15587674711078287</v>
      </c>
      <c r="AA67" s="16">
        <f t="shared" si="27"/>
        <v>0.26130682780985964</v>
      </c>
      <c r="AB67" s="16">
        <f t="shared" si="28"/>
        <v>0.22196760618424113</v>
      </c>
      <c r="AC67" s="16">
        <f t="shared" si="29"/>
        <v>0.15361157031376022</v>
      </c>
      <c r="AD67" s="16">
        <f t="shared" ref="AD67:AD130" si="38">V67/Y67</f>
        <v>0.10806579142226275</v>
      </c>
      <c r="AE67" s="16">
        <f t="shared" ref="AE67:AE130" si="39">W67/Y67</f>
        <v>6.6170833194756792E-2</v>
      </c>
      <c r="AF67" s="16">
        <f t="shared" ref="AF67:AF130" si="40">X67/Y67</f>
        <v>3.3000623964336652E-2</v>
      </c>
      <c r="AG67" s="16">
        <f t="shared" si="30"/>
        <v>1</v>
      </c>
    </row>
    <row r="68" spans="1:51">
      <c r="A68" s="5">
        <v>2009</v>
      </c>
      <c r="B68" s="3" t="s">
        <v>4</v>
      </c>
      <c r="C68" s="9">
        <v>2602521</v>
      </c>
      <c r="D68" s="9">
        <f t="shared" si="24"/>
        <v>520504.2</v>
      </c>
      <c r="E68" s="9">
        <v>2560156</v>
      </c>
      <c r="F68" s="9">
        <v>2575935</v>
      </c>
      <c r="G68" s="9">
        <v>2590389</v>
      </c>
      <c r="H68" s="9">
        <v>2414751</v>
      </c>
      <c r="I68" s="9">
        <v>2067371.9999999998</v>
      </c>
      <c r="J68" s="9">
        <v>1704716</v>
      </c>
      <c r="K68" s="9">
        <v>1384099</v>
      </c>
      <c r="L68" s="9">
        <v>1172917</v>
      </c>
      <c r="M68" s="15">
        <v>983390</v>
      </c>
      <c r="N68" s="15">
        <v>789179</v>
      </c>
      <c r="O68" s="15">
        <v>557375</v>
      </c>
      <c r="P68" s="15">
        <v>407301</v>
      </c>
      <c r="Q68" s="15">
        <v>258083.00000000003</v>
      </c>
      <c r="R68" s="10">
        <f t="shared" si="25"/>
        <v>3080660.2</v>
      </c>
      <c r="S68" s="10">
        <f t="shared" si="31"/>
        <v>5166324</v>
      </c>
      <c r="T68" s="11">
        <f t="shared" si="32"/>
        <v>4482123</v>
      </c>
      <c r="U68" s="10">
        <f t="shared" si="33"/>
        <v>3088815</v>
      </c>
      <c r="V68" s="10">
        <f t="shared" si="34"/>
        <v>2156307</v>
      </c>
      <c r="W68" s="10">
        <f t="shared" si="35"/>
        <v>1346554</v>
      </c>
      <c r="X68" s="10">
        <f t="shared" si="36"/>
        <v>665384</v>
      </c>
      <c r="Y68" s="11">
        <f t="shared" si="37"/>
        <v>19986167.199999999</v>
      </c>
      <c r="Z68" s="16">
        <f t="shared" si="26"/>
        <v>0.15413961912617244</v>
      </c>
      <c r="AA68" s="16">
        <f t="shared" si="27"/>
        <v>0.2584949854717517</v>
      </c>
      <c r="AB68" s="16">
        <f t="shared" si="28"/>
        <v>0.22426125805652222</v>
      </c>
      <c r="AC68" s="16">
        <f t="shared" si="29"/>
        <v>0.15454764133064994</v>
      </c>
      <c r="AD68" s="16">
        <f t="shared" si="38"/>
        <v>0.10788997101955597</v>
      </c>
      <c r="AE68" s="16">
        <f t="shared" si="39"/>
        <v>6.7374298759994358E-2</v>
      </c>
      <c r="AF68" s="16">
        <f t="shared" si="40"/>
        <v>3.3292226235353418E-2</v>
      </c>
      <c r="AG68" s="16">
        <f t="shared" si="30"/>
        <v>1</v>
      </c>
    </row>
    <row r="69" spans="1:51">
      <c r="A69" s="5">
        <v>2010</v>
      </c>
      <c r="B69" s="3" t="s">
        <v>4</v>
      </c>
      <c r="C69" s="9">
        <v>2614154</v>
      </c>
      <c r="D69" s="9">
        <f t="shared" si="24"/>
        <v>522830.8</v>
      </c>
      <c r="E69" s="9">
        <v>2564894</v>
      </c>
      <c r="F69" s="9">
        <v>2570744</v>
      </c>
      <c r="G69" s="9">
        <v>2604351</v>
      </c>
      <c r="H69" s="9">
        <v>2465117</v>
      </c>
      <c r="I69" s="9">
        <v>2123847</v>
      </c>
      <c r="J69" s="9">
        <v>1748870</v>
      </c>
      <c r="K69" s="9">
        <v>1406817</v>
      </c>
      <c r="L69" s="9">
        <v>1186289</v>
      </c>
      <c r="M69" s="15">
        <v>994649</v>
      </c>
      <c r="N69" s="15">
        <v>813063</v>
      </c>
      <c r="O69" s="15">
        <v>575775</v>
      </c>
      <c r="P69" s="15">
        <v>416418</v>
      </c>
      <c r="Q69" s="15">
        <v>263764</v>
      </c>
      <c r="R69" s="10">
        <f t="shared" si="25"/>
        <v>3087724.8</v>
      </c>
      <c r="S69" s="10">
        <f t="shared" si="31"/>
        <v>5175095</v>
      </c>
      <c r="T69" s="11">
        <f t="shared" si="32"/>
        <v>4588964</v>
      </c>
      <c r="U69" s="10">
        <f t="shared" si="33"/>
        <v>3155687</v>
      </c>
      <c r="V69" s="10">
        <f t="shared" si="34"/>
        <v>2180938</v>
      </c>
      <c r="W69" s="10">
        <f t="shared" si="35"/>
        <v>1388838</v>
      </c>
      <c r="X69" s="10">
        <f t="shared" si="36"/>
        <v>680182</v>
      </c>
      <c r="Y69" s="11">
        <f t="shared" si="37"/>
        <v>20257428.800000001</v>
      </c>
      <c r="Z69" s="16">
        <f t="shared" si="26"/>
        <v>0.15242431951679869</v>
      </c>
      <c r="AA69" s="16">
        <f t="shared" si="27"/>
        <v>0.25546652791394731</v>
      </c>
      <c r="AB69" s="16">
        <f t="shared" si="28"/>
        <v>0.22653240178240192</v>
      </c>
      <c r="AC69" s="16">
        <f t="shared" si="29"/>
        <v>0.15577924677192989</v>
      </c>
      <c r="AD69" s="16">
        <f t="shared" si="38"/>
        <v>0.1076611460186892</v>
      </c>
      <c r="AE69" s="16">
        <f t="shared" si="39"/>
        <v>6.8559441265319904E-2</v>
      </c>
      <c r="AF69" s="16">
        <f t="shared" si="40"/>
        <v>3.3576916730913058E-2</v>
      </c>
      <c r="AG69" s="16">
        <f t="shared" si="30"/>
        <v>0.99999999999999978</v>
      </c>
    </row>
    <row r="70" spans="1:51">
      <c r="A70" s="5">
        <v>2011</v>
      </c>
      <c r="B70" s="3" t="s">
        <v>4</v>
      </c>
      <c r="C70" s="9">
        <v>2627356</v>
      </c>
      <c r="D70" s="9">
        <f t="shared" si="24"/>
        <v>525471.19999999995</v>
      </c>
      <c r="E70" s="9">
        <v>2570806</v>
      </c>
      <c r="F70" s="9">
        <v>2568944</v>
      </c>
      <c r="G70" s="9">
        <v>2606579</v>
      </c>
      <c r="H70" s="9">
        <v>2498355</v>
      </c>
      <c r="I70" s="9">
        <v>2173061</v>
      </c>
      <c r="J70" s="9">
        <v>1797250</v>
      </c>
      <c r="K70" s="9">
        <v>1448086</v>
      </c>
      <c r="L70" s="9">
        <v>1209824</v>
      </c>
      <c r="M70" s="15">
        <v>1015446</v>
      </c>
      <c r="N70" s="15">
        <v>835917</v>
      </c>
      <c r="O70" s="15">
        <v>598784</v>
      </c>
      <c r="P70" s="15">
        <v>424747</v>
      </c>
      <c r="Q70" s="15">
        <v>271918</v>
      </c>
      <c r="R70" s="10">
        <f t="shared" si="25"/>
        <v>3096277.2</v>
      </c>
      <c r="S70" s="10">
        <f t="shared" si="31"/>
        <v>5175523</v>
      </c>
      <c r="T70" s="11">
        <f t="shared" si="32"/>
        <v>4671416</v>
      </c>
      <c r="U70" s="10">
        <f t="shared" si="33"/>
        <v>3245336</v>
      </c>
      <c r="V70" s="10">
        <f t="shared" si="34"/>
        <v>2225270</v>
      </c>
      <c r="W70" s="10">
        <f t="shared" si="35"/>
        <v>1434701</v>
      </c>
      <c r="X70" s="10">
        <f t="shared" si="36"/>
        <v>696665</v>
      </c>
      <c r="Y70" s="11">
        <f t="shared" si="37"/>
        <v>20545188.199999999</v>
      </c>
      <c r="Z70" s="16">
        <f t="shared" si="26"/>
        <v>0.15070571122828655</v>
      </c>
      <c r="AA70" s="16">
        <f t="shared" si="27"/>
        <v>0.25190925240587481</v>
      </c>
      <c r="AB70" s="16">
        <f t="shared" si="28"/>
        <v>0.22737275290571446</v>
      </c>
      <c r="AC70" s="16">
        <f t="shared" si="29"/>
        <v>0.15796087961851818</v>
      </c>
      <c r="AD70" s="16">
        <f t="shared" si="38"/>
        <v>0.10831100588311963</v>
      </c>
      <c r="AE70" s="16">
        <f t="shared" si="39"/>
        <v>6.9831484921612938E-2</v>
      </c>
      <c r="AF70" s="16">
        <f t="shared" si="40"/>
        <v>3.3908913036873524E-2</v>
      </c>
      <c r="AG70" s="16">
        <f t="shared" si="30"/>
        <v>1.0000000000000002</v>
      </c>
    </row>
    <row r="71" spans="1:51">
      <c r="A71" s="5">
        <v>2012</v>
      </c>
      <c r="B71" s="3" t="s">
        <v>4</v>
      </c>
      <c r="C71" s="9">
        <v>2644720</v>
      </c>
      <c r="D71" s="9">
        <f t="shared" si="24"/>
        <v>528944</v>
      </c>
      <c r="E71" s="9">
        <v>2578751</v>
      </c>
      <c r="F71" s="9">
        <v>2572032</v>
      </c>
      <c r="G71" s="9">
        <v>2606447</v>
      </c>
      <c r="H71" s="9">
        <v>2530034</v>
      </c>
      <c r="I71" s="9">
        <v>2227862</v>
      </c>
      <c r="J71" s="9">
        <v>1845019</v>
      </c>
      <c r="K71" s="9">
        <v>1493652</v>
      </c>
      <c r="L71" s="9">
        <v>1234887</v>
      </c>
      <c r="M71" s="15">
        <v>1038560</v>
      </c>
      <c r="N71" s="15">
        <v>856728</v>
      </c>
      <c r="O71" s="15">
        <v>628162</v>
      </c>
      <c r="P71" s="15">
        <v>432550</v>
      </c>
      <c r="Q71" s="15">
        <v>281267</v>
      </c>
      <c r="R71" s="10">
        <f t="shared" si="25"/>
        <v>3107695</v>
      </c>
      <c r="S71" s="10">
        <f t="shared" si="31"/>
        <v>5178479</v>
      </c>
      <c r="T71" s="11">
        <f t="shared" si="32"/>
        <v>4757896</v>
      </c>
      <c r="U71" s="10">
        <f t="shared" si="33"/>
        <v>3338671</v>
      </c>
      <c r="V71" s="10">
        <f t="shared" si="34"/>
        <v>2273447</v>
      </c>
      <c r="W71" s="10">
        <f t="shared" si="35"/>
        <v>1484890</v>
      </c>
      <c r="X71" s="10">
        <f t="shared" si="36"/>
        <v>713817</v>
      </c>
      <c r="Y71" s="11">
        <f t="shared" si="37"/>
        <v>20854895</v>
      </c>
      <c r="Z71" s="16">
        <f t="shared" si="26"/>
        <v>0.1490151352955745</v>
      </c>
      <c r="AA71" s="16">
        <f t="shared" si="27"/>
        <v>0.24831000108128093</v>
      </c>
      <c r="AB71" s="16">
        <f t="shared" si="28"/>
        <v>0.22814288923535697</v>
      </c>
      <c r="AC71" s="16">
        <f t="shared" si="29"/>
        <v>0.16009052071468113</v>
      </c>
      <c r="AD71" s="16">
        <f t="shared" si="38"/>
        <v>0.10901263228608919</v>
      </c>
      <c r="AE71" s="16">
        <f t="shared" si="39"/>
        <v>7.1201029782216596E-2</v>
      </c>
      <c r="AF71" s="16">
        <f t="shared" si="40"/>
        <v>3.4227791604800696E-2</v>
      </c>
      <c r="AG71" s="16">
        <f t="shared" si="30"/>
        <v>0.99999999999999989</v>
      </c>
    </row>
    <row r="72" spans="1:51">
      <c r="A72" s="5">
        <v>2013</v>
      </c>
      <c r="B72" s="3" t="s">
        <v>4</v>
      </c>
      <c r="C72" s="9">
        <v>2665625</v>
      </c>
      <c r="D72" s="9">
        <f t="shared" si="24"/>
        <v>533125</v>
      </c>
      <c r="E72" s="9">
        <v>2587630</v>
      </c>
      <c r="F72" s="9">
        <v>2577658</v>
      </c>
      <c r="G72" s="9">
        <v>2604884</v>
      </c>
      <c r="H72" s="9">
        <v>2558836</v>
      </c>
      <c r="I72" s="9">
        <v>2286479</v>
      </c>
      <c r="J72" s="9">
        <v>1892736</v>
      </c>
      <c r="K72" s="9">
        <v>1540886</v>
      </c>
      <c r="L72" s="9">
        <v>1262698</v>
      </c>
      <c r="M72" s="15">
        <v>1062838</v>
      </c>
      <c r="N72" s="15">
        <v>876655</v>
      </c>
      <c r="O72" s="15">
        <v>661033</v>
      </c>
      <c r="P72" s="15">
        <v>441967</v>
      </c>
      <c r="Q72" s="15">
        <v>291174</v>
      </c>
      <c r="R72" s="10">
        <f t="shared" si="25"/>
        <v>3120755</v>
      </c>
      <c r="S72" s="10">
        <f t="shared" si="31"/>
        <v>5182542</v>
      </c>
      <c r="T72" s="11">
        <f t="shared" si="32"/>
        <v>4845315</v>
      </c>
      <c r="U72" s="10">
        <f t="shared" si="33"/>
        <v>3433622</v>
      </c>
      <c r="V72" s="10">
        <f t="shared" si="34"/>
        <v>2325536</v>
      </c>
      <c r="W72" s="10">
        <f t="shared" si="35"/>
        <v>1537688</v>
      </c>
      <c r="X72" s="10">
        <f t="shared" si="36"/>
        <v>733141</v>
      </c>
      <c r="Y72" s="11">
        <f t="shared" si="37"/>
        <v>21178599</v>
      </c>
      <c r="Z72" s="16">
        <f t="shared" si="26"/>
        <v>0.14735417578849291</v>
      </c>
      <c r="AA72" s="16">
        <f t="shared" si="27"/>
        <v>0.24470655495200602</v>
      </c>
      <c r="AB72" s="16">
        <f t="shared" si="28"/>
        <v>0.22878354701366224</v>
      </c>
      <c r="AC72" s="16">
        <f t="shared" si="29"/>
        <v>0.16212696599997006</v>
      </c>
      <c r="AD72" s="16">
        <f t="shared" si="38"/>
        <v>0.10980594136562102</v>
      </c>
      <c r="AE72" s="16">
        <f t="shared" si="39"/>
        <v>7.2605746961826895E-2</v>
      </c>
      <c r="AF72" s="16">
        <f t="shared" si="40"/>
        <v>3.4617067918420855E-2</v>
      </c>
      <c r="AG72" s="16">
        <f t="shared" si="30"/>
        <v>1</v>
      </c>
    </row>
    <row r="73" spans="1:51">
      <c r="A73" s="5">
        <v>2014</v>
      </c>
      <c r="B73" s="3" t="s">
        <v>4</v>
      </c>
      <c r="C73" s="9">
        <v>2688436</v>
      </c>
      <c r="D73" s="9">
        <f t="shared" si="24"/>
        <v>537687.19999999995</v>
      </c>
      <c r="E73" s="9">
        <v>2596924</v>
      </c>
      <c r="F73" s="9">
        <v>2583005</v>
      </c>
      <c r="G73" s="9">
        <v>2603811</v>
      </c>
      <c r="H73" s="9">
        <v>2583500</v>
      </c>
      <c r="I73" s="9">
        <v>2344439</v>
      </c>
      <c r="J73" s="9">
        <v>1942132</v>
      </c>
      <c r="K73" s="9">
        <v>1587211</v>
      </c>
      <c r="L73" s="9">
        <v>1294186</v>
      </c>
      <c r="M73" s="15">
        <v>1087166</v>
      </c>
      <c r="N73" s="15">
        <v>897353</v>
      </c>
      <c r="O73" s="15">
        <v>693144</v>
      </c>
      <c r="P73" s="15">
        <v>455859</v>
      </c>
      <c r="Q73" s="15">
        <v>300648</v>
      </c>
      <c r="R73" s="10">
        <f t="shared" si="25"/>
        <v>3134611.2</v>
      </c>
      <c r="S73" s="10">
        <f t="shared" si="31"/>
        <v>5186816</v>
      </c>
      <c r="T73" s="11">
        <f t="shared" si="32"/>
        <v>4927939</v>
      </c>
      <c r="U73" s="10">
        <f t="shared" si="33"/>
        <v>3529343</v>
      </c>
      <c r="V73" s="10">
        <f t="shared" si="34"/>
        <v>2381352</v>
      </c>
      <c r="W73" s="10">
        <f t="shared" si="35"/>
        <v>1590497</v>
      </c>
      <c r="X73" s="10">
        <f t="shared" si="36"/>
        <v>756507</v>
      </c>
      <c r="Y73" s="11">
        <f t="shared" si="37"/>
        <v>21507065.199999999</v>
      </c>
      <c r="Z73" s="16">
        <f t="shared" si="26"/>
        <v>0.1457479749491809</v>
      </c>
      <c r="AA73" s="16">
        <f t="shared" si="27"/>
        <v>0.24116800464249302</v>
      </c>
      <c r="AB73" s="16">
        <f t="shared" si="28"/>
        <v>0.22913116941682959</v>
      </c>
      <c r="AC73" s="16">
        <f t="shared" si="29"/>
        <v>0.16410156230892908</v>
      </c>
      <c r="AD73" s="16">
        <f t="shared" si="38"/>
        <v>0.11072417263141975</v>
      </c>
      <c r="AE73" s="16">
        <f t="shared" si="39"/>
        <v>7.3952302892539706E-2</v>
      </c>
      <c r="AF73" s="16">
        <f t="shared" si="40"/>
        <v>3.5174813158607994E-2</v>
      </c>
      <c r="AG73" s="16">
        <f t="shared" si="30"/>
        <v>1</v>
      </c>
    </row>
    <row r="74" spans="1:51">
      <c r="A74" s="5">
        <v>2015</v>
      </c>
      <c r="B74" s="3" t="s">
        <v>4</v>
      </c>
      <c r="C74" s="9">
        <v>2711274</v>
      </c>
      <c r="D74" s="9">
        <f t="shared" si="24"/>
        <v>542254.80000000005</v>
      </c>
      <c r="E74" s="9">
        <v>2606894</v>
      </c>
      <c r="F74" s="9">
        <v>2586423</v>
      </c>
      <c r="G74" s="9">
        <v>2604059</v>
      </c>
      <c r="H74" s="9">
        <v>2603137</v>
      </c>
      <c r="I74" s="9">
        <v>2397915</v>
      </c>
      <c r="J74" s="9">
        <v>1994994</v>
      </c>
      <c r="K74" s="9">
        <v>1631635</v>
      </c>
      <c r="L74" s="9">
        <v>1328806</v>
      </c>
      <c r="M74" s="15">
        <v>1111316</v>
      </c>
      <c r="N74" s="15">
        <v>919423</v>
      </c>
      <c r="O74" s="15">
        <v>722044</v>
      </c>
      <c r="P74" s="15">
        <v>475608</v>
      </c>
      <c r="Q74" s="15">
        <v>309436</v>
      </c>
      <c r="R74" s="10">
        <f t="shared" si="25"/>
        <v>3149148.8</v>
      </c>
      <c r="S74" s="10">
        <f t="shared" si="31"/>
        <v>5190482</v>
      </c>
      <c r="T74" s="11">
        <f t="shared" si="32"/>
        <v>5001052</v>
      </c>
      <c r="U74" s="10">
        <f t="shared" si="33"/>
        <v>3626629</v>
      </c>
      <c r="V74" s="10">
        <f t="shared" si="34"/>
        <v>2440122</v>
      </c>
      <c r="W74" s="10">
        <f t="shared" si="35"/>
        <v>1641467</v>
      </c>
      <c r="X74" s="10">
        <f t="shared" si="36"/>
        <v>785044</v>
      </c>
      <c r="Y74" s="11">
        <f t="shared" si="37"/>
        <v>21833944.800000001</v>
      </c>
      <c r="Z74" s="16">
        <f t="shared" si="26"/>
        <v>0.14423178353001972</v>
      </c>
      <c r="AA74" s="16">
        <f t="shared" si="27"/>
        <v>0.23772534223865949</v>
      </c>
      <c r="AB74" s="16">
        <f t="shared" si="28"/>
        <v>0.2290494020118618</v>
      </c>
      <c r="AC74" s="16">
        <f t="shared" si="29"/>
        <v>0.16610049321000389</v>
      </c>
      <c r="AD74" s="16">
        <f t="shared" si="38"/>
        <v>0.11175818306548067</v>
      </c>
      <c r="AE74" s="16">
        <f t="shared" si="39"/>
        <v>7.5179589168879818E-2</v>
      </c>
      <c r="AF74" s="16">
        <f t="shared" si="40"/>
        <v>3.5955206775094527E-2</v>
      </c>
      <c r="AG74" s="16">
        <f t="shared" si="30"/>
        <v>0.99999999999999989</v>
      </c>
    </row>
    <row r="75" spans="1:51">
      <c r="A75" s="5">
        <v>2016</v>
      </c>
      <c r="B75" s="3" t="s">
        <v>4</v>
      </c>
      <c r="C75" s="9">
        <v>2738126</v>
      </c>
      <c r="D75" s="9">
        <f t="shared" si="24"/>
        <v>547625.19999999995</v>
      </c>
      <c r="E75" s="9">
        <v>2620337</v>
      </c>
      <c r="F75" s="9">
        <v>2586343</v>
      </c>
      <c r="G75" s="9">
        <v>2598509</v>
      </c>
      <c r="H75" s="9">
        <v>2611492</v>
      </c>
      <c r="I75" s="9">
        <v>2446921</v>
      </c>
      <c r="J75" s="9">
        <v>2061016</v>
      </c>
      <c r="K75" s="9">
        <v>1680471</v>
      </c>
      <c r="L75" s="9">
        <v>1361448</v>
      </c>
      <c r="M75" s="15">
        <v>1129026</v>
      </c>
      <c r="N75" s="15">
        <v>932560</v>
      </c>
      <c r="O75" s="15">
        <v>738359</v>
      </c>
      <c r="P75" s="15">
        <v>494525</v>
      </c>
      <c r="Q75" s="15">
        <v>316717</v>
      </c>
      <c r="R75" s="10">
        <f t="shared" si="25"/>
        <v>3167962.2</v>
      </c>
      <c r="S75" s="10">
        <f t="shared" si="31"/>
        <v>5184852</v>
      </c>
      <c r="T75" s="11">
        <f t="shared" si="32"/>
        <v>5058413</v>
      </c>
      <c r="U75" s="10">
        <f t="shared" si="33"/>
        <v>3741487</v>
      </c>
      <c r="V75" s="10">
        <f t="shared" si="34"/>
        <v>2490474</v>
      </c>
      <c r="W75" s="10">
        <f t="shared" si="35"/>
        <v>1670919</v>
      </c>
      <c r="X75" s="10">
        <f t="shared" si="36"/>
        <v>811242</v>
      </c>
      <c r="Y75" s="11">
        <f t="shared" si="37"/>
        <v>22125349.199999999</v>
      </c>
      <c r="Z75" s="16">
        <f t="shared" si="26"/>
        <v>0.14318247234714832</v>
      </c>
      <c r="AA75" s="16">
        <f t="shared" si="27"/>
        <v>0.23433989462186658</v>
      </c>
      <c r="AB75" s="16">
        <f t="shared" si="28"/>
        <v>0.22862522775459743</v>
      </c>
      <c r="AC75" s="16">
        <f t="shared" si="29"/>
        <v>0.16910408808372615</v>
      </c>
      <c r="AD75" s="16">
        <f t="shared" si="38"/>
        <v>0.11256202003808374</v>
      </c>
      <c r="AE75" s="16">
        <f t="shared" si="39"/>
        <v>7.5520570766855963E-2</v>
      </c>
      <c r="AF75" s="16">
        <f t="shared" si="40"/>
        <v>3.666572638772183E-2</v>
      </c>
      <c r="AG75" s="16">
        <f t="shared" si="30"/>
        <v>1</v>
      </c>
    </row>
    <row r="76" spans="1:51">
      <c r="A76" s="2">
        <v>2017</v>
      </c>
      <c r="B76" s="3" t="s">
        <v>4</v>
      </c>
      <c r="C76" s="9">
        <v>2767111</v>
      </c>
      <c r="D76" s="9">
        <f t="shared" si="24"/>
        <v>553422.19999999995</v>
      </c>
      <c r="E76" s="9">
        <v>2636981</v>
      </c>
      <c r="F76" s="9">
        <v>2587023</v>
      </c>
      <c r="G76" s="9">
        <v>2594656</v>
      </c>
      <c r="H76" s="9">
        <v>2612453</v>
      </c>
      <c r="I76" s="9">
        <v>2488823</v>
      </c>
      <c r="J76" s="9">
        <v>2131687</v>
      </c>
      <c r="K76" s="9">
        <v>1731088</v>
      </c>
      <c r="L76" s="9">
        <v>1398602</v>
      </c>
      <c r="M76" s="15">
        <v>1147992</v>
      </c>
      <c r="N76" s="15">
        <v>947123</v>
      </c>
      <c r="O76" s="15">
        <v>751941</v>
      </c>
      <c r="P76" s="15">
        <v>516950.00000000006</v>
      </c>
      <c r="Q76" s="15">
        <v>322226</v>
      </c>
      <c r="R76" s="10">
        <f t="shared" si="25"/>
        <v>3190403.2</v>
      </c>
      <c r="S76" s="10">
        <f t="shared" si="31"/>
        <v>5181679</v>
      </c>
      <c r="T76" s="11">
        <f t="shared" si="32"/>
        <v>5101276</v>
      </c>
      <c r="U76" s="10">
        <f t="shared" si="33"/>
        <v>3862775</v>
      </c>
      <c r="V76" s="10">
        <f t="shared" si="34"/>
        <v>2546594</v>
      </c>
      <c r="W76" s="10">
        <f t="shared" si="35"/>
        <v>1699064</v>
      </c>
      <c r="X76" s="10">
        <f t="shared" si="36"/>
        <v>839176</v>
      </c>
      <c r="Y76" s="11">
        <f t="shared" si="37"/>
        <v>22420967.199999999</v>
      </c>
      <c r="Z76" s="16">
        <f t="shared" si="26"/>
        <v>0.14229552059645315</v>
      </c>
      <c r="AA76" s="16">
        <f t="shared" si="27"/>
        <v>0.2311086294261204</v>
      </c>
      <c r="AB76" s="16">
        <f t="shared" si="28"/>
        <v>0.22752256646626734</v>
      </c>
      <c r="AC76" s="16">
        <f t="shared" si="29"/>
        <v>0.17228404847762321</v>
      </c>
      <c r="AD76" s="16">
        <f t="shared" si="38"/>
        <v>0.11358091634869347</v>
      </c>
      <c r="AE76" s="16">
        <f t="shared" si="39"/>
        <v>7.5780138512490228E-2</v>
      </c>
      <c r="AF76" s="16">
        <f t="shared" si="40"/>
        <v>3.7428180172352242E-2</v>
      </c>
      <c r="AG76" s="16">
        <f t="shared" si="30"/>
        <v>1</v>
      </c>
    </row>
    <row r="77" spans="1:51">
      <c r="A77" s="2">
        <v>2018</v>
      </c>
      <c r="B77" s="3" t="s">
        <v>4</v>
      </c>
      <c r="C77" s="9">
        <v>2796895</v>
      </c>
      <c r="D77" s="9">
        <f t="shared" si="24"/>
        <v>559379</v>
      </c>
      <c r="E77" s="9">
        <v>2656167</v>
      </c>
      <c r="F77" s="9">
        <v>2588737</v>
      </c>
      <c r="G77" s="9">
        <v>2591883</v>
      </c>
      <c r="H77" s="9">
        <v>2608156</v>
      </c>
      <c r="I77" s="9">
        <v>2523300</v>
      </c>
      <c r="J77" s="9">
        <v>2203393</v>
      </c>
      <c r="K77" s="9">
        <v>1784365</v>
      </c>
      <c r="L77" s="9">
        <v>1439684</v>
      </c>
      <c r="M77" s="15">
        <v>1168908</v>
      </c>
      <c r="N77" s="15">
        <v>962921</v>
      </c>
      <c r="O77" s="15">
        <v>764330</v>
      </c>
      <c r="P77" s="15">
        <v>540509</v>
      </c>
      <c r="Q77" s="15">
        <v>327917</v>
      </c>
      <c r="R77" s="10">
        <f t="shared" si="25"/>
        <v>3215546</v>
      </c>
      <c r="S77" s="10">
        <f t="shared" si="31"/>
        <v>5180620</v>
      </c>
      <c r="T77" s="11">
        <f t="shared" si="32"/>
        <v>5131456</v>
      </c>
      <c r="U77" s="10">
        <f t="shared" si="33"/>
        <v>3987758</v>
      </c>
      <c r="V77" s="10">
        <f t="shared" si="34"/>
        <v>2608592</v>
      </c>
      <c r="W77" s="10">
        <f t="shared" si="35"/>
        <v>1727251</v>
      </c>
      <c r="X77" s="10">
        <f t="shared" si="36"/>
        <v>868426</v>
      </c>
      <c r="Y77" s="11">
        <f t="shared" si="37"/>
        <v>22719649</v>
      </c>
      <c r="Z77" s="16">
        <f t="shared" si="26"/>
        <v>0.14153149989244992</v>
      </c>
      <c r="AA77" s="16">
        <f t="shared" si="27"/>
        <v>0.22802376920523729</v>
      </c>
      <c r="AB77" s="16">
        <f t="shared" si="28"/>
        <v>0.22585982732391685</v>
      </c>
      <c r="AC77" s="16">
        <f t="shared" si="29"/>
        <v>0.17552022920776636</v>
      </c>
      <c r="AD77" s="16">
        <f t="shared" si="38"/>
        <v>0.1148165625270003</v>
      </c>
      <c r="AE77" s="16">
        <f t="shared" si="39"/>
        <v>7.6024545977800978E-2</v>
      </c>
      <c r="AF77" s="16">
        <f t="shared" si="40"/>
        <v>3.8223565865828299E-2</v>
      </c>
      <c r="AG77" s="16">
        <f t="shared" si="30"/>
        <v>1</v>
      </c>
      <c r="AH77" s="13"/>
      <c r="AI77" s="13"/>
      <c r="AJ77" s="13"/>
      <c r="AK77" s="13"/>
      <c r="AL77" s="13"/>
      <c r="AM77" s="13"/>
      <c r="AN77" s="13"/>
      <c r="AO77" s="13"/>
      <c r="AP77" s="13"/>
      <c r="AQ77" s="13"/>
      <c r="AR77" s="13"/>
      <c r="AS77" s="13"/>
      <c r="AT77" s="13"/>
      <c r="AU77" s="13"/>
      <c r="AV77" s="13"/>
      <c r="AW77" s="13"/>
      <c r="AX77" s="13"/>
      <c r="AY77" s="13"/>
    </row>
    <row r="78" spans="1:51">
      <c r="A78" s="5">
        <v>2019</v>
      </c>
      <c r="B78" s="3" t="s">
        <v>4</v>
      </c>
      <c r="C78" s="9">
        <v>2824417</v>
      </c>
      <c r="D78" s="9">
        <f t="shared" si="24"/>
        <v>564883.4</v>
      </c>
      <c r="E78" s="9">
        <v>2677450</v>
      </c>
      <c r="F78" s="9">
        <v>2592364</v>
      </c>
      <c r="G78" s="9">
        <v>2589017</v>
      </c>
      <c r="H78" s="9">
        <v>2601977</v>
      </c>
      <c r="I78" s="9">
        <v>2550222</v>
      </c>
      <c r="J78" s="9">
        <v>2270790</v>
      </c>
      <c r="K78" s="9">
        <v>1841976</v>
      </c>
      <c r="L78" s="9">
        <v>1483703</v>
      </c>
      <c r="M78" s="15">
        <v>1193003</v>
      </c>
      <c r="N78" s="15">
        <v>979613</v>
      </c>
      <c r="O78" s="15">
        <v>777279</v>
      </c>
      <c r="P78" s="15">
        <v>562110</v>
      </c>
      <c r="Q78" s="15">
        <v>336190</v>
      </c>
      <c r="R78" s="10">
        <f t="shared" si="25"/>
        <v>3242333.4</v>
      </c>
      <c r="S78" s="10">
        <f t="shared" si="31"/>
        <v>5181381</v>
      </c>
      <c r="T78" s="11">
        <f t="shared" si="32"/>
        <v>5152199</v>
      </c>
      <c r="U78" s="10">
        <f t="shared" si="33"/>
        <v>4112766</v>
      </c>
      <c r="V78" s="10">
        <f t="shared" si="34"/>
        <v>2676706</v>
      </c>
      <c r="W78" s="10">
        <f t="shared" si="35"/>
        <v>1756892</v>
      </c>
      <c r="X78" s="10">
        <f t="shared" si="36"/>
        <v>898300</v>
      </c>
      <c r="Y78" s="11">
        <f t="shared" si="37"/>
        <v>23020577.399999999</v>
      </c>
      <c r="Z78" s="16">
        <f t="shared" si="26"/>
        <v>0.14084500764954749</v>
      </c>
      <c r="AA78" s="16">
        <f t="shared" si="27"/>
        <v>0.22507606607643127</v>
      </c>
      <c r="AB78" s="16">
        <f t="shared" si="28"/>
        <v>0.22380841759425202</v>
      </c>
      <c r="AC78" s="16">
        <f t="shared" si="29"/>
        <v>0.17865607489063243</v>
      </c>
      <c r="AD78" s="16">
        <f t="shared" si="38"/>
        <v>0.11627449448770126</v>
      </c>
      <c r="AE78" s="16">
        <f t="shared" si="39"/>
        <v>7.6318329009419206E-2</v>
      </c>
      <c r="AF78" s="16">
        <f t="shared" si="40"/>
        <v>3.9021610292016395E-2</v>
      </c>
      <c r="AG78" s="16">
        <f t="shared" si="30"/>
        <v>1</v>
      </c>
      <c r="AH78" s="13"/>
      <c r="AI78" s="13"/>
      <c r="AJ78" s="13"/>
      <c r="AK78" s="13"/>
      <c r="AL78" s="13"/>
      <c r="AM78" s="13"/>
      <c r="AN78" s="13"/>
      <c r="AO78" s="13"/>
      <c r="AP78" s="13"/>
      <c r="AQ78" s="13"/>
      <c r="AR78" s="13"/>
      <c r="AS78" s="13"/>
      <c r="AT78" s="13"/>
      <c r="AU78" s="13"/>
      <c r="AV78" s="13"/>
      <c r="AW78" s="13"/>
      <c r="AX78" s="13"/>
      <c r="AY78" s="13"/>
    </row>
    <row r="79" spans="1:51">
      <c r="A79" s="5">
        <v>2020</v>
      </c>
      <c r="B79" s="3" t="s">
        <v>4</v>
      </c>
      <c r="C79" s="9">
        <v>2845612</v>
      </c>
      <c r="D79" s="9">
        <f t="shared" si="24"/>
        <v>569122.4</v>
      </c>
      <c r="E79" s="9">
        <v>2701005</v>
      </c>
      <c r="F79" s="9">
        <v>2598898</v>
      </c>
      <c r="G79" s="9">
        <v>2585588</v>
      </c>
      <c r="H79" s="9">
        <v>2596281</v>
      </c>
      <c r="I79" s="9">
        <v>2569725</v>
      </c>
      <c r="J79" s="9">
        <v>2330570</v>
      </c>
      <c r="K79" s="9">
        <v>1904774</v>
      </c>
      <c r="L79" s="9">
        <v>1530135</v>
      </c>
      <c r="M79" s="15">
        <v>1221210</v>
      </c>
      <c r="N79" s="15">
        <v>997131</v>
      </c>
      <c r="O79" s="15">
        <v>791630</v>
      </c>
      <c r="P79" s="15">
        <v>580508</v>
      </c>
      <c r="Q79" s="15">
        <v>348105</v>
      </c>
      <c r="R79" s="10">
        <f t="shared" si="25"/>
        <v>3270127.4</v>
      </c>
      <c r="S79" s="10">
        <f t="shared" si="31"/>
        <v>5184486</v>
      </c>
      <c r="T79" s="11">
        <f t="shared" si="32"/>
        <v>5166006</v>
      </c>
      <c r="U79" s="10">
        <f t="shared" si="33"/>
        <v>4235344</v>
      </c>
      <c r="V79" s="10">
        <f t="shared" si="34"/>
        <v>2751345</v>
      </c>
      <c r="W79" s="10">
        <f t="shared" si="35"/>
        <v>1788761</v>
      </c>
      <c r="X79" s="10">
        <f t="shared" si="36"/>
        <v>928613</v>
      </c>
      <c r="Y79" s="11">
        <f t="shared" si="37"/>
        <v>23324682.399999999</v>
      </c>
      <c r="Z79" s="16">
        <f t="shared" si="26"/>
        <v>0.14020029700382974</v>
      </c>
      <c r="AA79" s="16">
        <f t="shared" si="27"/>
        <v>0.22227466642804106</v>
      </c>
      <c r="AB79" s="16">
        <f t="shared" si="28"/>
        <v>0.22148237268173909</v>
      </c>
      <c r="AC79" s="16">
        <f t="shared" si="29"/>
        <v>0.18158206518601944</v>
      </c>
      <c r="AD79" s="16">
        <f t="shared" si="38"/>
        <v>0.11795851934086786</v>
      </c>
      <c r="AE79" s="16">
        <f t="shared" si="39"/>
        <v>7.6689618719095617E-2</v>
      </c>
      <c r="AF79" s="16">
        <f t="shared" si="40"/>
        <v>3.9812460640407263E-2</v>
      </c>
      <c r="AG79" s="16">
        <f t="shared" si="30"/>
        <v>1</v>
      </c>
      <c r="AH79" s="13"/>
      <c r="AI79" s="13"/>
      <c r="AJ79" s="13"/>
      <c r="AK79" s="13"/>
      <c r="AL79" s="13"/>
      <c r="AM79" s="13"/>
      <c r="AN79" s="13"/>
      <c r="AO79" s="13"/>
      <c r="AP79" s="13"/>
      <c r="AQ79" s="13"/>
      <c r="AR79" s="13"/>
      <c r="AS79" s="13"/>
      <c r="AT79" s="13"/>
      <c r="AU79" s="13"/>
      <c r="AV79" s="13"/>
      <c r="AW79" s="13"/>
      <c r="AX79" s="13"/>
      <c r="AY79" s="13"/>
    </row>
    <row r="80" spans="1:51">
      <c r="A80" s="5">
        <v>2025</v>
      </c>
      <c r="B80" s="3" t="s">
        <v>4</v>
      </c>
      <c r="C80" s="9">
        <v>2842829</v>
      </c>
      <c r="D80" s="9">
        <f t="shared" si="24"/>
        <v>568565.80000000005</v>
      </c>
      <c r="E80" s="9">
        <v>2839152</v>
      </c>
      <c r="F80" s="9">
        <v>2693627</v>
      </c>
      <c r="G80" s="9">
        <v>2591684</v>
      </c>
      <c r="H80" s="9">
        <v>2571409</v>
      </c>
      <c r="I80" s="9">
        <v>2563123</v>
      </c>
      <c r="J80" s="9">
        <v>2504073</v>
      </c>
      <c r="K80" s="9">
        <v>2233742</v>
      </c>
      <c r="L80" s="9">
        <v>1790917</v>
      </c>
      <c r="M80" s="15">
        <v>1406317</v>
      </c>
      <c r="N80" s="15">
        <v>1095775</v>
      </c>
      <c r="O80" s="15">
        <v>859998</v>
      </c>
      <c r="P80" s="15">
        <v>640215</v>
      </c>
      <c r="Q80" s="15">
        <v>429754</v>
      </c>
      <c r="R80" s="10">
        <f t="shared" si="25"/>
        <v>3407717.8</v>
      </c>
      <c r="S80" s="10">
        <f t="shared" si="31"/>
        <v>5285311</v>
      </c>
      <c r="T80" s="11">
        <f t="shared" si="32"/>
        <v>5134532</v>
      </c>
      <c r="U80" s="10">
        <f t="shared" si="33"/>
        <v>4737815</v>
      </c>
      <c r="V80" s="10">
        <f t="shared" si="34"/>
        <v>3197234</v>
      </c>
      <c r="W80" s="10">
        <f t="shared" si="35"/>
        <v>1955773</v>
      </c>
      <c r="X80" s="10">
        <f t="shared" si="36"/>
        <v>1069969</v>
      </c>
      <c r="Y80" s="11">
        <f t="shared" si="37"/>
        <v>24788351.800000001</v>
      </c>
      <c r="Z80" s="16">
        <f t="shared" si="26"/>
        <v>0.13747254466511161</v>
      </c>
      <c r="AA80" s="16">
        <f t="shared" si="27"/>
        <v>0.2132175242082856</v>
      </c>
      <c r="AB80" s="16">
        <f t="shared" si="28"/>
        <v>0.20713486888628069</v>
      </c>
      <c r="AC80" s="16">
        <f t="shared" si="29"/>
        <v>0.19113069873407235</v>
      </c>
      <c r="AD80" s="16">
        <f t="shared" si="38"/>
        <v>0.12898130645378367</v>
      </c>
      <c r="AE80" s="16">
        <f t="shared" si="39"/>
        <v>7.8898872171081574E-2</v>
      </c>
      <c r="AF80" s="16">
        <f t="shared" si="40"/>
        <v>4.3164184881384488E-2</v>
      </c>
      <c r="AG80" s="16">
        <f t="shared" si="30"/>
        <v>1</v>
      </c>
      <c r="AH80" s="13"/>
      <c r="AI80" s="13"/>
      <c r="AJ80" s="13"/>
      <c r="AK80" s="13"/>
      <c r="AL80" s="13"/>
      <c r="AM80" s="13"/>
      <c r="AN80" s="13"/>
      <c r="AO80" s="13"/>
      <c r="AP80" s="13"/>
      <c r="AQ80" s="13"/>
      <c r="AR80" s="13"/>
      <c r="AS80" s="13"/>
      <c r="AT80" s="13"/>
      <c r="AU80" s="13"/>
      <c r="AV80" s="13"/>
      <c r="AW80" s="13"/>
      <c r="AX80" s="13"/>
      <c r="AY80" s="13"/>
    </row>
    <row r="81" spans="1:51">
      <c r="A81" s="5">
        <v>2030</v>
      </c>
      <c r="B81" s="3" t="s">
        <v>4</v>
      </c>
      <c r="C81" s="9">
        <v>2796007</v>
      </c>
      <c r="D81" s="9">
        <f t="shared" si="24"/>
        <v>559201.4</v>
      </c>
      <c r="E81" s="9">
        <v>2836960</v>
      </c>
      <c r="F81" s="9">
        <v>2832438</v>
      </c>
      <c r="G81" s="9">
        <v>2682100</v>
      </c>
      <c r="H81" s="9">
        <v>2570421</v>
      </c>
      <c r="I81" s="9">
        <v>2534593</v>
      </c>
      <c r="J81" s="9">
        <v>2500497</v>
      </c>
      <c r="K81" s="9">
        <v>2409171</v>
      </c>
      <c r="L81" s="9">
        <v>2112875</v>
      </c>
      <c r="M81" s="15">
        <v>1654048</v>
      </c>
      <c r="N81" s="15">
        <v>1264809</v>
      </c>
      <c r="O81" s="15">
        <v>947567</v>
      </c>
      <c r="P81" s="15">
        <v>699144</v>
      </c>
      <c r="Q81" s="15">
        <v>478544</v>
      </c>
      <c r="R81" s="10">
        <f t="shared" si="25"/>
        <v>3396161.4</v>
      </c>
      <c r="S81" s="10">
        <f t="shared" si="31"/>
        <v>5514538</v>
      </c>
      <c r="T81" s="11">
        <f t="shared" si="32"/>
        <v>5105014</v>
      </c>
      <c r="U81" s="10">
        <f t="shared" si="33"/>
        <v>4909668</v>
      </c>
      <c r="V81" s="10">
        <f t="shared" si="34"/>
        <v>3766923</v>
      </c>
      <c r="W81" s="10">
        <f t="shared" si="35"/>
        <v>2212376</v>
      </c>
      <c r="X81" s="10">
        <f t="shared" si="36"/>
        <v>1177688</v>
      </c>
      <c r="Y81" s="11">
        <f t="shared" si="37"/>
        <v>26082368.399999999</v>
      </c>
      <c r="Z81" s="16">
        <f t="shared" si="26"/>
        <v>0.13020908791396413</v>
      </c>
      <c r="AA81" s="16">
        <f t="shared" si="27"/>
        <v>0.21142780883349535</v>
      </c>
      <c r="AB81" s="16">
        <f t="shared" si="28"/>
        <v>0.19572662734109683</v>
      </c>
      <c r="AC81" s="16">
        <f t="shared" si="29"/>
        <v>0.18823704675530925</v>
      </c>
      <c r="AD81" s="16">
        <f t="shared" si="38"/>
        <v>0.1444241160246782</v>
      </c>
      <c r="AE81" s="16">
        <f t="shared" si="39"/>
        <v>8.4822665107360418E-2</v>
      </c>
      <c r="AF81" s="16">
        <f t="shared" si="40"/>
        <v>4.5152648024095854E-2</v>
      </c>
      <c r="AG81" s="16">
        <f t="shared" si="30"/>
        <v>1</v>
      </c>
      <c r="AH81" s="13"/>
      <c r="AI81" s="13"/>
      <c r="AJ81" s="13"/>
      <c r="AK81" s="13"/>
      <c r="AL81" s="13"/>
      <c r="AM81" s="13"/>
      <c r="AN81" s="13"/>
      <c r="AO81" s="13"/>
      <c r="AP81" s="13"/>
      <c r="AQ81" s="13"/>
      <c r="AR81" s="13"/>
      <c r="AS81" s="13"/>
      <c r="AT81" s="13"/>
      <c r="AU81" s="13"/>
      <c r="AV81" s="13"/>
      <c r="AW81" s="13"/>
      <c r="AX81" s="13"/>
      <c r="AY81" s="13"/>
    </row>
    <row r="82" spans="1:51">
      <c r="A82" s="5">
        <v>2035</v>
      </c>
      <c r="B82" s="3" t="s">
        <v>4</v>
      </c>
      <c r="C82" s="9">
        <v>2737995</v>
      </c>
      <c r="D82" s="9">
        <f t="shared" si="24"/>
        <v>547599</v>
      </c>
      <c r="E82" s="9">
        <v>2791343</v>
      </c>
      <c r="F82" s="9">
        <v>2832185</v>
      </c>
      <c r="G82" s="9">
        <v>2824571</v>
      </c>
      <c r="H82" s="9">
        <v>2664676</v>
      </c>
      <c r="I82" s="9">
        <v>2537719</v>
      </c>
      <c r="J82" s="9">
        <v>2479000</v>
      </c>
      <c r="K82" s="9">
        <v>2416800</v>
      </c>
      <c r="L82" s="9">
        <v>2295091</v>
      </c>
      <c r="M82" s="15">
        <v>1968883</v>
      </c>
      <c r="N82" s="15">
        <v>1498629</v>
      </c>
      <c r="O82" s="15">
        <v>1099508</v>
      </c>
      <c r="P82" s="15">
        <v>775148</v>
      </c>
      <c r="Q82" s="15">
        <v>527377</v>
      </c>
      <c r="R82" s="10">
        <f t="shared" si="25"/>
        <v>3338942</v>
      </c>
      <c r="S82" s="10">
        <f t="shared" si="31"/>
        <v>5656756</v>
      </c>
      <c r="T82" s="11">
        <f t="shared" si="32"/>
        <v>5202395</v>
      </c>
      <c r="U82" s="10">
        <f t="shared" si="33"/>
        <v>4895800</v>
      </c>
      <c r="V82" s="10">
        <f t="shared" si="34"/>
        <v>4263974</v>
      </c>
      <c r="W82" s="10">
        <f t="shared" si="35"/>
        <v>2598137</v>
      </c>
      <c r="X82" s="10">
        <f t="shared" si="36"/>
        <v>1302525</v>
      </c>
      <c r="Y82" s="11">
        <f t="shared" si="37"/>
        <v>27258529</v>
      </c>
      <c r="Z82" s="16">
        <f t="shared" si="26"/>
        <v>0.12249164289092783</v>
      </c>
      <c r="AA82" s="16">
        <f t="shared" si="27"/>
        <v>0.20752242353209888</v>
      </c>
      <c r="AB82" s="16">
        <f t="shared" si="28"/>
        <v>0.19085384247990786</v>
      </c>
      <c r="AC82" s="16">
        <f t="shared" si="29"/>
        <v>0.17960617023757958</v>
      </c>
      <c r="AD82" s="16">
        <f t="shared" si="38"/>
        <v>0.15642714982895811</v>
      </c>
      <c r="AE82" s="16">
        <f t="shared" si="39"/>
        <v>9.5314644454952066E-2</v>
      </c>
      <c r="AF82" s="16">
        <f t="shared" si="40"/>
        <v>4.7784126575575667E-2</v>
      </c>
      <c r="AG82" s="16">
        <f t="shared" si="30"/>
        <v>1</v>
      </c>
      <c r="AH82" s="13"/>
      <c r="AI82" s="13"/>
      <c r="AJ82" s="13"/>
      <c r="AK82" s="13"/>
      <c r="AL82" s="13"/>
      <c r="AM82" s="13"/>
      <c r="AN82" s="13"/>
      <c r="AO82" s="13"/>
      <c r="AP82" s="13"/>
      <c r="AQ82" s="13"/>
      <c r="AR82" s="13"/>
      <c r="AS82" s="13"/>
      <c r="AT82" s="13"/>
      <c r="AU82" s="13"/>
      <c r="AV82" s="13"/>
      <c r="AW82" s="13"/>
      <c r="AX82" s="13"/>
      <c r="AY82" s="13"/>
    </row>
    <row r="83" spans="1:51">
      <c r="A83" s="5">
        <v>2040</v>
      </c>
      <c r="B83" s="3" t="s">
        <v>4</v>
      </c>
      <c r="C83" s="9">
        <v>2695810</v>
      </c>
      <c r="D83" s="9">
        <f t="shared" si="24"/>
        <v>539162</v>
      </c>
      <c r="E83" s="9">
        <v>2734411</v>
      </c>
      <c r="F83" s="9">
        <v>2787897</v>
      </c>
      <c r="G83" s="9">
        <v>2827011</v>
      </c>
      <c r="H83" s="9">
        <v>2811056</v>
      </c>
      <c r="I83" s="9">
        <v>2636530</v>
      </c>
      <c r="J83" s="9">
        <v>2488479</v>
      </c>
      <c r="K83" s="9">
        <v>2405068</v>
      </c>
      <c r="L83" s="9">
        <v>2315917</v>
      </c>
      <c r="M83" s="15">
        <v>2156575</v>
      </c>
      <c r="N83" s="15">
        <v>1801309</v>
      </c>
      <c r="O83" s="15">
        <v>1314071</v>
      </c>
      <c r="P83" s="15">
        <v>906261</v>
      </c>
      <c r="Q83" s="15">
        <v>589956</v>
      </c>
      <c r="R83" s="10">
        <f t="shared" si="25"/>
        <v>3273573</v>
      </c>
      <c r="S83" s="10">
        <f t="shared" si="31"/>
        <v>5614908</v>
      </c>
      <c r="T83" s="11">
        <f t="shared" si="32"/>
        <v>5447586</v>
      </c>
      <c r="U83" s="10">
        <f t="shared" si="33"/>
        <v>4893547</v>
      </c>
      <c r="V83" s="10">
        <f t="shared" si="34"/>
        <v>4472492</v>
      </c>
      <c r="W83" s="10">
        <f t="shared" si="35"/>
        <v>3115380</v>
      </c>
      <c r="X83" s="10">
        <f t="shared" si="36"/>
        <v>1496217</v>
      </c>
      <c r="Y83" s="11">
        <f t="shared" si="37"/>
        <v>28313703</v>
      </c>
      <c r="Z83" s="16">
        <f t="shared" si="26"/>
        <v>0.11561797480181239</v>
      </c>
      <c r="AA83" s="16">
        <f t="shared" si="27"/>
        <v>0.19831062012623357</v>
      </c>
      <c r="AB83" s="16">
        <f t="shared" si="28"/>
        <v>0.19240104340997008</v>
      </c>
      <c r="AC83" s="16">
        <f t="shared" si="29"/>
        <v>0.17283316844850707</v>
      </c>
      <c r="AD83" s="16">
        <f t="shared" si="38"/>
        <v>0.15796210054191781</v>
      </c>
      <c r="AE83" s="16">
        <f t="shared" si="39"/>
        <v>0.11003082147185057</v>
      </c>
      <c r="AF83" s="16">
        <f t="shared" si="40"/>
        <v>5.2844271199708498E-2</v>
      </c>
      <c r="AG83" s="16">
        <f t="shared" si="30"/>
        <v>1</v>
      </c>
      <c r="AH83" s="13"/>
      <c r="AI83" s="13"/>
      <c r="AJ83" s="13"/>
      <c r="AK83" s="13"/>
      <c r="AL83" s="13"/>
      <c r="AM83" s="13"/>
      <c r="AN83" s="13"/>
      <c r="AO83" s="13"/>
      <c r="AP83" s="13"/>
      <c r="AQ83" s="13"/>
      <c r="AR83" s="13"/>
      <c r="AS83" s="13"/>
      <c r="AT83" s="13"/>
      <c r="AU83" s="13"/>
      <c r="AV83" s="13"/>
      <c r="AW83" s="13"/>
      <c r="AX83" s="13"/>
      <c r="AY83" s="13"/>
    </row>
    <row r="84" spans="1:51">
      <c r="A84" s="5">
        <v>2045</v>
      </c>
      <c r="B84" s="3" t="s">
        <v>4</v>
      </c>
      <c r="C84" s="9">
        <v>2671056</v>
      </c>
      <c r="D84" s="9">
        <f t="shared" si="24"/>
        <v>534211.19999999995</v>
      </c>
      <c r="E84" s="9">
        <v>2692865</v>
      </c>
      <c r="F84" s="9">
        <v>2731896</v>
      </c>
      <c r="G84" s="9">
        <v>2784430</v>
      </c>
      <c r="H84" s="9">
        <v>2816676</v>
      </c>
      <c r="I84" s="9">
        <v>2786848</v>
      </c>
      <c r="J84" s="9">
        <v>2592558</v>
      </c>
      <c r="K84" s="9">
        <v>2422368</v>
      </c>
      <c r="L84" s="9">
        <v>2314867</v>
      </c>
      <c r="M84" s="15">
        <v>2190447</v>
      </c>
      <c r="N84" s="15">
        <v>1990349</v>
      </c>
      <c r="O84" s="15">
        <v>1596209</v>
      </c>
      <c r="P84" s="15">
        <v>1094705</v>
      </c>
      <c r="Q84" s="15">
        <v>697054</v>
      </c>
      <c r="R84" s="10">
        <f t="shared" si="25"/>
        <v>3227076.2</v>
      </c>
      <c r="S84" s="10">
        <f t="shared" si="31"/>
        <v>5516326</v>
      </c>
      <c r="T84" s="11">
        <f t="shared" si="32"/>
        <v>5603524</v>
      </c>
      <c r="U84" s="10">
        <f t="shared" si="33"/>
        <v>5014926</v>
      </c>
      <c r="V84" s="10">
        <f t="shared" si="34"/>
        <v>4505314</v>
      </c>
      <c r="W84" s="10">
        <f t="shared" si="35"/>
        <v>3586558</v>
      </c>
      <c r="X84" s="10">
        <f t="shared" si="36"/>
        <v>1791759</v>
      </c>
      <c r="Y84" s="11">
        <f t="shared" si="37"/>
        <v>29245483.199999999</v>
      </c>
      <c r="Z84" s="16">
        <f t="shared" si="26"/>
        <v>0.1103444308965974</v>
      </c>
      <c r="AA84" s="16">
        <f t="shared" si="27"/>
        <v>0.18862146890429904</v>
      </c>
      <c r="AB84" s="16">
        <f t="shared" si="28"/>
        <v>0.19160305752787152</v>
      </c>
      <c r="AC84" s="16">
        <f t="shared" si="29"/>
        <v>0.17147694109564243</v>
      </c>
      <c r="AD84" s="16">
        <f t="shared" si="38"/>
        <v>0.15405161778964896</v>
      </c>
      <c r="AE84" s="16">
        <f t="shared" si="39"/>
        <v>0.12263630508248878</v>
      </c>
      <c r="AF84" s="16">
        <f t="shared" si="40"/>
        <v>6.1266178703451891E-2</v>
      </c>
      <c r="AG84" s="16">
        <f t="shared" si="30"/>
        <v>1</v>
      </c>
      <c r="AH84" s="13"/>
      <c r="AI84" s="13"/>
      <c r="AJ84" s="13"/>
      <c r="AK84" s="13"/>
      <c r="AL84" s="13"/>
      <c r="AM84" s="13"/>
      <c r="AN84" s="13"/>
      <c r="AO84" s="13"/>
      <c r="AP84" s="13"/>
      <c r="AQ84" s="13"/>
      <c r="AR84" s="13"/>
      <c r="AS84" s="13"/>
      <c r="AT84" s="13"/>
      <c r="AU84" s="13"/>
      <c r="AV84" s="13"/>
      <c r="AW84" s="13"/>
      <c r="AX84" s="13"/>
      <c r="AY84" s="13"/>
    </row>
    <row r="85" spans="1:51">
      <c r="A85" s="5">
        <v>2050</v>
      </c>
      <c r="B85" s="3" t="s">
        <v>4</v>
      </c>
      <c r="C85" s="9">
        <v>2640355</v>
      </c>
      <c r="D85" s="9">
        <f t="shared" si="24"/>
        <v>528071</v>
      </c>
      <c r="E85" s="9">
        <v>2668578</v>
      </c>
      <c r="F85" s="9">
        <v>2691003</v>
      </c>
      <c r="G85" s="9">
        <v>2729802</v>
      </c>
      <c r="H85" s="9">
        <v>2776685</v>
      </c>
      <c r="I85" s="9">
        <v>2796692</v>
      </c>
      <c r="J85" s="9">
        <v>2747531</v>
      </c>
      <c r="K85" s="9">
        <v>2532540</v>
      </c>
      <c r="L85" s="9">
        <v>2340904</v>
      </c>
      <c r="M85" s="15">
        <v>2201128</v>
      </c>
      <c r="N85" s="15">
        <v>2036646</v>
      </c>
      <c r="O85" s="15">
        <v>1781500</v>
      </c>
      <c r="P85" s="15">
        <v>1346676</v>
      </c>
      <c r="Q85" s="15">
        <v>853475</v>
      </c>
      <c r="R85" s="10">
        <f t="shared" si="25"/>
        <v>3196649</v>
      </c>
      <c r="S85" s="10">
        <f t="shared" si="31"/>
        <v>5420805</v>
      </c>
      <c r="T85" s="11">
        <f t="shared" si="32"/>
        <v>5573377</v>
      </c>
      <c r="U85" s="10">
        <f t="shared" si="33"/>
        <v>5280071</v>
      </c>
      <c r="V85" s="10">
        <f t="shared" si="34"/>
        <v>4542032</v>
      </c>
      <c r="W85" s="10">
        <f t="shared" si="35"/>
        <v>3818146</v>
      </c>
      <c r="X85" s="10">
        <f t="shared" si="36"/>
        <v>2200151</v>
      </c>
      <c r="Y85" s="11">
        <f t="shared" si="37"/>
        <v>30031231</v>
      </c>
      <c r="Z85" s="16">
        <f t="shared" si="26"/>
        <v>0.10644415475342986</v>
      </c>
      <c r="AA85" s="16">
        <f t="shared" si="27"/>
        <v>0.18050558766638636</v>
      </c>
      <c r="AB85" s="16">
        <f t="shared" si="28"/>
        <v>0.18558603208772895</v>
      </c>
      <c r="AC85" s="16">
        <f t="shared" si="29"/>
        <v>0.17581933288049365</v>
      </c>
      <c r="AD85" s="16">
        <f t="shared" si="38"/>
        <v>0.15124361701989505</v>
      </c>
      <c r="AE85" s="16">
        <f t="shared" si="39"/>
        <v>0.1271391772118832</v>
      </c>
      <c r="AF85" s="16">
        <f t="shared" si="40"/>
        <v>7.3262098380182952E-2</v>
      </c>
      <c r="AG85" s="16">
        <f t="shared" si="30"/>
        <v>1</v>
      </c>
      <c r="AH85" s="13"/>
      <c r="AI85" s="13"/>
      <c r="AJ85" s="13"/>
      <c r="AK85" s="13"/>
      <c r="AL85" s="13"/>
      <c r="AM85" s="13"/>
      <c r="AN85" s="13"/>
      <c r="AO85" s="13"/>
      <c r="AP85" s="13"/>
      <c r="AQ85" s="13"/>
      <c r="AR85" s="13"/>
      <c r="AS85" s="13"/>
      <c r="AT85" s="13"/>
      <c r="AU85" s="13"/>
      <c r="AV85" s="13"/>
      <c r="AW85" s="13"/>
      <c r="AX85" s="13"/>
      <c r="AY85" s="13"/>
    </row>
    <row r="86" spans="1:51">
      <c r="A86" s="5">
        <v>2055</v>
      </c>
      <c r="B86" s="3" t="s">
        <v>4</v>
      </c>
      <c r="C86" s="9">
        <v>2588399</v>
      </c>
      <c r="D86" s="9">
        <f t="shared" si="24"/>
        <v>517679.8</v>
      </c>
      <c r="E86" s="9">
        <v>2638281</v>
      </c>
      <c r="F86" s="9">
        <v>2667160</v>
      </c>
      <c r="G86" s="9">
        <v>2689803</v>
      </c>
      <c r="H86" s="9">
        <v>2723965</v>
      </c>
      <c r="I86" s="9">
        <v>2760164</v>
      </c>
      <c r="J86" s="9">
        <v>2762765</v>
      </c>
      <c r="K86" s="9">
        <v>2692326</v>
      </c>
      <c r="L86" s="9">
        <v>2457297</v>
      </c>
      <c r="M86" s="15">
        <v>2236994</v>
      </c>
      <c r="N86" s="15">
        <v>2060030.0000000002</v>
      </c>
      <c r="O86" s="15">
        <v>1840118</v>
      </c>
      <c r="P86" s="15">
        <v>1522593</v>
      </c>
      <c r="Q86" s="15">
        <v>1067101</v>
      </c>
      <c r="R86" s="10">
        <f t="shared" si="25"/>
        <v>3155960.8</v>
      </c>
      <c r="S86" s="10">
        <f t="shared" si="31"/>
        <v>5356963</v>
      </c>
      <c r="T86" s="11">
        <f t="shared" si="32"/>
        <v>5484129</v>
      </c>
      <c r="U86" s="10">
        <f t="shared" si="33"/>
        <v>5455091</v>
      </c>
      <c r="V86" s="10">
        <f t="shared" si="34"/>
        <v>4694291</v>
      </c>
      <c r="W86" s="10">
        <f t="shared" si="35"/>
        <v>3900148</v>
      </c>
      <c r="X86" s="10">
        <f t="shared" si="36"/>
        <v>2589694</v>
      </c>
      <c r="Y86" s="11">
        <f t="shared" si="37"/>
        <v>30636276.800000001</v>
      </c>
      <c r="Z86" s="16">
        <f t="shared" si="26"/>
        <v>0.10301384925468487</v>
      </c>
      <c r="AA86" s="16">
        <f t="shared" si="27"/>
        <v>0.17485685466844977</v>
      </c>
      <c r="AB86" s="16">
        <f t="shared" si="28"/>
        <v>0.1790076854247511</v>
      </c>
      <c r="AC86" s="16">
        <f t="shared" si="29"/>
        <v>0.17805985484502476</v>
      </c>
      <c r="AD86" s="16">
        <f t="shared" si="38"/>
        <v>0.15322655003561006</v>
      </c>
      <c r="AE86" s="16">
        <f t="shared" si="39"/>
        <v>0.12730489496034322</v>
      </c>
      <c r="AF86" s="16">
        <f t="shared" si="40"/>
        <v>8.4530310811136156E-2</v>
      </c>
      <c r="AG86" s="16">
        <f t="shared" si="30"/>
        <v>0.99999999999999989</v>
      </c>
      <c r="AH86" s="13"/>
      <c r="AI86" s="13"/>
      <c r="AJ86" s="13"/>
      <c r="AK86" s="13"/>
      <c r="AL86" s="13"/>
      <c r="AM86" s="13"/>
      <c r="AN86" s="13"/>
      <c r="AO86" s="13"/>
      <c r="AP86" s="13"/>
      <c r="AQ86" s="13"/>
      <c r="AR86" s="13"/>
      <c r="AS86" s="13"/>
      <c r="AT86" s="13"/>
      <c r="AU86" s="13"/>
      <c r="AV86" s="13"/>
      <c r="AW86" s="13"/>
      <c r="AX86" s="13"/>
      <c r="AY86" s="13"/>
    </row>
    <row r="87" spans="1:51">
      <c r="A87" s="5">
        <v>2060</v>
      </c>
      <c r="B87" s="3" t="s">
        <v>4</v>
      </c>
      <c r="C87" s="9">
        <v>2523935</v>
      </c>
      <c r="D87" s="9">
        <f t="shared" si="24"/>
        <v>504787</v>
      </c>
      <c r="E87" s="9">
        <v>2586746</v>
      </c>
      <c r="F87" s="9">
        <v>2637307</v>
      </c>
      <c r="G87" s="9">
        <v>2666690</v>
      </c>
      <c r="H87" s="9">
        <v>2685507</v>
      </c>
      <c r="I87" s="9">
        <v>2710300</v>
      </c>
      <c r="J87" s="9">
        <v>2730927</v>
      </c>
      <c r="K87" s="9">
        <v>2713800</v>
      </c>
      <c r="L87" s="9">
        <v>2621788</v>
      </c>
      <c r="M87" s="15">
        <v>2359600</v>
      </c>
      <c r="N87" s="15">
        <v>2106163</v>
      </c>
      <c r="O87" s="15">
        <v>1876715</v>
      </c>
      <c r="P87" s="15">
        <v>1591481</v>
      </c>
      <c r="Q87" s="15">
        <v>1225677</v>
      </c>
      <c r="R87" s="10">
        <f t="shared" si="25"/>
        <v>3091533</v>
      </c>
      <c r="S87" s="10">
        <f t="shared" si="31"/>
        <v>5303997</v>
      </c>
      <c r="T87" s="11">
        <f t="shared" si="32"/>
        <v>5395807</v>
      </c>
      <c r="U87" s="10">
        <f t="shared" si="33"/>
        <v>5444727</v>
      </c>
      <c r="V87" s="10">
        <f t="shared" si="34"/>
        <v>4981388</v>
      </c>
      <c r="W87" s="10">
        <f t="shared" si="35"/>
        <v>3982878</v>
      </c>
      <c r="X87" s="10">
        <f t="shared" si="36"/>
        <v>2817158</v>
      </c>
      <c r="Y87" s="11">
        <f t="shared" si="37"/>
        <v>31017488</v>
      </c>
      <c r="Z87" s="16">
        <f t="shared" si="26"/>
        <v>9.9670643863874475E-2</v>
      </c>
      <c r="AA87" s="16">
        <f t="shared" si="27"/>
        <v>0.17100021123567452</v>
      </c>
      <c r="AB87" s="16">
        <f t="shared" si="28"/>
        <v>0.17396015434905626</v>
      </c>
      <c r="AC87" s="16">
        <f t="shared" si="29"/>
        <v>0.17553732913509953</v>
      </c>
      <c r="AD87" s="16">
        <f t="shared" si="38"/>
        <v>0.16059933673545712</v>
      </c>
      <c r="AE87" s="16">
        <f t="shared" si="39"/>
        <v>0.12840749708680471</v>
      </c>
      <c r="AF87" s="16">
        <f t="shared" si="40"/>
        <v>9.0824827594033403E-2</v>
      </c>
      <c r="AG87" s="16">
        <f t="shared" si="30"/>
        <v>1</v>
      </c>
      <c r="AH87" s="13"/>
      <c r="AI87" s="13"/>
      <c r="AJ87" s="13"/>
      <c r="AK87" s="13"/>
      <c r="AL87" s="13"/>
      <c r="AM87" s="13"/>
      <c r="AN87" s="13"/>
      <c r="AO87" s="13"/>
      <c r="AP87" s="13"/>
      <c r="AQ87" s="13"/>
      <c r="AR87" s="13"/>
      <c r="AS87" s="13"/>
      <c r="AT87" s="13"/>
      <c r="AU87" s="13"/>
      <c r="AV87" s="13"/>
      <c r="AW87" s="13"/>
      <c r="AX87" s="13"/>
      <c r="AY87" s="13"/>
    </row>
    <row r="88" spans="1:51">
      <c r="A88" s="5">
        <v>2065</v>
      </c>
      <c r="B88" s="3" t="s">
        <v>4</v>
      </c>
      <c r="C88" s="9">
        <v>2456352</v>
      </c>
      <c r="D88" s="9">
        <f t="shared" si="24"/>
        <v>491270.40000000002</v>
      </c>
      <c r="E88" s="9">
        <v>2522643</v>
      </c>
      <c r="F88" s="9">
        <v>2586176</v>
      </c>
      <c r="G88" s="9">
        <v>2637487</v>
      </c>
      <c r="H88" s="9">
        <v>2663650</v>
      </c>
      <c r="I88" s="9">
        <v>2674253</v>
      </c>
      <c r="J88" s="9">
        <v>2685349</v>
      </c>
      <c r="K88" s="9">
        <v>2688267</v>
      </c>
      <c r="L88" s="9">
        <v>2650848</v>
      </c>
      <c r="M88" s="15">
        <v>2528838</v>
      </c>
      <c r="N88" s="15">
        <v>2234557</v>
      </c>
      <c r="O88" s="15">
        <v>1933225</v>
      </c>
      <c r="P88" s="15">
        <v>1640179</v>
      </c>
      <c r="Q88" s="15">
        <v>1299454</v>
      </c>
      <c r="R88" s="10">
        <f t="shared" si="25"/>
        <v>3013913.4</v>
      </c>
      <c r="S88" s="10">
        <f t="shared" si="31"/>
        <v>5223663</v>
      </c>
      <c r="T88" s="11">
        <f t="shared" si="32"/>
        <v>5337903</v>
      </c>
      <c r="U88" s="10">
        <f t="shared" si="33"/>
        <v>5373616</v>
      </c>
      <c r="V88" s="10">
        <f t="shared" si="34"/>
        <v>5179686</v>
      </c>
      <c r="W88" s="10">
        <f t="shared" si="35"/>
        <v>4167782</v>
      </c>
      <c r="X88" s="10">
        <f t="shared" si="36"/>
        <v>2939633</v>
      </c>
      <c r="Y88" s="11">
        <f t="shared" si="37"/>
        <v>31236196.399999999</v>
      </c>
      <c r="Z88" s="16">
        <f t="shared" si="26"/>
        <v>9.6487848949496302E-2</v>
      </c>
      <c r="AA88" s="16">
        <f t="shared" si="27"/>
        <v>0.16723108451194141</v>
      </c>
      <c r="AB88" s="16">
        <f t="shared" si="28"/>
        <v>0.17088837999494716</v>
      </c>
      <c r="AC88" s="16">
        <f t="shared" si="29"/>
        <v>0.17203170101722118</v>
      </c>
      <c r="AD88" s="16">
        <f t="shared" si="38"/>
        <v>0.16582319862734632</v>
      </c>
      <c r="AE88" s="16">
        <f t="shared" si="39"/>
        <v>0.13342796115854874</v>
      </c>
      <c r="AF88" s="16">
        <f t="shared" si="40"/>
        <v>9.4109825740498934E-2</v>
      </c>
      <c r="AG88" s="16">
        <f t="shared" si="30"/>
        <v>1</v>
      </c>
      <c r="AH88" s="13"/>
      <c r="AI88" s="13"/>
      <c r="AJ88" s="13"/>
      <c r="AK88" s="13"/>
      <c r="AL88" s="13"/>
      <c r="AM88" s="13"/>
      <c r="AN88" s="13"/>
      <c r="AO88" s="13"/>
      <c r="AP88" s="13"/>
      <c r="AQ88" s="13"/>
      <c r="AR88" s="13"/>
      <c r="AS88" s="13"/>
      <c r="AT88" s="13"/>
      <c r="AU88" s="13"/>
      <c r="AV88" s="13"/>
      <c r="AW88" s="13"/>
      <c r="AX88" s="13"/>
      <c r="AY88" s="13"/>
    </row>
    <row r="89" spans="1:51">
      <c r="A89" s="5">
        <v>2070</v>
      </c>
      <c r="B89" s="3" t="s">
        <v>4</v>
      </c>
      <c r="C89" s="9">
        <v>2400759</v>
      </c>
      <c r="D89" s="9">
        <f t="shared" si="24"/>
        <v>480151.8</v>
      </c>
      <c r="E89" s="9">
        <v>2455408</v>
      </c>
      <c r="F89" s="9">
        <v>2522446</v>
      </c>
      <c r="G89" s="9">
        <v>2586949</v>
      </c>
      <c r="H89" s="9">
        <v>2635566</v>
      </c>
      <c r="I89" s="9">
        <v>2654450</v>
      </c>
      <c r="J89" s="9">
        <v>2653014</v>
      </c>
      <c r="K89" s="9">
        <v>2648547</v>
      </c>
      <c r="L89" s="9">
        <v>2633080</v>
      </c>
      <c r="M89" s="15">
        <v>2566839</v>
      </c>
      <c r="N89" s="15">
        <v>2407696</v>
      </c>
      <c r="O89" s="15">
        <v>2065838.0000000002</v>
      </c>
      <c r="P89" s="15">
        <v>1705712</v>
      </c>
      <c r="Q89" s="15">
        <v>1356270</v>
      </c>
      <c r="R89" s="10">
        <f t="shared" si="25"/>
        <v>2935559.8</v>
      </c>
      <c r="S89" s="10">
        <f t="shared" si="31"/>
        <v>5109395</v>
      </c>
      <c r="T89" s="11">
        <f t="shared" si="32"/>
        <v>5290016</v>
      </c>
      <c r="U89" s="10">
        <f t="shared" si="33"/>
        <v>5301561</v>
      </c>
      <c r="V89" s="10">
        <f t="shared" si="34"/>
        <v>5199919</v>
      </c>
      <c r="W89" s="10">
        <f t="shared" si="35"/>
        <v>4473534</v>
      </c>
      <c r="X89" s="10">
        <f t="shared" si="36"/>
        <v>3061982</v>
      </c>
      <c r="Y89" s="11">
        <f t="shared" si="37"/>
        <v>31371966.800000001</v>
      </c>
      <c r="Z89" s="16">
        <f t="shared" si="26"/>
        <v>9.3572705170655732E-2</v>
      </c>
      <c r="AA89" s="16">
        <f t="shared" si="27"/>
        <v>0.16286498811416567</v>
      </c>
      <c r="AB89" s="16">
        <f t="shared" si="28"/>
        <v>0.1686223893364569</v>
      </c>
      <c r="AC89" s="16">
        <f t="shared" si="29"/>
        <v>0.16899039304096164</v>
      </c>
      <c r="AD89" s="16">
        <f t="shared" si="38"/>
        <v>0.16575049416410831</v>
      </c>
      <c r="AE89" s="16">
        <f t="shared" si="39"/>
        <v>0.14259654259228657</v>
      </c>
      <c r="AF89" s="16">
        <f t="shared" si="40"/>
        <v>9.7602487581365152E-2</v>
      </c>
      <c r="AG89" s="16">
        <f t="shared" si="30"/>
        <v>1.0000000000000002</v>
      </c>
      <c r="AH89" s="13"/>
      <c r="AI89" s="13"/>
      <c r="AJ89" s="13"/>
      <c r="AK89" s="13"/>
      <c r="AL89" s="13"/>
      <c r="AM89" s="13"/>
      <c r="AN89" s="13"/>
      <c r="AO89" s="13"/>
      <c r="AP89" s="13"/>
      <c r="AQ89" s="13"/>
      <c r="AR89" s="13"/>
      <c r="AS89" s="13"/>
      <c r="AT89" s="13"/>
      <c r="AU89" s="13"/>
      <c r="AV89" s="13"/>
      <c r="AW89" s="13"/>
      <c r="AX89" s="13"/>
      <c r="AY89" s="13"/>
    </row>
    <row r="90" spans="1:51">
      <c r="A90" s="5">
        <v>2075</v>
      </c>
      <c r="B90" s="3" t="s">
        <v>4</v>
      </c>
      <c r="C90" s="9">
        <v>2353759</v>
      </c>
      <c r="D90" s="9">
        <f t="shared" si="24"/>
        <v>470751.8</v>
      </c>
      <c r="E90" s="9">
        <v>2399970</v>
      </c>
      <c r="F90" s="9">
        <v>2455393</v>
      </c>
      <c r="G90" s="9">
        <v>2523474</v>
      </c>
      <c r="H90" s="9">
        <v>2585713</v>
      </c>
      <c r="I90" s="9">
        <v>2627831</v>
      </c>
      <c r="J90" s="9">
        <v>2635942</v>
      </c>
      <c r="K90" s="9">
        <v>2620656</v>
      </c>
      <c r="L90" s="9">
        <v>2599715</v>
      </c>
      <c r="M90" s="15">
        <v>2557296</v>
      </c>
      <c r="N90" s="15">
        <v>2454046</v>
      </c>
      <c r="O90" s="15">
        <v>2239400</v>
      </c>
      <c r="P90" s="15">
        <v>1838184</v>
      </c>
      <c r="Q90" s="15">
        <v>1426314</v>
      </c>
      <c r="R90" s="10">
        <f t="shared" si="25"/>
        <v>2870721.8</v>
      </c>
      <c r="S90" s="10">
        <f t="shared" si="31"/>
        <v>4978867</v>
      </c>
      <c r="T90" s="11">
        <f t="shared" si="32"/>
        <v>5213544</v>
      </c>
      <c r="U90" s="10">
        <f t="shared" si="33"/>
        <v>5256598</v>
      </c>
      <c r="V90" s="10">
        <f t="shared" si="34"/>
        <v>5157011</v>
      </c>
      <c r="W90" s="10">
        <f t="shared" si="35"/>
        <v>4693446</v>
      </c>
      <c r="X90" s="10">
        <f t="shared" si="36"/>
        <v>3264498</v>
      </c>
      <c r="Y90" s="11">
        <f t="shared" si="37"/>
        <v>31434685.800000001</v>
      </c>
      <c r="Z90" s="16">
        <f t="shared" si="26"/>
        <v>9.1323381384012428E-2</v>
      </c>
      <c r="AA90" s="16">
        <f t="shared" si="27"/>
        <v>0.15838768141910298</v>
      </c>
      <c r="AB90" s="16">
        <f t="shared" si="28"/>
        <v>0.1658532244658224</v>
      </c>
      <c r="AC90" s="16">
        <f t="shared" si="29"/>
        <v>0.16722285800610737</v>
      </c>
      <c r="AD90" s="16">
        <f t="shared" si="38"/>
        <v>0.16405479707387435</v>
      </c>
      <c r="AE90" s="16">
        <f t="shared" si="39"/>
        <v>0.14930787060706044</v>
      </c>
      <c r="AF90" s="16">
        <f t="shared" si="40"/>
        <v>0.10385018704402002</v>
      </c>
      <c r="AG90" s="16">
        <f t="shared" si="30"/>
        <v>1</v>
      </c>
      <c r="AH90" s="13"/>
      <c r="AI90" s="13"/>
      <c r="AJ90" s="13"/>
      <c r="AK90" s="13"/>
      <c r="AL90" s="13"/>
      <c r="AM90" s="13"/>
      <c r="AN90" s="13"/>
      <c r="AO90" s="13"/>
      <c r="AP90" s="13"/>
      <c r="AQ90" s="13"/>
      <c r="AR90" s="13"/>
      <c r="AS90" s="13"/>
      <c r="AT90" s="13"/>
      <c r="AU90" s="13"/>
      <c r="AV90" s="13"/>
      <c r="AW90" s="13"/>
      <c r="AX90" s="13"/>
      <c r="AY90" s="13"/>
    </row>
    <row r="91" spans="1:51">
      <c r="A91" s="5">
        <v>2080</v>
      </c>
      <c r="B91" s="3" t="s">
        <v>4</v>
      </c>
      <c r="C91" s="9">
        <v>2305722</v>
      </c>
      <c r="D91" s="9">
        <f t="shared" si="24"/>
        <v>461144.4</v>
      </c>
      <c r="E91" s="9">
        <v>2353060</v>
      </c>
      <c r="F91" s="9">
        <v>2400015</v>
      </c>
      <c r="G91" s="9">
        <v>2456529</v>
      </c>
      <c r="H91" s="9">
        <v>2522743</v>
      </c>
      <c r="I91" s="9">
        <v>2579224</v>
      </c>
      <c r="J91" s="9">
        <v>2611619</v>
      </c>
      <c r="K91" s="9">
        <v>2607141</v>
      </c>
      <c r="L91" s="9">
        <v>2577019</v>
      </c>
      <c r="M91" s="15">
        <v>2531345</v>
      </c>
      <c r="N91" s="15">
        <v>2453588</v>
      </c>
      <c r="O91" s="15">
        <v>2294438</v>
      </c>
      <c r="P91" s="15">
        <v>2008039</v>
      </c>
      <c r="Q91" s="15">
        <v>1553359</v>
      </c>
      <c r="R91" s="10">
        <f t="shared" si="25"/>
        <v>2814204.4</v>
      </c>
      <c r="S91" s="10">
        <f t="shared" si="31"/>
        <v>4856544</v>
      </c>
      <c r="T91" s="11">
        <f t="shared" si="32"/>
        <v>5101967</v>
      </c>
      <c r="U91" s="10">
        <f t="shared" si="33"/>
        <v>5218760</v>
      </c>
      <c r="V91" s="10">
        <f t="shared" si="34"/>
        <v>5108364</v>
      </c>
      <c r="W91" s="10">
        <f t="shared" si="35"/>
        <v>4748026</v>
      </c>
      <c r="X91" s="10">
        <f t="shared" si="36"/>
        <v>3561398</v>
      </c>
      <c r="Y91" s="11">
        <f t="shared" si="37"/>
        <v>31409263.399999999</v>
      </c>
      <c r="Z91" s="16">
        <f t="shared" si="26"/>
        <v>8.95979114237999E-2</v>
      </c>
      <c r="AA91" s="16">
        <f t="shared" si="27"/>
        <v>0.15462139108935616</v>
      </c>
      <c r="AB91" s="16">
        <f t="shared" si="28"/>
        <v>0.16243510505247952</v>
      </c>
      <c r="AC91" s="16">
        <f t="shared" si="29"/>
        <v>0.16615353036263819</v>
      </c>
      <c r="AD91" s="16">
        <f t="shared" si="38"/>
        <v>0.16263877108305572</v>
      </c>
      <c r="AE91" s="16">
        <f t="shared" si="39"/>
        <v>0.15116642308778244</v>
      </c>
      <c r="AF91" s="16">
        <f t="shared" si="40"/>
        <v>0.11338686790088813</v>
      </c>
      <c r="AG91" s="16">
        <f t="shared" si="30"/>
        <v>1</v>
      </c>
      <c r="AH91" s="13"/>
      <c r="AI91" s="13"/>
      <c r="AJ91" s="13"/>
      <c r="AK91" s="13"/>
      <c r="AL91" s="13"/>
      <c r="AM91" s="13"/>
      <c r="AN91" s="13"/>
      <c r="AO91" s="13"/>
      <c r="AP91" s="13"/>
      <c r="AQ91" s="13"/>
      <c r="AR91" s="13"/>
      <c r="AS91" s="13"/>
      <c r="AT91" s="13"/>
      <c r="AU91" s="13"/>
      <c r="AV91" s="13"/>
      <c r="AW91" s="13"/>
      <c r="AX91" s="13"/>
      <c r="AY91" s="13"/>
    </row>
    <row r="92" spans="1:51">
      <c r="A92" s="5">
        <v>2085</v>
      </c>
      <c r="B92" s="3" t="s">
        <v>4</v>
      </c>
      <c r="C92" s="9">
        <v>2257270</v>
      </c>
      <c r="D92" s="9">
        <f t="shared" si="24"/>
        <v>451454</v>
      </c>
      <c r="E92" s="9">
        <v>2305088</v>
      </c>
      <c r="F92" s="9">
        <v>2353130</v>
      </c>
      <c r="G92" s="9">
        <v>2401176</v>
      </c>
      <c r="H92" s="9">
        <v>2456180</v>
      </c>
      <c r="I92" s="9">
        <v>2517349</v>
      </c>
      <c r="J92" s="9">
        <v>2565202</v>
      </c>
      <c r="K92" s="9">
        <v>2586088</v>
      </c>
      <c r="L92" s="9">
        <v>2567904</v>
      </c>
      <c r="M92" s="15">
        <v>2515097</v>
      </c>
      <c r="N92" s="15">
        <v>2436538</v>
      </c>
      <c r="O92" s="15">
        <v>2304942</v>
      </c>
      <c r="P92" s="15">
        <v>2071813</v>
      </c>
      <c r="Q92" s="15">
        <v>1713606</v>
      </c>
      <c r="R92" s="10">
        <f t="shared" si="25"/>
        <v>2756542</v>
      </c>
      <c r="S92" s="10">
        <f t="shared" si="31"/>
        <v>4754306</v>
      </c>
      <c r="T92" s="11">
        <f t="shared" si="32"/>
        <v>4973529</v>
      </c>
      <c r="U92" s="10">
        <f t="shared" si="33"/>
        <v>5151290</v>
      </c>
      <c r="V92" s="10">
        <f t="shared" si="34"/>
        <v>5083001</v>
      </c>
      <c r="W92" s="10">
        <f t="shared" si="35"/>
        <v>4741480</v>
      </c>
      <c r="X92" s="10">
        <f t="shared" si="36"/>
        <v>3785419</v>
      </c>
      <c r="Y92" s="11">
        <f t="shared" si="37"/>
        <v>31245567</v>
      </c>
      <c r="Z92" s="16">
        <f t="shared" si="26"/>
        <v>8.822185880000194E-2</v>
      </c>
      <c r="AA92" s="16">
        <f t="shared" si="27"/>
        <v>0.15215937672054408</v>
      </c>
      <c r="AB92" s="16">
        <f t="shared" si="28"/>
        <v>0.15917550800086297</v>
      </c>
      <c r="AC92" s="16">
        <f t="shared" si="29"/>
        <v>0.16486466704220795</v>
      </c>
      <c r="AD92" s="16">
        <f t="shared" si="38"/>
        <v>0.16267910900768739</v>
      </c>
      <c r="AE92" s="16">
        <f t="shared" si="39"/>
        <v>0.15174888649004192</v>
      </c>
      <c r="AF92" s="16">
        <f t="shared" si="40"/>
        <v>0.12115059393865377</v>
      </c>
      <c r="AG92" s="16">
        <f t="shared" si="30"/>
        <v>1</v>
      </c>
      <c r="AH92" s="13"/>
      <c r="AI92" s="13"/>
      <c r="AJ92" s="13"/>
      <c r="AK92" s="13"/>
      <c r="AL92" s="13"/>
      <c r="AM92" s="13"/>
      <c r="AN92" s="13"/>
      <c r="AO92" s="13"/>
      <c r="AP92" s="13"/>
      <c r="AQ92" s="13"/>
      <c r="AR92" s="13"/>
      <c r="AS92" s="13"/>
      <c r="AT92" s="13"/>
      <c r="AU92" s="13"/>
      <c r="AV92" s="13"/>
      <c r="AW92" s="13"/>
      <c r="AX92" s="13"/>
      <c r="AY92" s="13"/>
    </row>
    <row r="93" spans="1:51">
      <c r="A93" s="5">
        <v>2090</v>
      </c>
      <c r="B93" s="3" t="s">
        <v>4</v>
      </c>
      <c r="C93" s="9">
        <v>2203961</v>
      </c>
      <c r="D93" s="9">
        <f t="shared" si="24"/>
        <v>440792.2</v>
      </c>
      <c r="E93" s="9">
        <v>2256699</v>
      </c>
      <c r="F93" s="9">
        <v>2305174</v>
      </c>
      <c r="G93" s="9">
        <v>2354287</v>
      </c>
      <c r="H93" s="9">
        <v>2401092</v>
      </c>
      <c r="I93" s="9">
        <v>2451737</v>
      </c>
      <c r="J93" s="9">
        <v>2505320</v>
      </c>
      <c r="K93" s="9">
        <v>2542814</v>
      </c>
      <c r="L93" s="9">
        <v>2550978</v>
      </c>
      <c r="M93" s="15">
        <v>2511558</v>
      </c>
      <c r="N93" s="15">
        <v>2428162</v>
      </c>
      <c r="O93" s="15">
        <v>2299049</v>
      </c>
      <c r="P93" s="15">
        <v>2094917</v>
      </c>
      <c r="Q93" s="15">
        <v>1784251</v>
      </c>
      <c r="R93" s="10">
        <f t="shared" si="25"/>
        <v>2697491.2</v>
      </c>
      <c r="S93" s="10">
        <f t="shared" si="31"/>
        <v>4659461</v>
      </c>
      <c r="T93" s="11">
        <f t="shared" si="32"/>
        <v>4852829</v>
      </c>
      <c r="U93" s="10">
        <f t="shared" si="33"/>
        <v>5048134</v>
      </c>
      <c r="V93" s="10">
        <f t="shared" si="34"/>
        <v>5062536</v>
      </c>
      <c r="W93" s="10">
        <f t="shared" si="35"/>
        <v>4727211</v>
      </c>
      <c r="X93" s="10">
        <f t="shared" si="36"/>
        <v>3879168</v>
      </c>
      <c r="Y93" s="11">
        <f t="shared" si="37"/>
        <v>30926830.199999999</v>
      </c>
      <c r="Z93" s="16">
        <f t="shared" si="26"/>
        <v>8.7221715984330012E-2</v>
      </c>
      <c r="AA93" s="16">
        <f t="shared" si="27"/>
        <v>0.15066080066621249</v>
      </c>
      <c r="AB93" s="16">
        <f t="shared" si="28"/>
        <v>0.15691323580908076</v>
      </c>
      <c r="AC93" s="16">
        <f t="shared" si="29"/>
        <v>0.16322830265353222</v>
      </c>
      <c r="AD93" s="16">
        <f t="shared" si="38"/>
        <v>0.16369398245022862</v>
      </c>
      <c r="AE93" s="16">
        <f t="shared" si="39"/>
        <v>0.15285145517434892</v>
      </c>
      <c r="AF93" s="16">
        <f t="shared" si="40"/>
        <v>0.12543050726226707</v>
      </c>
      <c r="AG93" s="16">
        <f t="shared" si="30"/>
        <v>1</v>
      </c>
      <c r="AH93" s="13"/>
      <c r="AI93" s="13"/>
      <c r="AJ93" s="13"/>
      <c r="AK93" s="13"/>
      <c r="AL93" s="13"/>
      <c r="AM93" s="13"/>
      <c r="AN93" s="13"/>
      <c r="AO93" s="13"/>
      <c r="AP93" s="13"/>
      <c r="AQ93" s="13"/>
      <c r="AR93" s="13"/>
      <c r="AS93" s="13"/>
      <c r="AT93" s="13"/>
      <c r="AU93" s="13"/>
      <c r="AV93" s="13"/>
      <c r="AW93" s="13"/>
      <c r="AX93" s="13"/>
      <c r="AY93" s="13"/>
    </row>
    <row r="94" spans="1:51">
      <c r="A94" s="5">
        <v>2095</v>
      </c>
      <c r="B94" s="3" t="s">
        <v>4</v>
      </c>
      <c r="C94" s="9">
        <v>2151595</v>
      </c>
      <c r="D94" s="9">
        <f t="shared" si="24"/>
        <v>430319</v>
      </c>
      <c r="E94" s="9">
        <v>2203471</v>
      </c>
      <c r="F94" s="9">
        <v>2256796</v>
      </c>
      <c r="G94" s="9">
        <v>2306292</v>
      </c>
      <c r="H94" s="9">
        <v>2354374</v>
      </c>
      <c r="I94" s="9">
        <v>2397379</v>
      </c>
      <c r="J94" s="9">
        <v>2441455</v>
      </c>
      <c r="K94" s="9">
        <v>2485838</v>
      </c>
      <c r="L94" s="9">
        <v>2511691</v>
      </c>
      <c r="M94" s="15">
        <v>2499869</v>
      </c>
      <c r="N94" s="15">
        <v>2431470</v>
      </c>
      <c r="O94" s="15">
        <v>2300653</v>
      </c>
      <c r="P94" s="15">
        <v>2102413</v>
      </c>
      <c r="Q94" s="15">
        <v>1819738</v>
      </c>
      <c r="R94" s="10">
        <f t="shared" si="25"/>
        <v>2633790</v>
      </c>
      <c r="S94" s="10">
        <f t="shared" si="31"/>
        <v>4563088</v>
      </c>
      <c r="T94" s="11">
        <f t="shared" si="32"/>
        <v>4751753</v>
      </c>
      <c r="U94" s="10">
        <f t="shared" si="33"/>
        <v>4927293</v>
      </c>
      <c r="V94" s="10">
        <f t="shared" si="34"/>
        <v>5011560</v>
      </c>
      <c r="W94" s="10">
        <f t="shared" si="35"/>
        <v>4732123</v>
      </c>
      <c r="X94" s="10">
        <f t="shared" si="36"/>
        <v>3922151</v>
      </c>
      <c r="Y94" s="11">
        <f t="shared" si="37"/>
        <v>30541758</v>
      </c>
      <c r="Z94" s="16">
        <f t="shared" si="26"/>
        <v>8.6235703917240128E-2</v>
      </c>
      <c r="AA94" s="16">
        <f t="shared" si="27"/>
        <v>0.1494048901834662</v>
      </c>
      <c r="AB94" s="16">
        <f t="shared" si="28"/>
        <v>0.15558217048278622</v>
      </c>
      <c r="AC94" s="16">
        <f t="shared" si="29"/>
        <v>0.16132971127595208</v>
      </c>
      <c r="AD94" s="16">
        <f t="shared" si="38"/>
        <v>0.16408878624472109</v>
      </c>
      <c r="AE94" s="16">
        <f t="shared" si="39"/>
        <v>0.15493944389186765</v>
      </c>
      <c r="AF94" s="16">
        <f t="shared" si="40"/>
        <v>0.12841929400396662</v>
      </c>
      <c r="AG94" s="16">
        <f t="shared" si="30"/>
        <v>1</v>
      </c>
      <c r="AH94" s="13"/>
      <c r="AI94" s="13"/>
      <c r="AJ94" s="13"/>
      <c r="AK94" s="13"/>
      <c r="AL94" s="13"/>
      <c r="AM94" s="13"/>
      <c r="AN94" s="13"/>
      <c r="AO94" s="13"/>
      <c r="AP94" s="13"/>
      <c r="AQ94" s="13"/>
      <c r="AR94" s="13"/>
      <c r="AS94" s="13"/>
      <c r="AT94" s="13"/>
      <c r="AU94" s="13"/>
      <c r="AV94" s="13"/>
      <c r="AW94" s="13"/>
      <c r="AX94" s="13"/>
      <c r="AY94" s="13"/>
    </row>
    <row r="95" spans="1:51">
      <c r="A95" s="30">
        <v>2100</v>
      </c>
      <c r="B95" s="3" t="s">
        <v>4</v>
      </c>
      <c r="C95" s="9">
        <v>2104288</v>
      </c>
      <c r="D95" s="9">
        <f t="shared" si="24"/>
        <v>420857.59999999998</v>
      </c>
      <c r="E95" s="9">
        <v>2151141</v>
      </c>
      <c r="F95" s="9">
        <v>2203577</v>
      </c>
      <c r="G95" s="9">
        <v>2257844</v>
      </c>
      <c r="H95" s="9">
        <v>2306485</v>
      </c>
      <c r="I95" s="9">
        <v>2351253</v>
      </c>
      <c r="J95" s="9">
        <v>2388535</v>
      </c>
      <c r="K95" s="9">
        <v>2424542</v>
      </c>
      <c r="L95" s="9">
        <v>2458415</v>
      </c>
      <c r="M95" s="15">
        <v>2465765</v>
      </c>
      <c r="N95" s="15">
        <v>2426324</v>
      </c>
      <c r="O95" s="15">
        <v>2312721</v>
      </c>
      <c r="P95" s="15">
        <v>2116095</v>
      </c>
      <c r="Q95" s="15">
        <v>1841162</v>
      </c>
      <c r="R95" s="10">
        <f t="shared" si="25"/>
        <v>2571998.6</v>
      </c>
      <c r="S95" s="10">
        <f t="shared" si="31"/>
        <v>4461421</v>
      </c>
      <c r="T95" s="11">
        <f t="shared" si="32"/>
        <v>4657738</v>
      </c>
      <c r="U95" s="10">
        <f t="shared" si="33"/>
        <v>4813077</v>
      </c>
      <c r="V95" s="10">
        <f t="shared" si="34"/>
        <v>4924180</v>
      </c>
      <c r="W95" s="10">
        <f t="shared" si="35"/>
        <v>4739045</v>
      </c>
      <c r="X95" s="10">
        <f t="shared" si="36"/>
        <v>3957257</v>
      </c>
      <c r="Y95" s="11">
        <f t="shared" si="37"/>
        <v>30124716.600000001</v>
      </c>
      <c r="Z95" s="16">
        <f t="shared" si="26"/>
        <v>8.5378350082138205E-2</v>
      </c>
      <c r="AA95" s="16">
        <f t="shared" si="27"/>
        <v>0.14809835588627579</v>
      </c>
      <c r="AB95" s="16">
        <f t="shared" si="28"/>
        <v>0.15461516408091289</v>
      </c>
      <c r="AC95" s="16">
        <f t="shared" si="29"/>
        <v>0.15977169391860768</v>
      </c>
      <c r="AD95" s="16">
        <f t="shared" si="38"/>
        <v>0.16345979500434535</v>
      </c>
      <c r="AE95" s="16">
        <f t="shared" si="39"/>
        <v>0.15731417702366035</v>
      </c>
      <c r="AF95" s="16">
        <f t="shared" si="40"/>
        <v>0.13136246400405971</v>
      </c>
      <c r="AG95" s="16">
        <f t="shared" si="30"/>
        <v>1</v>
      </c>
    </row>
    <row r="96" spans="1:51">
      <c r="A96" s="5">
        <v>1950</v>
      </c>
      <c r="B96" s="3" t="s">
        <v>5</v>
      </c>
      <c r="C96" s="9">
        <v>849999</v>
      </c>
      <c r="D96" s="9">
        <f t="shared" si="24"/>
        <v>169999.8</v>
      </c>
      <c r="E96" s="9">
        <v>741999</v>
      </c>
      <c r="F96" s="9">
        <v>650001</v>
      </c>
      <c r="G96" s="9">
        <v>580000</v>
      </c>
      <c r="H96" s="9">
        <v>510000</v>
      </c>
      <c r="I96" s="9">
        <v>470000</v>
      </c>
      <c r="J96" s="9">
        <v>395000</v>
      </c>
      <c r="K96" s="9">
        <v>350000</v>
      </c>
      <c r="L96" s="9">
        <v>275000</v>
      </c>
      <c r="M96" s="15">
        <v>250000</v>
      </c>
      <c r="N96" s="15">
        <v>200001</v>
      </c>
      <c r="O96" s="15">
        <v>177000</v>
      </c>
      <c r="P96" s="15">
        <v>127000</v>
      </c>
      <c r="Q96" s="15">
        <v>84964</v>
      </c>
      <c r="R96" s="10">
        <f t="shared" si="25"/>
        <v>911998.8</v>
      </c>
      <c r="S96" s="10">
        <f t="shared" si="31"/>
        <v>1230001</v>
      </c>
      <c r="T96" s="11">
        <f t="shared" si="32"/>
        <v>980000</v>
      </c>
      <c r="U96" s="10">
        <f t="shared" si="33"/>
        <v>745000</v>
      </c>
      <c r="V96" s="10">
        <f t="shared" si="34"/>
        <v>525000</v>
      </c>
      <c r="W96" s="10">
        <f t="shared" si="35"/>
        <v>377001</v>
      </c>
      <c r="X96" s="10">
        <f t="shared" si="36"/>
        <v>211964</v>
      </c>
      <c r="Y96" s="11">
        <f t="shared" si="37"/>
        <v>4980964.8</v>
      </c>
      <c r="Z96" s="16">
        <f t="shared" si="26"/>
        <v>0.18309681690583321</v>
      </c>
      <c r="AA96" s="16">
        <f t="shared" si="27"/>
        <v>0.24694031164404134</v>
      </c>
      <c r="AB96" s="16">
        <f t="shared" si="28"/>
        <v>0.19674903143262526</v>
      </c>
      <c r="AC96" s="16">
        <f t="shared" si="29"/>
        <v>0.14956941675235289</v>
      </c>
      <c r="AD96" s="16">
        <f t="shared" si="38"/>
        <v>0.1054012668389064</v>
      </c>
      <c r="AE96" s="16">
        <f t="shared" si="39"/>
        <v>7.5688348570542005E-2</v>
      </c>
      <c r="AF96" s="16">
        <f t="shared" si="40"/>
        <v>4.2554807855698963E-2</v>
      </c>
      <c r="AG96" s="16">
        <f t="shared" si="30"/>
        <v>1</v>
      </c>
    </row>
    <row r="97" spans="1:33">
      <c r="A97" s="5">
        <v>1955</v>
      </c>
      <c r="B97" s="3" t="s">
        <v>5</v>
      </c>
      <c r="C97" s="9">
        <v>956043</v>
      </c>
      <c r="D97" s="9">
        <f t="shared" si="24"/>
        <v>191208.6</v>
      </c>
      <c r="E97" s="9">
        <v>836061</v>
      </c>
      <c r="F97" s="9">
        <v>728628</v>
      </c>
      <c r="G97" s="9">
        <v>634300</v>
      </c>
      <c r="H97" s="9">
        <v>563372</v>
      </c>
      <c r="I97" s="9">
        <v>493452</v>
      </c>
      <c r="J97" s="9">
        <v>452632</v>
      </c>
      <c r="K97" s="9">
        <v>378532</v>
      </c>
      <c r="L97" s="9">
        <v>333285</v>
      </c>
      <c r="M97" s="15">
        <v>258495.99999999997</v>
      </c>
      <c r="N97" s="15">
        <v>229939</v>
      </c>
      <c r="O97" s="15">
        <v>177368</v>
      </c>
      <c r="P97" s="15">
        <v>148061</v>
      </c>
      <c r="Q97" s="15">
        <v>96880</v>
      </c>
      <c r="R97" s="10">
        <f t="shared" si="25"/>
        <v>1027269.6</v>
      </c>
      <c r="S97" s="10">
        <f t="shared" si="31"/>
        <v>1362928</v>
      </c>
      <c r="T97" s="11">
        <f t="shared" si="32"/>
        <v>1056824</v>
      </c>
      <c r="U97" s="10">
        <f t="shared" si="33"/>
        <v>831164</v>
      </c>
      <c r="V97" s="10">
        <f t="shared" si="34"/>
        <v>591781</v>
      </c>
      <c r="W97" s="10">
        <f t="shared" si="35"/>
        <v>407307</v>
      </c>
      <c r="X97" s="10">
        <f t="shared" si="36"/>
        <v>244941</v>
      </c>
      <c r="Y97" s="11">
        <f t="shared" si="37"/>
        <v>5522214.5999999996</v>
      </c>
      <c r="Z97" s="16">
        <f t="shared" si="26"/>
        <v>0.18602493282314672</v>
      </c>
      <c r="AA97" s="16">
        <f t="shared" si="27"/>
        <v>0.24680822798882174</v>
      </c>
      <c r="AB97" s="16">
        <f t="shared" si="28"/>
        <v>0.19137684363081436</v>
      </c>
      <c r="AC97" s="16">
        <f t="shared" si="29"/>
        <v>0.15051280332350722</v>
      </c>
      <c r="AD97" s="16">
        <f t="shared" si="38"/>
        <v>0.10716370928431504</v>
      </c>
      <c r="AE97" s="16">
        <f t="shared" si="39"/>
        <v>7.3757908647737097E-2</v>
      </c>
      <c r="AF97" s="16">
        <f t="shared" si="40"/>
        <v>4.4355574301657895E-2</v>
      </c>
      <c r="AG97" s="16">
        <f t="shared" si="30"/>
        <v>1</v>
      </c>
    </row>
    <row r="98" spans="1:33">
      <c r="A98" s="5">
        <v>1960</v>
      </c>
      <c r="B98" s="3" t="s">
        <v>5</v>
      </c>
      <c r="C98" s="9">
        <v>1229536</v>
      </c>
      <c r="D98" s="9">
        <f t="shared" ref="D98:D129" si="41">C98/5</f>
        <v>245907.20000000001</v>
      </c>
      <c r="E98" s="9">
        <v>942748</v>
      </c>
      <c r="F98" s="9">
        <v>823297</v>
      </c>
      <c r="G98" s="9">
        <v>713668</v>
      </c>
      <c r="H98" s="9">
        <v>618813</v>
      </c>
      <c r="I98" s="9">
        <v>547646</v>
      </c>
      <c r="J98" s="9">
        <v>477577</v>
      </c>
      <c r="K98" s="9">
        <v>435893</v>
      </c>
      <c r="L98" s="9">
        <v>362198</v>
      </c>
      <c r="M98" s="15">
        <v>314889</v>
      </c>
      <c r="N98" s="15">
        <v>239222</v>
      </c>
      <c r="O98" s="15">
        <v>205541</v>
      </c>
      <c r="P98" s="15">
        <v>149898</v>
      </c>
      <c r="Q98" s="15">
        <v>114388</v>
      </c>
      <c r="R98" s="10">
        <f t="shared" ref="R98:R129" si="42">D98+E98</f>
        <v>1188655.2</v>
      </c>
      <c r="S98" s="10">
        <f t="shared" si="31"/>
        <v>1536965</v>
      </c>
      <c r="T98" s="11">
        <f t="shared" si="32"/>
        <v>1166459</v>
      </c>
      <c r="U98" s="10">
        <f t="shared" si="33"/>
        <v>913470</v>
      </c>
      <c r="V98" s="10">
        <f t="shared" si="34"/>
        <v>677087</v>
      </c>
      <c r="W98" s="10">
        <f t="shared" si="35"/>
        <v>444763</v>
      </c>
      <c r="X98" s="10">
        <f t="shared" si="36"/>
        <v>264286</v>
      </c>
      <c r="Y98" s="11">
        <f t="shared" si="37"/>
        <v>6191685.2000000002</v>
      </c>
      <c r="Z98" s="16">
        <f t="shared" ref="Z98:Z129" si="43">R98/Y98</f>
        <v>0.19197603909190988</v>
      </c>
      <c r="AA98" s="16">
        <f t="shared" ref="AA98:AA129" si="44">S98/Y98</f>
        <v>0.24823048174348397</v>
      </c>
      <c r="AB98" s="16">
        <f t="shared" ref="AB98:AB129" si="45">T98/Y98</f>
        <v>0.18839119921665268</v>
      </c>
      <c r="AC98" s="16">
        <f t="shared" ref="AC98:AC129" si="46">U98/Y98</f>
        <v>0.14753172528861772</v>
      </c>
      <c r="AD98" s="16">
        <f t="shared" si="38"/>
        <v>0.10935423525730927</v>
      </c>
      <c r="AE98" s="16">
        <f t="shared" si="39"/>
        <v>7.1832301810176011E-2</v>
      </c>
      <c r="AF98" s="16">
        <f t="shared" si="40"/>
        <v>4.2684017591850434E-2</v>
      </c>
      <c r="AG98" s="16">
        <f t="shared" ref="AG98:AG129" si="47">SUM(Z98:AF98)</f>
        <v>0.99999999999999989</v>
      </c>
    </row>
    <row r="99" spans="1:33">
      <c r="A99" s="5">
        <v>1965</v>
      </c>
      <c r="B99" s="3" t="s">
        <v>5</v>
      </c>
      <c r="C99" s="9">
        <v>1391655</v>
      </c>
      <c r="D99" s="9">
        <f t="shared" si="41"/>
        <v>278331</v>
      </c>
      <c r="E99" s="9">
        <v>1214318</v>
      </c>
      <c r="F99" s="9">
        <v>930914</v>
      </c>
      <c r="G99" s="9">
        <v>813294</v>
      </c>
      <c r="H99" s="9">
        <v>705790</v>
      </c>
      <c r="I99" s="9">
        <v>610284</v>
      </c>
      <c r="J99" s="9">
        <v>537239</v>
      </c>
      <c r="K99" s="9">
        <v>465058</v>
      </c>
      <c r="L99" s="9">
        <v>420654</v>
      </c>
      <c r="M99" s="15">
        <v>344784</v>
      </c>
      <c r="N99" s="15">
        <v>293446</v>
      </c>
      <c r="O99" s="15">
        <v>215496</v>
      </c>
      <c r="P99" s="15">
        <v>175193</v>
      </c>
      <c r="Q99" s="15">
        <v>116969</v>
      </c>
      <c r="R99" s="10">
        <f t="shared" si="42"/>
        <v>1492649</v>
      </c>
      <c r="S99" s="10">
        <f t="shared" si="31"/>
        <v>1744208</v>
      </c>
      <c r="T99" s="11">
        <f t="shared" si="32"/>
        <v>1316074</v>
      </c>
      <c r="U99" s="10">
        <f t="shared" si="33"/>
        <v>1002297</v>
      </c>
      <c r="V99" s="10">
        <f t="shared" si="34"/>
        <v>765438</v>
      </c>
      <c r="W99" s="10">
        <f t="shared" si="35"/>
        <v>508942</v>
      </c>
      <c r="X99" s="10">
        <f t="shared" si="36"/>
        <v>292162</v>
      </c>
      <c r="Y99" s="11">
        <f t="shared" si="37"/>
        <v>7121770</v>
      </c>
      <c r="Z99" s="16">
        <f t="shared" si="43"/>
        <v>0.20958961044796448</v>
      </c>
      <c r="AA99" s="16">
        <f t="shared" si="44"/>
        <v>0.24491214964819139</v>
      </c>
      <c r="AB99" s="16">
        <f t="shared" si="45"/>
        <v>0.1847959144987833</v>
      </c>
      <c r="AC99" s="16">
        <f t="shared" si="46"/>
        <v>0.14073706396022337</v>
      </c>
      <c r="AD99" s="16">
        <f t="shared" si="38"/>
        <v>0.1074786183771731</v>
      </c>
      <c r="AE99" s="16">
        <f t="shared" si="39"/>
        <v>7.1462852633544752E-2</v>
      </c>
      <c r="AF99" s="16">
        <f t="shared" si="40"/>
        <v>4.1023790434119606E-2</v>
      </c>
      <c r="AG99" s="16">
        <f t="shared" si="47"/>
        <v>1</v>
      </c>
    </row>
    <row r="100" spans="1:33">
      <c r="A100" s="5">
        <v>1970</v>
      </c>
      <c r="B100" s="3" t="s">
        <v>5</v>
      </c>
      <c r="C100" s="9">
        <v>1569951</v>
      </c>
      <c r="D100" s="9">
        <f t="shared" si="41"/>
        <v>313990.2</v>
      </c>
      <c r="E100" s="9">
        <v>1376907</v>
      </c>
      <c r="F100" s="9">
        <v>1201317</v>
      </c>
      <c r="G100" s="9">
        <v>923658</v>
      </c>
      <c r="H100" s="9">
        <v>808924</v>
      </c>
      <c r="I100" s="9">
        <v>699223</v>
      </c>
      <c r="J100" s="9">
        <v>602945</v>
      </c>
      <c r="K100" s="9">
        <v>527142</v>
      </c>
      <c r="L100" s="9">
        <v>451052</v>
      </c>
      <c r="M100" s="15">
        <v>402119</v>
      </c>
      <c r="N100" s="15">
        <v>322938</v>
      </c>
      <c r="O100" s="15">
        <v>265942</v>
      </c>
      <c r="P100" s="15">
        <v>185147</v>
      </c>
      <c r="Q100" s="15">
        <v>137915</v>
      </c>
      <c r="R100" s="10">
        <f t="shared" si="42"/>
        <v>1690897.2</v>
      </c>
      <c r="S100" s="10">
        <f t="shared" si="31"/>
        <v>2124975</v>
      </c>
      <c r="T100" s="11">
        <f t="shared" si="32"/>
        <v>1508147</v>
      </c>
      <c r="U100" s="10">
        <f t="shared" si="33"/>
        <v>1130087</v>
      </c>
      <c r="V100" s="10">
        <f t="shared" si="34"/>
        <v>853171</v>
      </c>
      <c r="W100" s="10">
        <f t="shared" si="35"/>
        <v>588880</v>
      </c>
      <c r="X100" s="10">
        <f t="shared" si="36"/>
        <v>323062</v>
      </c>
      <c r="Y100" s="11">
        <f t="shared" si="37"/>
        <v>8219219.2000000002</v>
      </c>
      <c r="Z100" s="16">
        <f t="shared" si="43"/>
        <v>0.2057247968274164</v>
      </c>
      <c r="AA100" s="16">
        <f t="shared" si="44"/>
        <v>0.25853733162390902</v>
      </c>
      <c r="AB100" s="16">
        <f t="shared" si="45"/>
        <v>0.1834903003925239</v>
      </c>
      <c r="AC100" s="16">
        <f t="shared" si="46"/>
        <v>0.13749323050053222</v>
      </c>
      <c r="AD100" s="16">
        <f t="shared" si="38"/>
        <v>0.10380195238009955</v>
      </c>
      <c r="AE100" s="16">
        <f t="shared" si="39"/>
        <v>7.1646708242067564E-2</v>
      </c>
      <c r="AF100" s="16">
        <f t="shared" si="40"/>
        <v>3.9305680033451348E-2</v>
      </c>
      <c r="AG100" s="16">
        <f t="shared" si="47"/>
        <v>1</v>
      </c>
    </row>
    <row r="101" spans="1:33">
      <c r="A101" s="5">
        <v>1975</v>
      </c>
      <c r="B101" s="3" t="s">
        <v>5</v>
      </c>
      <c r="C101" s="9">
        <v>1771165</v>
      </c>
      <c r="D101" s="9">
        <f t="shared" si="41"/>
        <v>354233</v>
      </c>
      <c r="E101" s="9">
        <v>1564488</v>
      </c>
      <c r="F101" s="9">
        <v>1371755</v>
      </c>
      <c r="G101" s="9">
        <v>1196238</v>
      </c>
      <c r="H101" s="9">
        <v>922462</v>
      </c>
      <c r="I101" s="9">
        <v>807187</v>
      </c>
      <c r="J101" s="9">
        <v>694127</v>
      </c>
      <c r="K101" s="9">
        <v>593177</v>
      </c>
      <c r="L101" s="9">
        <v>511776</v>
      </c>
      <c r="M101" s="15">
        <v>429764</v>
      </c>
      <c r="N101" s="15">
        <v>372911</v>
      </c>
      <c r="O101" s="15">
        <v>288313</v>
      </c>
      <c r="P101" s="15">
        <v>224622</v>
      </c>
      <c r="Q101" s="15">
        <v>144233</v>
      </c>
      <c r="R101" s="10">
        <f t="shared" si="42"/>
        <v>1918721</v>
      </c>
      <c r="S101" s="10">
        <f t="shared" si="31"/>
        <v>2567993</v>
      </c>
      <c r="T101" s="11">
        <f t="shared" si="32"/>
        <v>1729649</v>
      </c>
      <c r="U101" s="10">
        <f t="shared" si="33"/>
        <v>1287304</v>
      </c>
      <c r="V101" s="10">
        <f t="shared" si="34"/>
        <v>941540</v>
      </c>
      <c r="W101" s="10">
        <f t="shared" si="35"/>
        <v>661224</v>
      </c>
      <c r="X101" s="10">
        <f t="shared" si="36"/>
        <v>368855</v>
      </c>
      <c r="Y101" s="11">
        <f t="shared" si="37"/>
        <v>9475286</v>
      </c>
      <c r="Z101" s="16">
        <f t="shared" si="43"/>
        <v>0.20249742329677436</v>
      </c>
      <c r="AA101" s="16">
        <f t="shared" si="44"/>
        <v>0.27102010430080947</v>
      </c>
      <c r="AB101" s="16">
        <f t="shared" si="45"/>
        <v>0.1825431971129948</v>
      </c>
      <c r="AC101" s="16">
        <f t="shared" si="46"/>
        <v>0.13585911813110443</v>
      </c>
      <c r="AD101" s="16">
        <f t="shared" si="38"/>
        <v>9.9367976861067839E-2</v>
      </c>
      <c r="AE101" s="16">
        <f t="shared" si="39"/>
        <v>6.9784067731570323E-2</v>
      </c>
      <c r="AF101" s="16">
        <f t="shared" si="40"/>
        <v>3.8928112565678755E-2</v>
      </c>
      <c r="AG101" s="16">
        <f t="shared" si="47"/>
        <v>0.99999999999999989</v>
      </c>
    </row>
    <row r="102" spans="1:33">
      <c r="A102" s="5">
        <v>1980</v>
      </c>
      <c r="B102" s="3" t="s">
        <v>5</v>
      </c>
      <c r="C102" s="9">
        <v>2031645</v>
      </c>
      <c r="D102" s="9">
        <f t="shared" si="41"/>
        <v>406329</v>
      </c>
      <c r="E102" s="9">
        <v>1762757</v>
      </c>
      <c r="F102" s="9">
        <v>1555520</v>
      </c>
      <c r="G102" s="9">
        <v>1359418</v>
      </c>
      <c r="H102" s="9">
        <v>1183098</v>
      </c>
      <c r="I102" s="9">
        <v>910297</v>
      </c>
      <c r="J102" s="9">
        <v>792731</v>
      </c>
      <c r="K102" s="9">
        <v>676700</v>
      </c>
      <c r="L102" s="9">
        <v>572022</v>
      </c>
      <c r="M102" s="15">
        <v>485163</v>
      </c>
      <c r="N102" s="15">
        <v>397149</v>
      </c>
      <c r="O102" s="15">
        <v>331979</v>
      </c>
      <c r="P102" s="15">
        <v>242998</v>
      </c>
      <c r="Q102" s="15">
        <v>174630</v>
      </c>
      <c r="R102" s="10">
        <f t="shared" si="42"/>
        <v>2169086</v>
      </c>
      <c r="S102" s="10">
        <f t="shared" si="31"/>
        <v>2914938</v>
      </c>
      <c r="T102" s="11">
        <f t="shared" si="32"/>
        <v>2093395</v>
      </c>
      <c r="U102" s="10">
        <f t="shared" si="33"/>
        <v>1469431</v>
      </c>
      <c r="V102" s="10">
        <f t="shared" si="34"/>
        <v>1057185</v>
      </c>
      <c r="W102" s="10">
        <f t="shared" si="35"/>
        <v>729128</v>
      </c>
      <c r="X102" s="10">
        <f t="shared" si="36"/>
        <v>417628</v>
      </c>
      <c r="Y102" s="11">
        <f t="shared" si="37"/>
        <v>10850791</v>
      </c>
      <c r="Z102" s="16">
        <f t="shared" si="43"/>
        <v>0.19990118692729406</v>
      </c>
      <c r="AA102" s="16">
        <f t="shared" si="44"/>
        <v>0.26863829558600844</v>
      </c>
      <c r="AB102" s="16">
        <f t="shared" si="45"/>
        <v>0.19292556644027151</v>
      </c>
      <c r="AC102" s="16">
        <f t="shared" si="46"/>
        <v>0.13542155590315949</v>
      </c>
      <c r="AD102" s="16">
        <f t="shared" si="38"/>
        <v>9.7429302619504887E-2</v>
      </c>
      <c r="AE102" s="16">
        <f t="shared" si="39"/>
        <v>6.7195838533799054E-2</v>
      </c>
      <c r="AF102" s="16">
        <f t="shared" si="40"/>
        <v>3.8488253989962577E-2</v>
      </c>
      <c r="AG102" s="16">
        <f t="shared" si="47"/>
        <v>1</v>
      </c>
    </row>
    <row r="103" spans="1:33">
      <c r="A103" s="5">
        <v>1985</v>
      </c>
      <c r="B103" s="3" t="s">
        <v>5</v>
      </c>
      <c r="C103" s="9">
        <v>2269795</v>
      </c>
      <c r="D103" s="9">
        <f t="shared" si="41"/>
        <v>453959</v>
      </c>
      <c r="E103" s="9">
        <v>2022887</v>
      </c>
      <c r="F103" s="9">
        <v>1753601</v>
      </c>
      <c r="G103" s="9">
        <v>1545275</v>
      </c>
      <c r="H103" s="9">
        <v>1350244</v>
      </c>
      <c r="I103" s="9">
        <v>1172609</v>
      </c>
      <c r="J103" s="9">
        <v>898460</v>
      </c>
      <c r="K103" s="9">
        <v>775833</v>
      </c>
      <c r="L103" s="9">
        <v>654511</v>
      </c>
      <c r="M103" s="15">
        <v>543524</v>
      </c>
      <c r="N103" s="15">
        <v>449111</v>
      </c>
      <c r="O103" s="15">
        <v>354050</v>
      </c>
      <c r="P103" s="15">
        <v>280078</v>
      </c>
      <c r="Q103" s="15">
        <v>189085</v>
      </c>
      <c r="R103" s="10">
        <f t="shared" si="42"/>
        <v>2476846</v>
      </c>
      <c r="S103" s="10">
        <f t="shared" si="31"/>
        <v>3298876</v>
      </c>
      <c r="T103" s="11">
        <f t="shared" si="32"/>
        <v>2522853</v>
      </c>
      <c r="U103" s="10">
        <f t="shared" si="33"/>
        <v>1674293</v>
      </c>
      <c r="V103" s="10">
        <f t="shared" si="34"/>
        <v>1198035</v>
      </c>
      <c r="W103" s="10">
        <f t="shared" si="35"/>
        <v>803161</v>
      </c>
      <c r="X103" s="10">
        <f t="shared" si="36"/>
        <v>469163</v>
      </c>
      <c r="Y103" s="11">
        <f t="shared" si="37"/>
        <v>12443227</v>
      </c>
      <c r="Z103" s="16">
        <f t="shared" si="43"/>
        <v>0.19905174116007046</v>
      </c>
      <c r="AA103" s="16">
        <f t="shared" si="44"/>
        <v>0.26511418621552107</v>
      </c>
      <c r="AB103" s="16">
        <f t="shared" si="45"/>
        <v>0.20274909394484245</v>
      </c>
      <c r="AC103" s="16">
        <f t="shared" si="46"/>
        <v>0.13455456530689347</v>
      </c>
      <c r="AD103" s="16">
        <f t="shared" si="38"/>
        <v>9.628008875832611E-2</v>
      </c>
      <c r="AE103" s="16">
        <f t="shared" si="39"/>
        <v>6.4546037776213511E-2</v>
      </c>
      <c r="AF103" s="16">
        <f t="shared" si="40"/>
        <v>3.7704286838132907E-2</v>
      </c>
      <c r="AG103" s="16">
        <f t="shared" si="47"/>
        <v>0.99999999999999989</v>
      </c>
    </row>
    <row r="104" spans="1:33">
      <c r="A104" s="5">
        <v>1990</v>
      </c>
      <c r="B104" s="3" t="s">
        <v>5</v>
      </c>
      <c r="C104" s="9">
        <v>2482868</v>
      </c>
      <c r="D104" s="9">
        <f t="shared" si="41"/>
        <v>496573.6</v>
      </c>
      <c r="E104" s="9">
        <v>2256723</v>
      </c>
      <c r="F104" s="9">
        <v>2008947</v>
      </c>
      <c r="G104" s="9">
        <v>1736127</v>
      </c>
      <c r="H104" s="9">
        <v>1525232</v>
      </c>
      <c r="I104" s="9">
        <v>1329185</v>
      </c>
      <c r="J104" s="9">
        <v>1150840</v>
      </c>
      <c r="K104" s="9">
        <v>877343</v>
      </c>
      <c r="L104" s="9">
        <v>751138</v>
      </c>
      <c r="M104" s="15">
        <v>624430</v>
      </c>
      <c r="N104" s="15">
        <v>507024</v>
      </c>
      <c r="O104" s="15">
        <v>405151</v>
      </c>
      <c r="P104" s="15">
        <v>303804</v>
      </c>
      <c r="Q104" s="15">
        <v>222998</v>
      </c>
      <c r="R104" s="10">
        <f t="shared" si="42"/>
        <v>2753296.6</v>
      </c>
      <c r="S104" s="10">
        <f t="shared" si="31"/>
        <v>3745074</v>
      </c>
      <c r="T104" s="11">
        <f t="shared" si="32"/>
        <v>2854417</v>
      </c>
      <c r="U104" s="10">
        <f t="shared" si="33"/>
        <v>2028183</v>
      </c>
      <c r="V104" s="10">
        <f t="shared" si="34"/>
        <v>1375568</v>
      </c>
      <c r="W104" s="10">
        <f t="shared" si="35"/>
        <v>912175</v>
      </c>
      <c r="X104" s="10">
        <f t="shared" si="36"/>
        <v>526802</v>
      </c>
      <c r="Y104" s="11">
        <f t="shared" si="37"/>
        <v>14195515.6</v>
      </c>
      <c r="Z104" s="16">
        <f t="shared" si="43"/>
        <v>0.19395537841542015</v>
      </c>
      <c r="AA104" s="16">
        <f t="shared" si="44"/>
        <v>0.26382092102381965</v>
      </c>
      <c r="AB104" s="16">
        <f t="shared" si="45"/>
        <v>0.2010787829362112</v>
      </c>
      <c r="AC104" s="16">
        <f t="shared" si="46"/>
        <v>0.14287490903113093</v>
      </c>
      <c r="AD104" s="16">
        <f t="shared" si="38"/>
        <v>9.6901587709853951E-2</v>
      </c>
      <c r="AE104" s="16">
        <f t="shared" si="39"/>
        <v>6.4257968903926252E-2</v>
      </c>
      <c r="AF104" s="16">
        <f t="shared" si="40"/>
        <v>3.7110451979637853E-2</v>
      </c>
      <c r="AG104" s="16">
        <f t="shared" si="47"/>
        <v>0.99999999999999978</v>
      </c>
    </row>
    <row r="105" spans="1:33">
      <c r="A105" s="5">
        <v>1995</v>
      </c>
      <c r="B105" s="3" t="s">
        <v>5</v>
      </c>
      <c r="C105" s="9">
        <v>2559601</v>
      </c>
      <c r="D105" s="9">
        <f t="shared" si="41"/>
        <v>511920.2</v>
      </c>
      <c r="E105" s="9">
        <v>2475668</v>
      </c>
      <c r="F105" s="9">
        <v>2256973</v>
      </c>
      <c r="G105" s="9">
        <v>2029690</v>
      </c>
      <c r="H105" s="9">
        <v>1776763</v>
      </c>
      <c r="I105" s="9">
        <v>1567575</v>
      </c>
      <c r="J105" s="9">
        <v>1362302</v>
      </c>
      <c r="K105" s="9">
        <v>1168329</v>
      </c>
      <c r="L105" s="9">
        <v>886312</v>
      </c>
      <c r="M105" s="15">
        <v>751447</v>
      </c>
      <c r="N105" s="15">
        <v>615425</v>
      </c>
      <c r="O105" s="15">
        <v>487981</v>
      </c>
      <c r="P105" s="15">
        <v>370393</v>
      </c>
      <c r="Q105" s="15">
        <v>256889</v>
      </c>
      <c r="R105" s="10">
        <f t="shared" si="42"/>
        <v>2987588.2</v>
      </c>
      <c r="S105" s="10">
        <f t="shared" si="31"/>
        <v>4286663</v>
      </c>
      <c r="T105" s="11">
        <f t="shared" si="32"/>
        <v>3344338</v>
      </c>
      <c r="U105" s="10">
        <f t="shared" si="33"/>
        <v>2530631</v>
      </c>
      <c r="V105" s="10">
        <f t="shared" si="34"/>
        <v>1637759</v>
      </c>
      <c r="W105" s="10">
        <f t="shared" si="35"/>
        <v>1103406</v>
      </c>
      <c r="X105" s="10">
        <f t="shared" si="36"/>
        <v>627282</v>
      </c>
      <c r="Y105" s="11">
        <f t="shared" si="37"/>
        <v>16517667.199999999</v>
      </c>
      <c r="Z105" s="16">
        <f t="shared" si="43"/>
        <v>0.18087228443493525</v>
      </c>
      <c r="AA105" s="16">
        <f t="shared" si="44"/>
        <v>0.25951987941735505</v>
      </c>
      <c r="AB105" s="16">
        <f t="shared" si="45"/>
        <v>0.20247035852617251</v>
      </c>
      <c r="AC105" s="16">
        <f t="shared" si="46"/>
        <v>0.15320753041930765</v>
      </c>
      <c r="AD105" s="16">
        <f t="shared" si="38"/>
        <v>9.9151955307587261E-2</v>
      </c>
      <c r="AE105" s="16">
        <f t="shared" si="39"/>
        <v>6.6801563843107342E-2</v>
      </c>
      <c r="AF105" s="16">
        <f t="shared" si="40"/>
        <v>3.7976428051535026E-2</v>
      </c>
      <c r="AG105" s="16">
        <f t="shared" si="47"/>
        <v>1</v>
      </c>
    </row>
    <row r="106" spans="1:33">
      <c r="A106" s="5">
        <v>2000</v>
      </c>
      <c r="B106" s="3" t="s">
        <v>5</v>
      </c>
      <c r="C106" s="9">
        <v>2522765</v>
      </c>
      <c r="D106" s="9">
        <f t="shared" si="41"/>
        <v>504553</v>
      </c>
      <c r="E106" s="9">
        <v>2557215</v>
      </c>
      <c r="F106" s="9">
        <v>2473670</v>
      </c>
      <c r="G106" s="9">
        <v>2241867</v>
      </c>
      <c r="H106" s="9">
        <v>1999004</v>
      </c>
      <c r="I106" s="9">
        <v>1744449</v>
      </c>
      <c r="J106" s="9">
        <v>1532839</v>
      </c>
      <c r="K106" s="9">
        <v>1321400</v>
      </c>
      <c r="L106" s="9">
        <v>1126075</v>
      </c>
      <c r="M106" s="15">
        <v>842914</v>
      </c>
      <c r="N106" s="15">
        <v>703796</v>
      </c>
      <c r="O106" s="15">
        <v>564535</v>
      </c>
      <c r="P106" s="15">
        <v>430224</v>
      </c>
      <c r="Q106" s="15">
        <v>306658</v>
      </c>
      <c r="R106" s="10">
        <f t="shared" si="42"/>
        <v>3061768</v>
      </c>
      <c r="S106" s="10">
        <f t="shared" si="31"/>
        <v>4715537</v>
      </c>
      <c r="T106" s="11">
        <f t="shared" si="32"/>
        <v>3743453</v>
      </c>
      <c r="U106" s="10">
        <f t="shared" si="33"/>
        <v>2854239</v>
      </c>
      <c r="V106" s="10">
        <f t="shared" si="34"/>
        <v>1968989</v>
      </c>
      <c r="W106" s="10">
        <f t="shared" si="35"/>
        <v>1268331</v>
      </c>
      <c r="X106" s="10">
        <f t="shared" si="36"/>
        <v>736882</v>
      </c>
      <c r="Y106" s="11">
        <f t="shared" si="37"/>
        <v>18349199</v>
      </c>
      <c r="Z106" s="16">
        <f t="shared" si="43"/>
        <v>0.1668611256545858</v>
      </c>
      <c r="AA106" s="16">
        <f t="shared" si="44"/>
        <v>0.25698871106035748</v>
      </c>
      <c r="AB106" s="16">
        <f t="shared" si="45"/>
        <v>0.2040117936483222</v>
      </c>
      <c r="AC106" s="16">
        <f t="shared" si="46"/>
        <v>0.15555114967143796</v>
      </c>
      <c r="AD106" s="16">
        <f t="shared" si="38"/>
        <v>0.10730653692294688</v>
      </c>
      <c r="AE106" s="16">
        <f t="shared" si="39"/>
        <v>6.9121872840334886E-2</v>
      </c>
      <c r="AF106" s="16">
        <f t="shared" si="40"/>
        <v>4.0158810202014811E-2</v>
      </c>
      <c r="AG106" s="16">
        <f t="shared" si="47"/>
        <v>1</v>
      </c>
    </row>
    <row r="107" spans="1:33">
      <c r="A107" s="5">
        <v>2001</v>
      </c>
      <c r="B107" s="3" t="s">
        <v>5</v>
      </c>
      <c r="C107" s="9">
        <v>2521618</v>
      </c>
      <c r="D107" s="9">
        <f t="shared" si="41"/>
        <v>504323.6</v>
      </c>
      <c r="E107" s="9">
        <v>2560184</v>
      </c>
      <c r="F107" s="9">
        <v>2502704</v>
      </c>
      <c r="G107" s="9">
        <v>2280302</v>
      </c>
      <c r="H107" s="9">
        <v>2032207</v>
      </c>
      <c r="I107" s="9">
        <v>1774629</v>
      </c>
      <c r="J107" s="9">
        <v>1555477</v>
      </c>
      <c r="K107" s="9">
        <v>1346038</v>
      </c>
      <c r="L107" s="9">
        <v>1158982</v>
      </c>
      <c r="M107" s="15">
        <v>879601</v>
      </c>
      <c r="N107" s="15">
        <v>716573</v>
      </c>
      <c r="O107" s="15">
        <v>579277</v>
      </c>
      <c r="P107" s="15">
        <v>442034</v>
      </c>
      <c r="Q107" s="15">
        <v>315861</v>
      </c>
      <c r="R107" s="10">
        <f t="shared" si="42"/>
        <v>3064507.6</v>
      </c>
      <c r="S107" s="10">
        <f t="shared" si="31"/>
        <v>4783006</v>
      </c>
      <c r="T107" s="11">
        <f t="shared" si="32"/>
        <v>3806836</v>
      </c>
      <c r="U107" s="10">
        <f t="shared" si="33"/>
        <v>2901515</v>
      </c>
      <c r="V107" s="10">
        <f t="shared" si="34"/>
        <v>2038583</v>
      </c>
      <c r="W107" s="10">
        <f t="shared" si="35"/>
        <v>1295850</v>
      </c>
      <c r="X107" s="10">
        <f t="shared" si="36"/>
        <v>757895</v>
      </c>
      <c r="Y107" s="11">
        <f t="shared" si="37"/>
        <v>18648192.600000001</v>
      </c>
      <c r="Z107" s="16">
        <f t="shared" si="43"/>
        <v>0.16433268712593627</v>
      </c>
      <c r="AA107" s="16">
        <f t="shared" si="44"/>
        <v>0.25648630420086926</v>
      </c>
      <c r="AB107" s="16">
        <f t="shared" si="45"/>
        <v>0.20413967624937548</v>
      </c>
      <c r="AC107" s="16">
        <f t="shared" si="46"/>
        <v>0.15559229048288573</v>
      </c>
      <c r="AD107" s="16">
        <f t="shared" si="38"/>
        <v>0.10931799363762469</v>
      </c>
      <c r="AE107" s="16">
        <f t="shared" si="39"/>
        <v>6.9489308041573952E-2</v>
      </c>
      <c r="AF107" s="16">
        <f t="shared" si="40"/>
        <v>4.0641740261734532E-2</v>
      </c>
      <c r="AG107" s="16">
        <f t="shared" si="47"/>
        <v>0.99999999999999989</v>
      </c>
    </row>
    <row r="108" spans="1:33">
      <c r="A108" s="5">
        <v>2002</v>
      </c>
      <c r="B108" s="3" t="s">
        <v>5</v>
      </c>
      <c r="C108" s="9">
        <v>2523770</v>
      </c>
      <c r="D108" s="9">
        <f t="shared" si="41"/>
        <v>504754</v>
      </c>
      <c r="E108" s="9">
        <v>2557891</v>
      </c>
      <c r="F108" s="9">
        <v>2527828</v>
      </c>
      <c r="G108" s="9">
        <v>2323512</v>
      </c>
      <c r="H108" s="9">
        <v>2064262.0000000002</v>
      </c>
      <c r="I108" s="9">
        <v>1807453</v>
      </c>
      <c r="J108" s="9">
        <v>1577255</v>
      </c>
      <c r="K108" s="9">
        <v>1370835</v>
      </c>
      <c r="L108" s="9">
        <v>1184477</v>
      </c>
      <c r="M108" s="15">
        <v>924873</v>
      </c>
      <c r="N108" s="15">
        <v>727478</v>
      </c>
      <c r="O108" s="15">
        <v>595344</v>
      </c>
      <c r="P108" s="15">
        <v>454606</v>
      </c>
      <c r="Q108" s="15">
        <v>325258</v>
      </c>
      <c r="R108" s="10">
        <f t="shared" si="42"/>
        <v>3062645</v>
      </c>
      <c r="S108" s="10">
        <f t="shared" si="31"/>
        <v>4851340</v>
      </c>
      <c r="T108" s="11">
        <f t="shared" si="32"/>
        <v>3871715</v>
      </c>
      <c r="U108" s="10">
        <f t="shared" si="33"/>
        <v>2948090</v>
      </c>
      <c r="V108" s="10">
        <f t="shared" si="34"/>
        <v>2109350</v>
      </c>
      <c r="W108" s="10">
        <f t="shared" si="35"/>
        <v>1322822</v>
      </c>
      <c r="X108" s="10">
        <f t="shared" si="36"/>
        <v>779864</v>
      </c>
      <c r="Y108" s="11">
        <f t="shared" si="37"/>
        <v>18945826</v>
      </c>
      <c r="Z108" s="16">
        <f t="shared" si="43"/>
        <v>0.16165275665468479</v>
      </c>
      <c r="AA108" s="16">
        <f t="shared" si="44"/>
        <v>0.25606378945948305</v>
      </c>
      <c r="AB108" s="16">
        <f t="shared" si="45"/>
        <v>0.20435714969619165</v>
      </c>
      <c r="AC108" s="16">
        <f t="shared" si="46"/>
        <v>0.15560630610668544</v>
      </c>
      <c r="AD108" s="16">
        <f t="shared" si="38"/>
        <v>0.11133586891381775</v>
      </c>
      <c r="AE108" s="16">
        <f t="shared" si="39"/>
        <v>6.982128939640847E-2</v>
      </c>
      <c r="AF108" s="16">
        <f t="shared" si="40"/>
        <v>4.1162839772728832E-2</v>
      </c>
      <c r="AG108" s="16">
        <f t="shared" si="47"/>
        <v>1</v>
      </c>
    </row>
    <row r="109" spans="1:33">
      <c r="A109" s="5">
        <v>2003</v>
      </c>
      <c r="B109" s="3" t="s">
        <v>5</v>
      </c>
      <c r="C109" s="9">
        <v>2528779</v>
      </c>
      <c r="D109" s="9">
        <f t="shared" si="41"/>
        <v>505755.8</v>
      </c>
      <c r="E109" s="9">
        <v>2550982</v>
      </c>
      <c r="F109" s="9">
        <v>2547809</v>
      </c>
      <c r="G109" s="9">
        <v>2369388</v>
      </c>
      <c r="H109" s="9">
        <v>2096128.0000000002</v>
      </c>
      <c r="I109" s="9">
        <v>1841557</v>
      </c>
      <c r="J109" s="9">
        <v>1599486</v>
      </c>
      <c r="K109" s="9">
        <v>1394474</v>
      </c>
      <c r="L109" s="9">
        <v>1204992</v>
      </c>
      <c r="M109" s="15">
        <v>973529</v>
      </c>
      <c r="N109" s="15">
        <v>739649</v>
      </c>
      <c r="O109" s="15">
        <v>611863</v>
      </c>
      <c r="P109" s="15">
        <v>467850</v>
      </c>
      <c r="Q109" s="15">
        <v>335057</v>
      </c>
      <c r="R109" s="10">
        <f t="shared" si="42"/>
        <v>3056737.8</v>
      </c>
      <c r="S109" s="10">
        <f t="shared" si="31"/>
        <v>4917197</v>
      </c>
      <c r="T109" s="11">
        <f t="shared" si="32"/>
        <v>3937685</v>
      </c>
      <c r="U109" s="10">
        <f t="shared" si="33"/>
        <v>2993960</v>
      </c>
      <c r="V109" s="10">
        <f t="shared" si="34"/>
        <v>2178521</v>
      </c>
      <c r="W109" s="10">
        <f t="shared" si="35"/>
        <v>1351512</v>
      </c>
      <c r="X109" s="10">
        <f t="shared" si="36"/>
        <v>802907</v>
      </c>
      <c r="Y109" s="11">
        <f t="shared" si="37"/>
        <v>19238519.800000001</v>
      </c>
      <c r="Z109" s="16">
        <f t="shared" si="43"/>
        <v>0.15888632970609307</v>
      </c>
      <c r="AA109" s="16">
        <f t="shared" si="44"/>
        <v>0.25559123316753296</v>
      </c>
      <c r="AB109" s="16">
        <f t="shared" si="45"/>
        <v>0.20467712905854638</v>
      </c>
      <c r="AC109" s="16">
        <f t="shared" si="46"/>
        <v>0.15562319924425785</v>
      </c>
      <c r="AD109" s="16">
        <f t="shared" si="38"/>
        <v>0.11323745395422781</v>
      </c>
      <c r="AE109" s="16">
        <f t="shared" si="39"/>
        <v>7.0250311045239558E-2</v>
      </c>
      <c r="AF109" s="16">
        <f t="shared" si="40"/>
        <v>4.1734343824102307E-2</v>
      </c>
      <c r="AG109" s="16">
        <f t="shared" si="47"/>
        <v>1</v>
      </c>
    </row>
    <row r="110" spans="1:33">
      <c r="A110" s="5">
        <v>2004</v>
      </c>
      <c r="B110" s="3" t="s">
        <v>5</v>
      </c>
      <c r="C110" s="9">
        <v>2533899</v>
      </c>
      <c r="D110" s="9">
        <f t="shared" si="41"/>
        <v>506779.8</v>
      </c>
      <c r="E110" s="9">
        <v>2541812</v>
      </c>
      <c r="F110" s="9">
        <v>2561497</v>
      </c>
      <c r="G110" s="9">
        <v>2413289</v>
      </c>
      <c r="H110" s="9">
        <v>2129894</v>
      </c>
      <c r="I110" s="9">
        <v>1874977</v>
      </c>
      <c r="J110" s="9">
        <v>1623189</v>
      </c>
      <c r="K110" s="9">
        <v>1415693</v>
      </c>
      <c r="L110" s="9">
        <v>1224036</v>
      </c>
      <c r="M110" s="15">
        <v>1018008</v>
      </c>
      <c r="N110" s="15">
        <v>757696</v>
      </c>
      <c r="O110" s="15">
        <v>627431</v>
      </c>
      <c r="P110" s="15">
        <v>481596</v>
      </c>
      <c r="Q110" s="15">
        <v>345424</v>
      </c>
      <c r="R110" s="10">
        <f t="shared" si="42"/>
        <v>3048591.8</v>
      </c>
      <c r="S110" s="10">
        <f t="shared" si="31"/>
        <v>4974786</v>
      </c>
      <c r="T110" s="11">
        <f t="shared" si="32"/>
        <v>4004871</v>
      </c>
      <c r="U110" s="10">
        <f t="shared" si="33"/>
        <v>3038882</v>
      </c>
      <c r="V110" s="10">
        <f t="shared" si="34"/>
        <v>2242044</v>
      </c>
      <c r="W110" s="10">
        <f t="shared" si="35"/>
        <v>1385127</v>
      </c>
      <c r="X110" s="10">
        <f t="shared" si="36"/>
        <v>827020</v>
      </c>
      <c r="Y110" s="11">
        <f t="shared" si="37"/>
        <v>19521321.800000001</v>
      </c>
      <c r="Z110" s="16">
        <f t="shared" si="43"/>
        <v>0.15616728371333952</v>
      </c>
      <c r="AA110" s="16">
        <f t="shared" si="44"/>
        <v>0.25483858372746049</v>
      </c>
      <c r="AB110" s="16">
        <f t="shared" si="45"/>
        <v>0.20515367970625842</v>
      </c>
      <c r="AC110" s="16">
        <f t="shared" si="46"/>
        <v>0.1556698891158077</v>
      </c>
      <c r="AD110" s="16">
        <f t="shared" si="38"/>
        <v>0.1148510343187929</v>
      </c>
      <c r="AE110" s="16">
        <f t="shared" si="39"/>
        <v>7.0954570299640266E-2</v>
      </c>
      <c r="AF110" s="16">
        <f t="shared" si="40"/>
        <v>4.2364959118700661E-2</v>
      </c>
      <c r="AG110" s="16">
        <f t="shared" si="47"/>
        <v>1</v>
      </c>
    </row>
    <row r="111" spans="1:33">
      <c r="A111" s="5">
        <v>2005</v>
      </c>
      <c r="B111" s="3" t="s">
        <v>5</v>
      </c>
      <c r="C111" s="9">
        <v>2535299</v>
      </c>
      <c r="D111" s="9">
        <f t="shared" si="41"/>
        <v>507059.8</v>
      </c>
      <c r="E111" s="9">
        <v>2533039</v>
      </c>
      <c r="F111" s="9">
        <v>2568409</v>
      </c>
      <c r="G111" s="9">
        <v>2451570</v>
      </c>
      <c r="H111" s="9">
        <v>2167428</v>
      </c>
      <c r="I111" s="9">
        <v>1906808</v>
      </c>
      <c r="J111" s="9">
        <v>1648612</v>
      </c>
      <c r="K111" s="9">
        <v>1434647</v>
      </c>
      <c r="L111" s="9">
        <v>1243314</v>
      </c>
      <c r="M111" s="15">
        <v>1054059</v>
      </c>
      <c r="N111" s="15">
        <v>783876</v>
      </c>
      <c r="O111" s="15">
        <v>641439</v>
      </c>
      <c r="P111" s="15">
        <v>495761</v>
      </c>
      <c r="Q111" s="15">
        <v>356458</v>
      </c>
      <c r="R111" s="10">
        <f t="shared" si="42"/>
        <v>3040098.8</v>
      </c>
      <c r="S111" s="10">
        <f t="shared" si="31"/>
        <v>5019979</v>
      </c>
      <c r="T111" s="11">
        <f t="shared" si="32"/>
        <v>4074236</v>
      </c>
      <c r="U111" s="10">
        <f t="shared" si="33"/>
        <v>3083259</v>
      </c>
      <c r="V111" s="10">
        <f t="shared" si="34"/>
        <v>2297373</v>
      </c>
      <c r="W111" s="10">
        <f t="shared" si="35"/>
        <v>1425315</v>
      </c>
      <c r="X111" s="10">
        <f t="shared" si="36"/>
        <v>852219</v>
      </c>
      <c r="Y111" s="11">
        <f t="shared" si="37"/>
        <v>19792479.800000001</v>
      </c>
      <c r="Z111" s="16">
        <f t="shared" si="43"/>
        <v>0.15359868145476141</v>
      </c>
      <c r="AA111" s="16">
        <f t="shared" si="44"/>
        <v>0.25363062388978663</v>
      </c>
      <c r="AB111" s="16">
        <f t="shared" si="45"/>
        <v>0.20584767756084812</v>
      </c>
      <c r="AC111" s="16">
        <f t="shared" si="46"/>
        <v>0.15577931775885909</v>
      </c>
      <c r="AD111" s="16">
        <f t="shared" si="38"/>
        <v>0.11607302486674761</v>
      </c>
      <c r="AE111" s="16">
        <f t="shared" si="39"/>
        <v>7.2012957163659699E-2</v>
      </c>
      <c r="AF111" s="16">
        <f t="shared" si="40"/>
        <v>4.3057717305337355E-2</v>
      </c>
      <c r="AG111" s="16">
        <f t="shared" si="47"/>
        <v>1</v>
      </c>
    </row>
    <row r="112" spans="1:33">
      <c r="A112" s="5">
        <v>2006</v>
      </c>
      <c r="B112" s="3" t="s">
        <v>5</v>
      </c>
      <c r="C112" s="9">
        <v>2541620</v>
      </c>
      <c r="D112" s="9">
        <f t="shared" si="41"/>
        <v>508324</v>
      </c>
      <c r="E112" s="9">
        <v>2528590</v>
      </c>
      <c r="F112" s="9">
        <v>2569212</v>
      </c>
      <c r="G112" s="9">
        <v>2478464</v>
      </c>
      <c r="H112" s="9">
        <v>2199720</v>
      </c>
      <c r="I112" s="9">
        <v>1929105</v>
      </c>
      <c r="J112" s="9">
        <v>1672219</v>
      </c>
      <c r="K112" s="9">
        <v>1455412</v>
      </c>
      <c r="L112" s="9">
        <v>1263345</v>
      </c>
      <c r="M112" s="15">
        <v>1083470</v>
      </c>
      <c r="N112" s="15">
        <v>815632</v>
      </c>
      <c r="O112" s="15">
        <v>651256</v>
      </c>
      <c r="P112" s="15">
        <v>507656</v>
      </c>
      <c r="Q112" s="15">
        <v>366136</v>
      </c>
      <c r="R112" s="10">
        <f t="shared" si="42"/>
        <v>3036914</v>
      </c>
      <c r="S112" s="10">
        <f t="shared" si="31"/>
        <v>5047676</v>
      </c>
      <c r="T112" s="11">
        <f t="shared" si="32"/>
        <v>4128825</v>
      </c>
      <c r="U112" s="10">
        <f t="shared" si="33"/>
        <v>3127631</v>
      </c>
      <c r="V112" s="10">
        <f t="shared" si="34"/>
        <v>2346815</v>
      </c>
      <c r="W112" s="10">
        <f t="shared" si="35"/>
        <v>1466888</v>
      </c>
      <c r="X112" s="10">
        <f t="shared" si="36"/>
        <v>873792</v>
      </c>
      <c r="Y112" s="11">
        <f t="shared" si="37"/>
        <v>20028541</v>
      </c>
      <c r="Z112" s="16">
        <f t="shared" si="43"/>
        <v>0.15162931738262911</v>
      </c>
      <c r="AA112" s="16">
        <f t="shared" si="44"/>
        <v>0.25202414893825764</v>
      </c>
      <c r="AB112" s="16">
        <f t="shared" si="45"/>
        <v>0.20614706782685768</v>
      </c>
      <c r="AC112" s="16">
        <f t="shared" si="46"/>
        <v>0.15615870372185373</v>
      </c>
      <c r="AD112" s="16">
        <f t="shared" si="38"/>
        <v>0.11717353750330591</v>
      </c>
      <c r="AE112" s="16">
        <f t="shared" si="39"/>
        <v>7.3239883024929273E-2</v>
      </c>
      <c r="AF112" s="16">
        <f t="shared" si="40"/>
        <v>4.3627341602166629E-2</v>
      </c>
      <c r="AG112" s="16">
        <f t="shared" si="47"/>
        <v>0.99999999999999989</v>
      </c>
    </row>
    <row r="113" spans="1:51">
      <c r="A113" s="5">
        <v>2007</v>
      </c>
      <c r="B113" s="3" t="s">
        <v>5</v>
      </c>
      <c r="C113" s="9">
        <v>2548065</v>
      </c>
      <c r="D113" s="9">
        <f t="shared" si="41"/>
        <v>509613</v>
      </c>
      <c r="E113" s="9">
        <v>2526184</v>
      </c>
      <c r="F113" s="9">
        <v>2563228</v>
      </c>
      <c r="G113" s="9">
        <v>2502419</v>
      </c>
      <c r="H113" s="9">
        <v>2238405</v>
      </c>
      <c r="I113" s="9">
        <v>1948437</v>
      </c>
      <c r="J113" s="9">
        <v>1695265</v>
      </c>
      <c r="K113" s="9">
        <v>1474258</v>
      </c>
      <c r="L113" s="9">
        <v>1283149</v>
      </c>
      <c r="M113" s="15">
        <v>1106065</v>
      </c>
      <c r="N113" s="15">
        <v>855316</v>
      </c>
      <c r="O113" s="15">
        <v>659252</v>
      </c>
      <c r="P113" s="15">
        <v>520508.00000000006</v>
      </c>
      <c r="Q113" s="15">
        <v>375999</v>
      </c>
      <c r="R113" s="10">
        <f t="shared" si="42"/>
        <v>3035797</v>
      </c>
      <c r="S113" s="10">
        <f t="shared" si="31"/>
        <v>5065647</v>
      </c>
      <c r="T113" s="11">
        <f t="shared" si="32"/>
        <v>4186842</v>
      </c>
      <c r="U113" s="10">
        <f t="shared" si="33"/>
        <v>3169523</v>
      </c>
      <c r="V113" s="10">
        <f t="shared" si="34"/>
        <v>2389214</v>
      </c>
      <c r="W113" s="10">
        <f t="shared" si="35"/>
        <v>1514568</v>
      </c>
      <c r="X113" s="10">
        <f t="shared" si="36"/>
        <v>896507</v>
      </c>
      <c r="Y113" s="11">
        <f t="shared" si="37"/>
        <v>20258098</v>
      </c>
      <c r="Z113" s="16">
        <f t="shared" si="43"/>
        <v>0.14985597364569961</v>
      </c>
      <c r="AA113" s="16">
        <f t="shared" si="44"/>
        <v>0.25005540994026193</v>
      </c>
      <c r="AB113" s="16">
        <f t="shared" si="45"/>
        <v>0.20667498004995336</v>
      </c>
      <c r="AC113" s="16">
        <f t="shared" si="46"/>
        <v>0.15645708693876395</v>
      </c>
      <c r="AD113" s="16">
        <f t="shared" si="38"/>
        <v>0.11793871270639524</v>
      </c>
      <c r="AE113" s="16">
        <f t="shared" si="39"/>
        <v>7.4763583432166242E-2</v>
      </c>
      <c r="AF113" s="16">
        <f t="shared" si="40"/>
        <v>4.4254253286759693E-2</v>
      </c>
      <c r="AG113" s="16">
        <f t="shared" si="47"/>
        <v>1</v>
      </c>
    </row>
    <row r="114" spans="1:51">
      <c r="A114" s="5">
        <v>2008</v>
      </c>
      <c r="B114" s="3" t="s">
        <v>5</v>
      </c>
      <c r="C114" s="9">
        <v>2555462</v>
      </c>
      <c r="D114" s="9">
        <f t="shared" si="41"/>
        <v>511092.4</v>
      </c>
      <c r="E114" s="9">
        <v>2526253</v>
      </c>
      <c r="F114" s="9">
        <v>2552976</v>
      </c>
      <c r="G114" s="9">
        <v>2523985</v>
      </c>
      <c r="H114" s="9">
        <v>2282514</v>
      </c>
      <c r="I114" s="9">
        <v>1967958</v>
      </c>
      <c r="J114" s="9">
        <v>1717873</v>
      </c>
      <c r="K114" s="9">
        <v>1491937</v>
      </c>
      <c r="L114" s="9">
        <v>1302936</v>
      </c>
      <c r="M114" s="15">
        <v>1124243</v>
      </c>
      <c r="N114" s="15">
        <v>898804</v>
      </c>
      <c r="O114" s="15">
        <v>668794</v>
      </c>
      <c r="P114" s="15">
        <v>533911</v>
      </c>
      <c r="Q114" s="15">
        <v>386218</v>
      </c>
      <c r="R114" s="10">
        <f t="shared" si="42"/>
        <v>3037345.4</v>
      </c>
      <c r="S114" s="10">
        <f t="shared" si="31"/>
        <v>5076961</v>
      </c>
      <c r="T114" s="11">
        <f t="shared" si="32"/>
        <v>4250472</v>
      </c>
      <c r="U114" s="10">
        <f t="shared" si="33"/>
        <v>3209810</v>
      </c>
      <c r="V114" s="10">
        <f t="shared" si="34"/>
        <v>2427179</v>
      </c>
      <c r="W114" s="10">
        <f t="shared" si="35"/>
        <v>1567598</v>
      </c>
      <c r="X114" s="10">
        <f t="shared" si="36"/>
        <v>920129</v>
      </c>
      <c r="Y114" s="11">
        <f t="shared" si="37"/>
        <v>20489494.399999999</v>
      </c>
      <c r="Z114" s="16">
        <f t="shared" si="43"/>
        <v>0.14823915811216895</v>
      </c>
      <c r="AA114" s="16">
        <f t="shared" si="44"/>
        <v>0.24778361539267657</v>
      </c>
      <c r="AB114" s="16">
        <f t="shared" si="45"/>
        <v>0.20744640726713101</v>
      </c>
      <c r="AC114" s="16">
        <f t="shared" si="46"/>
        <v>0.15665637898805351</v>
      </c>
      <c r="AD114" s="16">
        <f t="shared" si="38"/>
        <v>0.1184596824409684</v>
      </c>
      <c r="AE114" s="16">
        <f t="shared" si="39"/>
        <v>7.6507402740010999E-2</v>
      </c>
      <c r="AF114" s="16">
        <f t="shared" si="40"/>
        <v>4.4907355058990621E-2</v>
      </c>
      <c r="AG114" s="16">
        <f t="shared" si="47"/>
        <v>1</v>
      </c>
    </row>
    <row r="115" spans="1:51">
      <c r="A115" s="5">
        <v>2009</v>
      </c>
      <c r="B115" s="3" t="s">
        <v>5</v>
      </c>
      <c r="C115" s="9">
        <v>2564754</v>
      </c>
      <c r="D115" s="9">
        <f t="shared" si="41"/>
        <v>512950.8</v>
      </c>
      <c r="E115" s="9">
        <v>2528757</v>
      </c>
      <c r="F115" s="9">
        <v>2543629</v>
      </c>
      <c r="G115" s="9">
        <v>2543506</v>
      </c>
      <c r="H115" s="9">
        <v>2328907</v>
      </c>
      <c r="I115" s="9">
        <v>1992879</v>
      </c>
      <c r="J115" s="9">
        <v>1740132</v>
      </c>
      <c r="K115" s="9">
        <v>1509869</v>
      </c>
      <c r="L115" s="9">
        <v>1322613</v>
      </c>
      <c r="M115" s="15">
        <v>1141974</v>
      </c>
      <c r="N115" s="15">
        <v>940016</v>
      </c>
      <c r="O115" s="15">
        <v>684772</v>
      </c>
      <c r="P115" s="15">
        <v>547098</v>
      </c>
      <c r="Q115" s="15">
        <v>397118</v>
      </c>
      <c r="R115" s="10">
        <f t="shared" si="42"/>
        <v>3041707.8</v>
      </c>
      <c r="S115" s="10">
        <f t="shared" si="31"/>
        <v>5087135</v>
      </c>
      <c r="T115" s="11">
        <f t="shared" si="32"/>
        <v>4321786</v>
      </c>
      <c r="U115" s="10">
        <f t="shared" si="33"/>
        <v>3250001</v>
      </c>
      <c r="V115" s="10">
        <f t="shared" si="34"/>
        <v>2464587</v>
      </c>
      <c r="W115" s="10">
        <f t="shared" si="35"/>
        <v>1624788</v>
      </c>
      <c r="X115" s="10">
        <f t="shared" si="36"/>
        <v>944216</v>
      </c>
      <c r="Y115" s="11">
        <f t="shared" si="37"/>
        <v>20734220.800000001</v>
      </c>
      <c r="Z115" s="16">
        <f t="shared" si="43"/>
        <v>0.14669988466602998</v>
      </c>
      <c r="AA115" s="16">
        <f t="shared" si="44"/>
        <v>0.24534970708906503</v>
      </c>
      <c r="AB115" s="16">
        <f t="shared" si="45"/>
        <v>0.20843734817370133</v>
      </c>
      <c r="AC115" s="16">
        <f t="shared" si="46"/>
        <v>0.15674575048414646</v>
      </c>
      <c r="AD115" s="16">
        <f t="shared" si="38"/>
        <v>0.11886566771778566</v>
      </c>
      <c r="AE115" s="16">
        <f t="shared" si="39"/>
        <v>7.8362626484618128E-2</v>
      </c>
      <c r="AF115" s="16">
        <f t="shared" si="40"/>
        <v>4.5539015384653374E-2</v>
      </c>
      <c r="AG115" s="16">
        <f t="shared" si="47"/>
        <v>0.99999999999999978</v>
      </c>
    </row>
    <row r="116" spans="1:51">
      <c r="A116" s="5">
        <v>2010</v>
      </c>
      <c r="B116" s="3" t="s">
        <v>5</v>
      </c>
      <c r="C116" s="9">
        <v>2576156</v>
      </c>
      <c r="D116" s="9">
        <f t="shared" si="41"/>
        <v>515231.2</v>
      </c>
      <c r="E116" s="9">
        <v>2533575</v>
      </c>
      <c r="F116" s="9">
        <v>2538980</v>
      </c>
      <c r="G116" s="9">
        <v>2560428</v>
      </c>
      <c r="H116" s="9">
        <v>2375060</v>
      </c>
      <c r="I116" s="9">
        <v>2027143</v>
      </c>
      <c r="J116" s="9">
        <v>1762467</v>
      </c>
      <c r="K116" s="9">
        <v>1529039</v>
      </c>
      <c r="L116" s="9">
        <v>1341948</v>
      </c>
      <c r="M116" s="15">
        <v>1161633</v>
      </c>
      <c r="N116" s="15">
        <v>975433</v>
      </c>
      <c r="O116" s="15">
        <v>709729</v>
      </c>
      <c r="P116" s="15">
        <v>559860</v>
      </c>
      <c r="Q116" s="15">
        <v>409009</v>
      </c>
      <c r="R116" s="10">
        <f t="shared" si="42"/>
        <v>3048806.2</v>
      </c>
      <c r="S116" s="10">
        <f t="shared" si="31"/>
        <v>5099408</v>
      </c>
      <c r="T116" s="11">
        <f t="shared" si="32"/>
        <v>4402203</v>
      </c>
      <c r="U116" s="10">
        <f t="shared" si="33"/>
        <v>3291506</v>
      </c>
      <c r="V116" s="10">
        <f t="shared" si="34"/>
        <v>2503581</v>
      </c>
      <c r="W116" s="10">
        <f t="shared" si="35"/>
        <v>1685162</v>
      </c>
      <c r="X116" s="10">
        <f t="shared" si="36"/>
        <v>968869</v>
      </c>
      <c r="Y116" s="11">
        <f t="shared" si="37"/>
        <v>20999535.199999999</v>
      </c>
      <c r="Z116" s="16">
        <f t="shared" si="43"/>
        <v>0.14518446103511853</v>
      </c>
      <c r="AA116" s="16">
        <f t="shared" si="44"/>
        <v>0.24283432711405917</v>
      </c>
      <c r="AB116" s="16">
        <f t="shared" si="45"/>
        <v>0.20963335417061993</v>
      </c>
      <c r="AC116" s="16">
        <f t="shared" si="46"/>
        <v>0.1567418501719981</v>
      </c>
      <c r="AD116" s="16">
        <f t="shared" si="38"/>
        <v>0.1192207816104425</v>
      </c>
      <c r="AE116" s="16">
        <f t="shared" si="39"/>
        <v>8.0247585670372365E-2</v>
      </c>
      <c r="AF116" s="16">
        <f t="shared" si="40"/>
        <v>4.6137640227389413E-2</v>
      </c>
      <c r="AG116" s="16">
        <f t="shared" si="47"/>
        <v>1</v>
      </c>
    </row>
    <row r="117" spans="1:51">
      <c r="A117" s="5">
        <v>2011</v>
      </c>
      <c r="B117" s="3" t="s">
        <v>5</v>
      </c>
      <c r="C117" s="9">
        <v>2588270</v>
      </c>
      <c r="D117" s="9">
        <f t="shared" si="41"/>
        <v>517654</v>
      </c>
      <c r="E117" s="9">
        <v>2538011</v>
      </c>
      <c r="F117" s="9">
        <v>2534580</v>
      </c>
      <c r="G117" s="9">
        <v>2562555</v>
      </c>
      <c r="H117" s="9">
        <v>2412279</v>
      </c>
      <c r="I117" s="9">
        <v>2070924</v>
      </c>
      <c r="J117" s="9">
        <v>1793262</v>
      </c>
      <c r="K117" s="9">
        <v>1561177</v>
      </c>
      <c r="L117" s="9">
        <v>1368530</v>
      </c>
      <c r="M117" s="15">
        <v>1187026</v>
      </c>
      <c r="N117" s="15">
        <v>1007718</v>
      </c>
      <c r="O117" s="15">
        <v>743129</v>
      </c>
      <c r="P117" s="15">
        <v>570971</v>
      </c>
      <c r="Q117" s="15">
        <v>420350</v>
      </c>
      <c r="R117" s="10">
        <f t="shared" si="42"/>
        <v>3055665</v>
      </c>
      <c r="S117" s="10">
        <f t="shared" si="31"/>
        <v>5097135</v>
      </c>
      <c r="T117" s="11">
        <f t="shared" si="32"/>
        <v>4483203</v>
      </c>
      <c r="U117" s="10">
        <f t="shared" si="33"/>
        <v>3354439</v>
      </c>
      <c r="V117" s="10">
        <f t="shared" si="34"/>
        <v>2555556</v>
      </c>
      <c r="W117" s="10">
        <f t="shared" si="35"/>
        <v>1750847</v>
      </c>
      <c r="X117" s="10">
        <f t="shared" si="36"/>
        <v>991321</v>
      </c>
      <c r="Y117" s="11">
        <f t="shared" si="37"/>
        <v>21288166</v>
      </c>
      <c r="Z117" s="16">
        <f t="shared" si="43"/>
        <v>0.14353819864050291</v>
      </c>
      <c r="AA117" s="16">
        <f t="shared" si="44"/>
        <v>0.23943513969216512</v>
      </c>
      <c r="AB117" s="16">
        <f t="shared" si="45"/>
        <v>0.21059601846396725</v>
      </c>
      <c r="AC117" s="16">
        <f t="shared" si="46"/>
        <v>0.15757294451762544</v>
      </c>
      <c r="AD117" s="16">
        <f t="shared" si="38"/>
        <v>0.120045850826229</v>
      </c>
      <c r="AE117" s="16">
        <f t="shared" si="39"/>
        <v>8.2245083958853007E-2</v>
      </c>
      <c r="AF117" s="16">
        <f t="shared" si="40"/>
        <v>4.6566763900657296E-2</v>
      </c>
      <c r="AG117" s="16">
        <f t="shared" si="47"/>
        <v>0.99999999999999989</v>
      </c>
    </row>
    <row r="118" spans="1:51">
      <c r="A118" s="5">
        <v>2012</v>
      </c>
      <c r="B118" s="3" t="s">
        <v>5</v>
      </c>
      <c r="C118" s="9">
        <v>2604517</v>
      </c>
      <c r="D118" s="9">
        <f t="shared" si="41"/>
        <v>520903.4</v>
      </c>
      <c r="E118" s="9">
        <v>2545219</v>
      </c>
      <c r="F118" s="9">
        <v>2535920</v>
      </c>
      <c r="G118" s="9">
        <v>2560705</v>
      </c>
      <c r="H118" s="9">
        <v>2447992</v>
      </c>
      <c r="I118" s="9">
        <v>2123170</v>
      </c>
      <c r="J118" s="9">
        <v>1821711</v>
      </c>
      <c r="K118" s="9">
        <v>1594914</v>
      </c>
      <c r="L118" s="9">
        <v>1396666</v>
      </c>
      <c r="M118" s="15">
        <v>1214556</v>
      </c>
      <c r="N118" s="15">
        <v>1035986.0000000001</v>
      </c>
      <c r="O118" s="15">
        <v>785373</v>
      </c>
      <c r="P118" s="15">
        <v>582106</v>
      </c>
      <c r="Q118" s="15">
        <v>433571</v>
      </c>
      <c r="R118" s="10">
        <f t="shared" si="42"/>
        <v>3066122.4</v>
      </c>
      <c r="S118" s="10">
        <f t="shared" si="31"/>
        <v>5096625</v>
      </c>
      <c r="T118" s="11">
        <f t="shared" si="32"/>
        <v>4571162</v>
      </c>
      <c r="U118" s="10">
        <f t="shared" si="33"/>
        <v>3416625</v>
      </c>
      <c r="V118" s="10">
        <f t="shared" si="34"/>
        <v>2611222</v>
      </c>
      <c r="W118" s="10">
        <f t="shared" si="35"/>
        <v>1821359</v>
      </c>
      <c r="X118" s="10">
        <f t="shared" si="36"/>
        <v>1015677</v>
      </c>
      <c r="Y118" s="11">
        <f t="shared" si="37"/>
        <v>21598792.399999999</v>
      </c>
      <c r="Z118" s="16">
        <f t="shared" si="43"/>
        <v>0.14195804761751402</v>
      </c>
      <c r="AA118" s="16">
        <f t="shared" si="44"/>
        <v>0.23596805347321179</v>
      </c>
      <c r="AB118" s="16">
        <f t="shared" si="45"/>
        <v>0.21163970259744708</v>
      </c>
      <c r="AC118" s="16">
        <f t="shared" si="46"/>
        <v>0.15818592709840576</v>
      </c>
      <c r="AD118" s="16">
        <f t="shared" si="38"/>
        <v>0.12089666642659153</v>
      </c>
      <c r="AE118" s="16">
        <f t="shared" si="39"/>
        <v>8.432689042374425E-2</v>
      </c>
      <c r="AF118" s="16">
        <f t="shared" si="40"/>
        <v>4.7024712363085634E-2</v>
      </c>
      <c r="AG118" s="16">
        <f t="shared" si="47"/>
        <v>0.99999999999999978</v>
      </c>
    </row>
    <row r="119" spans="1:51">
      <c r="A119" s="5">
        <v>2013</v>
      </c>
      <c r="B119" s="3" t="s">
        <v>5</v>
      </c>
      <c r="C119" s="9">
        <v>2624292</v>
      </c>
      <c r="D119" s="9">
        <f t="shared" si="41"/>
        <v>524858.4</v>
      </c>
      <c r="E119" s="9">
        <v>2554116</v>
      </c>
      <c r="F119" s="9">
        <v>2540756</v>
      </c>
      <c r="G119" s="9">
        <v>2556923</v>
      </c>
      <c r="H119" s="9">
        <v>2480876</v>
      </c>
      <c r="I119" s="9">
        <v>2180843</v>
      </c>
      <c r="J119" s="9">
        <v>1849734</v>
      </c>
      <c r="K119" s="9">
        <v>1628406</v>
      </c>
      <c r="L119" s="9">
        <v>1426317</v>
      </c>
      <c r="M119" s="15">
        <v>1243392</v>
      </c>
      <c r="N119" s="15">
        <v>1061875</v>
      </c>
      <c r="O119" s="15">
        <v>832096</v>
      </c>
      <c r="P119" s="15">
        <v>596065</v>
      </c>
      <c r="Q119" s="15">
        <v>448020</v>
      </c>
      <c r="R119" s="10">
        <f t="shared" si="42"/>
        <v>3078974.4</v>
      </c>
      <c r="S119" s="10">
        <f t="shared" si="31"/>
        <v>5097679</v>
      </c>
      <c r="T119" s="11">
        <f t="shared" si="32"/>
        <v>4661719</v>
      </c>
      <c r="U119" s="10">
        <f t="shared" si="33"/>
        <v>3478140</v>
      </c>
      <c r="V119" s="10">
        <f t="shared" si="34"/>
        <v>2669709</v>
      </c>
      <c r="W119" s="10">
        <f t="shared" si="35"/>
        <v>1893971</v>
      </c>
      <c r="X119" s="10">
        <f t="shared" si="36"/>
        <v>1044085</v>
      </c>
      <c r="Y119" s="11">
        <f t="shared" si="37"/>
        <v>21924277.399999999</v>
      </c>
      <c r="Z119" s="16">
        <f t="shared" si="43"/>
        <v>0.14043675619612439</v>
      </c>
      <c r="AA119" s="16">
        <f t="shared" si="44"/>
        <v>0.23251297668766044</v>
      </c>
      <c r="AB119" s="16">
        <f t="shared" si="45"/>
        <v>0.21262817081487942</v>
      </c>
      <c r="AC119" s="16">
        <f t="shared" si="46"/>
        <v>0.15864331291484207</v>
      </c>
      <c r="AD119" s="16">
        <f t="shared" si="38"/>
        <v>0.12176953207132839</v>
      </c>
      <c r="AE119" s="16">
        <f t="shared" si="39"/>
        <v>8.6386929222123418E-2</v>
      </c>
      <c r="AF119" s="16">
        <f t="shared" si="40"/>
        <v>4.7622322093041937E-2</v>
      </c>
      <c r="AG119" s="16">
        <f t="shared" si="47"/>
        <v>1</v>
      </c>
    </row>
    <row r="120" spans="1:51">
      <c r="A120" s="5">
        <v>2014</v>
      </c>
      <c r="B120" s="3" t="s">
        <v>5</v>
      </c>
      <c r="C120" s="9">
        <v>2646131</v>
      </c>
      <c r="D120" s="9">
        <f t="shared" si="41"/>
        <v>529226.19999999995</v>
      </c>
      <c r="E120" s="9">
        <v>2564051</v>
      </c>
      <c r="F120" s="9">
        <v>2546333</v>
      </c>
      <c r="G120" s="9">
        <v>2554479</v>
      </c>
      <c r="H120" s="9">
        <v>2509085</v>
      </c>
      <c r="I120" s="9">
        <v>2238108</v>
      </c>
      <c r="J120" s="9">
        <v>1881372</v>
      </c>
      <c r="K120" s="9">
        <v>1659637</v>
      </c>
      <c r="L120" s="9">
        <v>1456920</v>
      </c>
      <c r="M120" s="15">
        <v>1272491</v>
      </c>
      <c r="N120" s="15">
        <v>1087991</v>
      </c>
      <c r="O120" s="15">
        <v>877105</v>
      </c>
      <c r="P120" s="15">
        <v>616667</v>
      </c>
      <c r="Q120" s="15">
        <v>462716</v>
      </c>
      <c r="R120" s="10">
        <f t="shared" si="42"/>
        <v>3093277.2</v>
      </c>
      <c r="S120" s="10">
        <f t="shared" si="31"/>
        <v>5100812</v>
      </c>
      <c r="T120" s="11">
        <f t="shared" si="32"/>
        <v>4747193</v>
      </c>
      <c r="U120" s="10">
        <f t="shared" si="33"/>
        <v>3541009</v>
      </c>
      <c r="V120" s="10">
        <f t="shared" si="34"/>
        <v>2729411</v>
      </c>
      <c r="W120" s="10">
        <f t="shared" si="35"/>
        <v>1965096</v>
      </c>
      <c r="X120" s="10">
        <f t="shared" si="36"/>
        <v>1079383</v>
      </c>
      <c r="Y120" s="11">
        <f t="shared" si="37"/>
        <v>22256181.199999999</v>
      </c>
      <c r="Z120" s="16">
        <f t="shared" si="43"/>
        <v>0.13898508338887897</v>
      </c>
      <c r="AA120" s="16">
        <f t="shared" si="44"/>
        <v>0.22918630802664386</v>
      </c>
      <c r="AB120" s="16">
        <f t="shared" si="45"/>
        <v>0.21329773321579534</v>
      </c>
      <c r="AC120" s="16">
        <f t="shared" si="46"/>
        <v>0.15910227222628831</v>
      </c>
      <c r="AD120" s="16">
        <f t="shared" si="38"/>
        <v>0.12263608817131666</v>
      </c>
      <c r="AE120" s="16">
        <f t="shared" si="39"/>
        <v>8.8294392570815339E-2</v>
      </c>
      <c r="AF120" s="16">
        <f t="shared" si="40"/>
        <v>4.8498122400261551E-2</v>
      </c>
      <c r="AG120" s="16">
        <f t="shared" si="47"/>
        <v>0.99999999999999989</v>
      </c>
    </row>
    <row r="121" spans="1:51">
      <c r="A121" s="5">
        <v>2015</v>
      </c>
      <c r="B121" s="3" t="s">
        <v>5</v>
      </c>
      <c r="C121" s="9">
        <v>2668379</v>
      </c>
      <c r="D121" s="9">
        <f t="shared" si="41"/>
        <v>533675.80000000005</v>
      </c>
      <c r="E121" s="9">
        <v>2575048</v>
      </c>
      <c r="F121" s="9">
        <v>2551022</v>
      </c>
      <c r="G121" s="9">
        <v>2554908</v>
      </c>
      <c r="H121" s="9">
        <v>2531315</v>
      </c>
      <c r="I121" s="9">
        <v>2290849</v>
      </c>
      <c r="J121" s="9">
        <v>1919764</v>
      </c>
      <c r="K121" s="9">
        <v>1687594</v>
      </c>
      <c r="L121" s="9">
        <v>1487351</v>
      </c>
      <c r="M121" s="15">
        <v>1301336</v>
      </c>
      <c r="N121" s="15">
        <v>1115661</v>
      </c>
      <c r="O121" s="15">
        <v>916833</v>
      </c>
      <c r="P121" s="15">
        <v>645583</v>
      </c>
      <c r="Q121" s="15">
        <v>477409</v>
      </c>
      <c r="R121" s="10">
        <f t="shared" si="42"/>
        <v>3108723.8</v>
      </c>
      <c r="S121" s="10">
        <f t="shared" si="31"/>
        <v>5105930</v>
      </c>
      <c r="T121" s="11">
        <f t="shared" si="32"/>
        <v>4822164</v>
      </c>
      <c r="U121" s="10">
        <f t="shared" si="33"/>
        <v>3607358</v>
      </c>
      <c r="V121" s="10">
        <f t="shared" si="34"/>
        <v>2788687</v>
      </c>
      <c r="W121" s="10">
        <f t="shared" si="35"/>
        <v>2032494</v>
      </c>
      <c r="X121" s="10">
        <f t="shared" si="36"/>
        <v>1122992</v>
      </c>
      <c r="Y121" s="11">
        <f t="shared" si="37"/>
        <v>22588348.800000001</v>
      </c>
      <c r="Z121" s="16">
        <f t="shared" si="43"/>
        <v>0.1376251016630308</v>
      </c>
      <c r="AA121" s="16">
        <f t="shared" si="44"/>
        <v>0.22604264017739978</v>
      </c>
      <c r="AB121" s="16">
        <f t="shared" si="45"/>
        <v>0.21348014601226628</v>
      </c>
      <c r="AC121" s="16">
        <f t="shared" si="46"/>
        <v>0.15969994229945661</v>
      </c>
      <c r="AD121" s="16">
        <f t="shared" si="38"/>
        <v>0.12345687702502628</v>
      </c>
      <c r="AE121" s="16">
        <f t="shared" si="39"/>
        <v>8.9979750976751344E-2</v>
      </c>
      <c r="AF121" s="16">
        <f t="shared" si="40"/>
        <v>4.9715541846068891E-2</v>
      </c>
      <c r="AG121" s="16">
        <f t="shared" si="47"/>
        <v>1</v>
      </c>
    </row>
    <row r="122" spans="1:51">
      <c r="A122" s="5">
        <v>2016</v>
      </c>
      <c r="B122" s="3" t="s">
        <v>5</v>
      </c>
      <c r="C122" s="9">
        <v>2692688</v>
      </c>
      <c r="D122" s="9">
        <f t="shared" si="41"/>
        <v>538537.6</v>
      </c>
      <c r="E122" s="9">
        <v>2587981</v>
      </c>
      <c r="F122" s="9">
        <v>2552581</v>
      </c>
      <c r="G122" s="9">
        <v>2551692</v>
      </c>
      <c r="H122" s="9">
        <v>2545251</v>
      </c>
      <c r="I122" s="9">
        <v>2345051</v>
      </c>
      <c r="J122" s="9">
        <v>1975339</v>
      </c>
      <c r="K122" s="9">
        <v>1716570</v>
      </c>
      <c r="L122" s="9">
        <v>1513586</v>
      </c>
      <c r="M122" s="15">
        <v>1324690</v>
      </c>
      <c r="N122" s="15">
        <v>1137453</v>
      </c>
      <c r="O122" s="15">
        <v>945145</v>
      </c>
      <c r="P122" s="15">
        <v>674918</v>
      </c>
      <c r="Q122" s="15">
        <v>488046</v>
      </c>
      <c r="R122" s="10">
        <f t="shared" si="42"/>
        <v>3126518.6</v>
      </c>
      <c r="S122" s="10">
        <f t="shared" si="31"/>
        <v>5104273</v>
      </c>
      <c r="T122" s="11">
        <f t="shared" si="32"/>
        <v>4890302</v>
      </c>
      <c r="U122" s="10">
        <f t="shared" si="33"/>
        <v>3691909</v>
      </c>
      <c r="V122" s="10">
        <f t="shared" si="34"/>
        <v>2838276</v>
      </c>
      <c r="W122" s="10">
        <f t="shared" si="35"/>
        <v>2082598</v>
      </c>
      <c r="X122" s="10">
        <f t="shared" si="36"/>
        <v>1162964</v>
      </c>
      <c r="Y122" s="11">
        <f t="shared" si="37"/>
        <v>22896840.600000001</v>
      </c>
      <c r="Z122" s="16">
        <f t="shared" si="43"/>
        <v>0.13654803536519355</v>
      </c>
      <c r="AA122" s="16">
        <f t="shared" si="44"/>
        <v>0.22292477329819904</v>
      </c>
      <c r="AB122" s="16">
        <f t="shared" si="45"/>
        <v>0.21357977222412072</v>
      </c>
      <c r="AC122" s="16">
        <f t="shared" si="46"/>
        <v>0.16124097924671754</v>
      </c>
      <c r="AD122" s="16">
        <f t="shared" si="38"/>
        <v>0.12395928545705122</v>
      </c>
      <c r="AE122" s="16">
        <f t="shared" si="39"/>
        <v>9.0955692812920222E-2</v>
      </c>
      <c r="AF122" s="16">
        <f t="shared" si="40"/>
        <v>5.079146159579763E-2</v>
      </c>
      <c r="AG122" s="16">
        <f t="shared" si="47"/>
        <v>1</v>
      </c>
    </row>
    <row r="123" spans="1:51">
      <c r="A123" s="2">
        <v>2017</v>
      </c>
      <c r="B123" s="3" t="s">
        <v>5</v>
      </c>
      <c r="C123" s="9">
        <v>2719700</v>
      </c>
      <c r="D123" s="9">
        <f t="shared" si="41"/>
        <v>543940</v>
      </c>
      <c r="E123" s="9">
        <v>2603685</v>
      </c>
      <c r="F123" s="9">
        <v>2555420</v>
      </c>
      <c r="G123" s="9">
        <v>2550570</v>
      </c>
      <c r="H123" s="9">
        <v>2550351</v>
      </c>
      <c r="I123" s="9">
        <v>2394266</v>
      </c>
      <c r="J123" s="9">
        <v>2039776</v>
      </c>
      <c r="K123" s="9">
        <v>1745050</v>
      </c>
      <c r="L123" s="9">
        <v>1541175</v>
      </c>
      <c r="M123" s="15">
        <v>1348848</v>
      </c>
      <c r="N123" s="15">
        <v>1160340</v>
      </c>
      <c r="O123" s="15">
        <v>969315</v>
      </c>
      <c r="P123" s="15">
        <v>711256</v>
      </c>
      <c r="Q123" s="15">
        <v>497759</v>
      </c>
      <c r="R123" s="10">
        <f t="shared" si="42"/>
        <v>3147625</v>
      </c>
      <c r="S123" s="10">
        <f t="shared" si="31"/>
        <v>5105990</v>
      </c>
      <c r="T123" s="11">
        <f t="shared" si="32"/>
        <v>4944617</v>
      </c>
      <c r="U123" s="10">
        <f t="shared" si="33"/>
        <v>3784826</v>
      </c>
      <c r="V123" s="10">
        <f t="shared" si="34"/>
        <v>2890023</v>
      </c>
      <c r="W123" s="10">
        <f t="shared" si="35"/>
        <v>2129655</v>
      </c>
      <c r="X123" s="10">
        <f t="shared" si="36"/>
        <v>1209015</v>
      </c>
      <c r="Y123" s="11">
        <f t="shared" si="37"/>
        <v>23211751</v>
      </c>
      <c r="Z123" s="16">
        <f t="shared" si="43"/>
        <v>0.13560480637587402</v>
      </c>
      <c r="AA123" s="16">
        <f t="shared" si="44"/>
        <v>0.21997435695394113</v>
      </c>
      <c r="AB123" s="16">
        <f t="shared" si="45"/>
        <v>0.21302214555032922</v>
      </c>
      <c r="AC123" s="16">
        <f t="shared" si="46"/>
        <v>0.16305646222036416</v>
      </c>
      <c r="AD123" s="16">
        <f t="shared" si="38"/>
        <v>0.12450689308187048</v>
      </c>
      <c r="AE123" s="16">
        <f t="shared" si="39"/>
        <v>9.1749002477236635E-2</v>
      </c>
      <c r="AF123" s="16">
        <f t="shared" si="40"/>
        <v>5.2086333340384358E-2</v>
      </c>
      <c r="AG123" s="16">
        <f t="shared" si="47"/>
        <v>1</v>
      </c>
    </row>
    <row r="124" spans="1:51">
      <c r="A124" s="2">
        <v>2018</v>
      </c>
      <c r="B124" s="3" t="s">
        <v>5</v>
      </c>
      <c r="C124" s="9">
        <v>2748097</v>
      </c>
      <c r="D124" s="9">
        <f t="shared" si="41"/>
        <v>549619.4</v>
      </c>
      <c r="E124" s="9">
        <v>2621364</v>
      </c>
      <c r="F124" s="9">
        <v>2559474</v>
      </c>
      <c r="G124" s="9">
        <v>2550892</v>
      </c>
      <c r="H124" s="9">
        <v>2549183</v>
      </c>
      <c r="I124" s="9">
        <v>2437030</v>
      </c>
      <c r="J124" s="9">
        <v>2108701</v>
      </c>
      <c r="K124" s="9">
        <v>1775756</v>
      </c>
      <c r="L124" s="9">
        <v>1569513</v>
      </c>
      <c r="M124" s="15">
        <v>1373576</v>
      </c>
      <c r="N124" s="15">
        <v>1183955</v>
      </c>
      <c r="O124" s="15">
        <v>990896</v>
      </c>
      <c r="P124" s="15">
        <v>751067</v>
      </c>
      <c r="Q124" s="15">
        <v>508942</v>
      </c>
      <c r="R124" s="10">
        <f t="shared" si="42"/>
        <v>3170983.4</v>
      </c>
      <c r="S124" s="10">
        <f t="shared" si="31"/>
        <v>5110366</v>
      </c>
      <c r="T124" s="11">
        <f t="shared" si="32"/>
        <v>4986213</v>
      </c>
      <c r="U124" s="10">
        <f t="shared" si="33"/>
        <v>3884457</v>
      </c>
      <c r="V124" s="10">
        <f t="shared" si="34"/>
        <v>2943089</v>
      </c>
      <c r="W124" s="10">
        <f t="shared" si="35"/>
        <v>2174851</v>
      </c>
      <c r="X124" s="10">
        <f t="shared" si="36"/>
        <v>1260009</v>
      </c>
      <c r="Y124" s="11">
        <f t="shared" si="37"/>
        <v>23529968.399999999</v>
      </c>
      <c r="Z124" s="16">
        <f t="shared" si="43"/>
        <v>0.13476360639736346</v>
      </c>
      <c r="AA124" s="16">
        <f t="shared" si="44"/>
        <v>0.21718541704458899</v>
      </c>
      <c r="AB124" s="16">
        <f t="shared" si="45"/>
        <v>0.21190903936785568</v>
      </c>
      <c r="AC124" s="16">
        <f t="shared" si="46"/>
        <v>0.16508551707192265</v>
      </c>
      <c r="AD124" s="16">
        <f t="shared" si="38"/>
        <v>0.12507832352210044</v>
      </c>
      <c r="AE124" s="16">
        <f t="shared" si="39"/>
        <v>9.2428980907598671E-2</v>
      </c>
      <c r="AF124" s="16">
        <f t="shared" si="40"/>
        <v>5.3549115688570161E-2</v>
      </c>
      <c r="AG124" s="16">
        <f t="shared" si="47"/>
        <v>1</v>
      </c>
      <c r="AH124" s="13"/>
      <c r="AI124" s="13"/>
      <c r="AJ124" s="13"/>
      <c r="AK124" s="13"/>
      <c r="AL124" s="13"/>
      <c r="AM124" s="13"/>
      <c r="AN124" s="13"/>
      <c r="AO124" s="13"/>
      <c r="AP124" s="13"/>
      <c r="AQ124" s="13"/>
      <c r="AR124" s="13"/>
      <c r="AS124" s="13"/>
      <c r="AT124" s="13"/>
      <c r="AU124" s="13"/>
      <c r="AV124" s="13"/>
      <c r="AW124" s="13"/>
      <c r="AX124" s="13"/>
      <c r="AY124" s="13"/>
    </row>
    <row r="125" spans="1:51">
      <c r="A125" s="5">
        <v>2019</v>
      </c>
      <c r="B125" s="3" t="s">
        <v>5</v>
      </c>
      <c r="C125" s="9">
        <v>2774566</v>
      </c>
      <c r="D125" s="9">
        <f t="shared" si="41"/>
        <v>554913.19999999995</v>
      </c>
      <c r="E125" s="9">
        <v>2640754</v>
      </c>
      <c r="F125" s="9">
        <v>2565045</v>
      </c>
      <c r="G125" s="9">
        <v>2551301</v>
      </c>
      <c r="H125" s="9">
        <v>2545889</v>
      </c>
      <c r="I125" s="9">
        <v>2471600</v>
      </c>
      <c r="J125" s="9">
        <v>2175517</v>
      </c>
      <c r="K125" s="9">
        <v>1812986</v>
      </c>
      <c r="L125" s="9">
        <v>1597744</v>
      </c>
      <c r="M125" s="15">
        <v>1398583</v>
      </c>
      <c r="N125" s="15">
        <v>1207743</v>
      </c>
      <c r="O125" s="15">
        <v>1012344</v>
      </c>
      <c r="P125" s="15">
        <v>789129</v>
      </c>
      <c r="Q125" s="15">
        <v>525154</v>
      </c>
      <c r="R125" s="10">
        <f t="shared" si="42"/>
        <v>3195667.2</v>
      </c>
      <c r="S125" s="10">
        <f t="shared" si="31"/>
        <v>5116346</v>
      </c>
      <c r="T125" s="11">
        <f t="shared" si="32"/>
        <v>5017489</v>
      </c>
      <c r="U125" s="10">
        <f t="shared" si="33"/>
        <v>3988503</v>
      </c>
      <c r="V125" s="10">
        <f t="shared" si="34"/>
        <v>2996327</v>
      </c>
      <c r="W125" s="10">
        <f t="shared" si="35"/>
        <v>2220087</v>
      </c>
      <c r="X125" s="10">
        <f t="shared" si="36"/>
        <v>1314283</v>
      </c>
      <c r="Y125" s="11">
        <f t="shared" si="37"/>
        <v>23848702.199999999</v>
      </c>
      <c r="Z125" s="16">
        <f t="shared" si="43"/>
        <v>0.13399753048197316</v>
      </c>
      <c r="AA125" s="16">
        <f t="shared" si="44"/>
        <v>0.21453351872539211</v>
      </c>
      <c r="AB125" s="16">
        <f t="shared" si="45"/>
        <v>0.21038834557630562</v>
      </c>
      <c r="AC125" s="16">
        <f t="shared" si="46"/>
        <v>0.16724193067411441</v>
      </c>
      <c r="AD125" s="16">
        <f t="shared" si="38"/>
        <v>0.12563899598695982</v>
      </c>
      <c r="AE125" s="16">
        <f t="shared" si="39"/>
        <v>9.3090474331974343E-2</v>
      </c>
      <c r="AF125" s="16">
        <f t="shared" si="40"/>
        <v>5.5109204223280549E-2</v>
      </c>
      <c r="AG125" s="16">
        <f t="shared" si="47"/>
        <v>1</v>
      </c>
      <c r="AH125" s="13"/>
      <c r="AI125" s="13"/>
      <c r="AJ125" s="13"/>
      <c r="AK125" s="13"/>
      <c r="AL125" s="13"/>
      <c r="AM125" s="13"/>
      <c r="AN125" s="13"/>
      <c r="AO125" s="13"/>
      <c r="AP125" s="13"/>
      <c r="AQ125" s="13"/>
      <c r="AR125" s="13"/>
      <c r="AS125" s="13"/>
      <c r="AT125" s="13"/>
      <c r="AU125" s="13"/>
      <c r="AV125" s="13"/>
      <c r="AW125" s="13"/>
      <c r="AX125" s="13"/>
      <c r="AY125" s="13"/>
    </row>
    <row r="126" spans="1:51">
      <c r="A126" s="5">
        <v>2020</v>
      </c>
      <c r="B126" s="3" t="s">
        <v>5</v>
      </c>
      <c r="C126" s="9">
        <v>2794697</v>
      </c>
      <c r="D126" s="9">
        <f t="shared" si="41"/>
        <v>558939.4</v>
      </c>
      <c r="E126" s="9">
        <v>2662365</v>
      </c>
      <c r="F126" s="9">
        <v>2572632</v>
      </c>
      <c r="G126" s="9">
        <v>2551122</v>
      </c>
      <c r="H126" s="9">
        <v>2543318</v>
      </c>
      <c r="I126" s="9">
        <v>2497117</v>
      </c>
      <c r="J126" s="9">
        <v>2236078</v>
      </c>
      <c r="K126" s="9">
        <v>1859182</v>
      </c>
      <c r="L126" s="9">
        <v>1625656</v>
      </c>
      <c r="M126" s="15">
        <v>1423749</v>
      </c>
      <c r="N126" s="15">
        <v>1231465</v>
      </c>
      <c r="O126" s="15">
        <v>1035067</v>
      </c>
      <c r="P126" s="15">
        <v>822484</v>
      </c>
      <c r="Q126" s="15">
        <v>548283</v>
      </c>
      <c r="R126" s="10">
        <f t="shared" si="42"/>
        <v>3221304.4</v>
      </c>
      <c r="S126" s="10">
        <f t="shared" si="31"/>
        <v>5123754</v>
      </c>
      <c r="T126" s="11">
        <f t="shared" si="32"/>
        <v>5040435</v>
      </c>
      <c r="U126" s="10">
        <f t="shared" si="33"/>
        <v>4095260</v>
      </c>
      <c r="V126" s="10">
        <f t="shared" si="34"/>
        <v>3049405</v>
      </c>
      <c r="W126" s="10">
        <f t="shared" si="35"/>
        <v>2266532</v>
      </c>
      <c r="X126" s="10">
        <f t="shared" si="36"/>
        <v>1370767</v>
      </c>
      <c r="Y126" s="11">
        <f t="shared" si="37"/>
        <v>24167457.399999999</v>
      </c>
      <c r="Z126" s="16">
        <f t="shared" si="43"/>
        <v>0.13329099320146107</v>
      </c>
      <c r="AA126" s="16">
        <f t="shared" si="44"/>
        <v>0.21201046991397615</v>
      </c>
      <c r="AB126" s="16">
        <f t="shared" si="45"/>
        <v>0.20856289995984437</v>
      </c>
      <c r="AC126" s="16">
        <f t="shared" si="46"/>
        <v>0.16945348996456699</v>
      </c>
      <c r="AD126" s="16">
        <f t="shared" si="38"/>
        <v>0.12617814731308888</v>
      </c>
      <c r="AE126" s="16">
        <f t="shared" si="39"/>
        <v>9.3784462406872812E-2</v>
      </c>
      <c r="AF126" s="16">
        <f t="shared" si="40"/>
        <v>5.6719537240189778E-2</v>
      </c>
      <c r="AG126" s="16">
        <f t="shared" si="47"/>
        <v>0.99999999999999989</v>
      </c>
      <c r="AH126" s="13"/>
      <c r="AI126" s="13"/>
      <c r="AJ126" s="13"/>
      <c r="AK126" s="13"/>
      <c r="AL126" s="13"/>
      <c r="AM126" s="13"/>
      <c r="AN126" s="13"/>
      <c r="AO126" s="13"/>
      <c r="AP126" s="13"/>
      <c r="AQ126" s="13"/>
      <c r="AR126" s="13"/>
      <c r="AS126" s="13"/>
      <c r="AT126" s="13"/>
      <c r="AU126" s="13"/>
      <c r="AV126" s="13"/>
      <c r="AW126" s="13"/>
      <c r="AX126" s="13"/>
      <c r="AY126" s="13"/>
    </row>
    <row r="127" spans="1:51">
      <c r="A127" s="5">
        <v>2025</v>
      </c>
      <c r="B127" s="3" t="s">
        <v>5</v>
      </c>
      <c r="C127" s="9">
        <v>2784720</v>
      </c>
      <c r="D127" s="9">
        <f t="shared" si="41"/>
        <v>556944</v>
      </c>
      <c r="E127" s="9">
        <v>2791964</v>
      </c>
      <c r="F127" s="9">
        <v>2659652</v>
      </c>
      <c r="G127" s="9">
        <v>2566967</v>
      </c>
      <c r="H127" s="9">
        <v>2535384</v>
      </c>
      <c r="I127" s="9">
        <v>2511013</v>
      </c>
      <c r="J127" s="9">
        <v>2442369</v>
      </c>
      <c r="K127" s="9">
        <v>2165779</v>
      </c>
      <c r="L127" s="9">
        <v>1783589</v>
      </c>
      <c r="M127" s="15">
        <v>1549140</v>
      </c>
      <c r="N127" s="15">
        <v>1345523</v>
      </c>
      <c r="O127" s="15">
        <v>1143797</v>
      </c>
      <c r="P127" s="15">
        <v>931882</v>
      </c>
      <c r="Q127" s="15">
        <v>703338</v>
      </c>
      <c r="R127" s="10">
        <f t="shared" si="42"/>
        <v>3348908</v>
      </c>
      <c r="S127" s="10">
        <f t="shared" si="31"/>
        <v>5226619</v>
      </c>
      <c r="T127" s="11">
        <f t="shared" si="32"/>
        <v>5046397</v>
      </c>
      <c r="U127" s="10">
        <f t="shared" si="33"/>
        <v>4608148</v>
      </c>
      <c r="V127" s="10">
        <f t="shared" si="34"/>
        <v>3332729</v>
      </c>
      <c r="W127" s="10">
        <f t="shared" si="35"/>
        <v>2489320</v>
      </c>
      <c r="X127" s="10">
        <f t="shared" si="36"/>
        <v>1635220</v>
      </c>
      <c r="Y127" s="11">
        <f t="shared" si="37"/>
        <v>25687341</v>
      </c>
      <c r="Z127" s="16">
        <f t="shared" si="43"/>
        <v>0.13037192132887557</v>
      </c>
      <c r="AA127" s="16">
        <f t="shared" si="44"/>
        <v>0.20347061223658766</v>
      </c>
      <c r="AB127" s="16">
        <f t="shared" si="45"/>
        <v>0.19645462720333723</v>
      </c>
      <c r="AC127" s="16">
        <f t="shared" si="46"/>
        <v>0.17939373327897193</v>
      </c>
      <c r="AD127" s="16">
        <f t="shared" si="38"/>
        <v>0.12974207801422499</v>
      </c>
      <c r="AE127" s="16">
        <f t="shared" si="39"/>
        <v>9.6908434391866402E-2</v>
      </c>
      <c r="AF127" s="16">
        <f t="shared" si="40"/>
        <v>6.3658593546136205E-2</v>
      </c>
      <c r="AG127" s="16">
        <f t="shared" si="47"/>
        <v>1</v>
      </c>
      <c r="AH127" s="13"/>
      <c r="AI127" s="13"/>
      <c r="AJ127" s="13"/>
      <c r="AK127" s="13"/>
      <c r="AL127" s="13"/>
      <c r="AM127" s="13"/>
      <c r="AN127" s="13"/>
      <c r="AO127" s="13"/>
      <c r="AP127" s="13"/>
      <c r="AQ127" s="13"/>
      <c r="AR127" s="13"/>
      <c r="AS127" s="13"/>
      <c r="AT127" s="13"/>
      <c r="AU127" s="13"/>
      <c r="AV127" s="13"/>
      <c r="AW127" s="13"/>
      <c r="AX127" s="13"/>
      <c r="AY127" s="13"/>
    </row>
    <row r="128" spans="1:51">
      <c r="A128" s="5">
        <v>2030</v>
      </c>
      <c r="B128" s="3" t="s">
        <v>5</v>
      </c>
      <c r="C128" s="9">
        <v>2733927</v>
      </c>
      <c r="D128" s="9">
        <f t="shared" si="41"/>
        <v>546785.4</v>
      </c>
      <c r="E128" s="9">
        <v>2782317</v>
      </c>
      <c r="F128" s="9">
        <v>2789084</v>
      </c>
      <c r="G128" s="9">
        <v>2649291</v>
      </c>
      <c r="H128" s="9">
        <v>2545021</v>
      </c>
      <c r="I128" s="9">
        <v>2501011</v>
      </c>
      <c r="J128" s="9">
        <v>2459036</v>
      </c>
      <c r="K128" s="9">
        <v>2371704</v>
      </c>
      <c r="L128" s="9">
        <v>2080938</v>
      </c>
      <c r="M128" s="15">
        <v>1695153</v>
      </c>
      <c r="N128" s="15">
        <v>1459834</v>
      </c>
      <c r="O128" s="15">
        <v>1250154</v>
      </c>
      <c r="P128" s="15">
        <v>1032848</v>
      </c>
      <c r="Q128" s="15">
        <v>801516</v>
      </c>
      <c r="R128" s="10">
        <f t="shared" si="42"/>
        <v>3329102.4</v>
      </c>
      <c r="S128" s="10">
        <f t="shared" si="31"/>
        <v>5438375</v>
      </c>
      <c r="T128" s="11">
        <f t="shared" si="32"/>
        <v>5046032</v>
      </c>
      <c r="U128" s="10">
        <f t="shared" si="33"/>
        <v>4830740</v>
      </c>
      <c r="V128" s="10">
        <f t="shared" si="34"/>
        <v>3776091</v>
      </c>
      <c r="W128" s="10">
        <f t="shared" si="35"/>
        <v>2709988</v>
      </c>
      <c r="X128" s="10">
        <f t="shared" si="36"/>
        <v>1834364</v>
      </c>
      <c r="Y128" s="11">
        <f t="shared" si="37"/>
        <v>26964692.399999999</v>
      </c>
      <c r="Z128" s="16">
        <f t="shared" si="43"/>
        <v>0.12346153817055966</v>
      </c>
      <c r="AA128" s="16">
        <f t="shared" si="44"/>
        <v>0.2016850375789935</v>
      </c>
      <c r="AB128" s="16">
        <f t="shared" si="45"/>
        <v>0.18713478815727191</v>
      </c>
      <c r="AC128" s="16">
        <f t="shared" si="46"/>
        <v>0.17915056950547673</v>
      </c>
      <c r="AD128" s="16">
        <f t="shared" si="38"/>
        <v>0.14003834881498595</v>
      </c>
      <c r="AE128" s="16">
        <f t="shared" si="39"/>
        <v>0.10050135042519528</v>
      </c>
      <c r="AF128" s="16">
        <f t="shared" si="40"/>
        <v>6.8028367347517008E-2</v>
      </c>
      <c r="AG128" s="16">
        <f t="shared" si="47"/>
        <v>1</v>
      </c>
      <c r="AH128" s="13"/>
      <c r="AI128" s="13"/>
      <c r="AJ128" s="13"/>
      <c r="AK128" s="13"/>
      <c r="AL128" s="13"/>
      <c r="AM128" s="13"/>
      <c r="AN128" s="13"/>
      <c r="AO128" s="13"/>
      <c r="AP128" s="13"/>
      <c r="AQ128" s="13"/>
      <c r="AR128" s="13"/>
      <c r="AS128" s="13"/>
      <c r="AT128" s="13"/>
      <c r="AU128" s="13"/>
      <c r="AV128" s="13"/>
      <c r="AW128" s="13"/>
      <c r="AX128" s="13"/>
      <c r="AY128" s="13"/>
    </row>
    <row r="129" spans="1:51">
      <c r="A129" s="5">
        <v>2035</v>
      </c>
      <c r="B129" s="3" t="s">
        <v>5</v>
      </c>
      <c r="C129" s="9">
        <v>2672301</v>
      </c>
      <c r="D129" s="9">
        <f t="shared" si="41"/>
        <v>534460.19999999995</v>
      </c>
      <c r="E129" s="9">
        <v>2732028</v>
      </c>
      <c r="F129" s="9">
        <v>2780627</v>
      </c>
      <c r="G129" s="9">
        <v>2781535</v>
      </c>
      <c r="H129" s="9">
        <v>2630617</v>
      </c>
      <c r="I129" s="9">
        <v>2514336</v>
      </c>
      <c r="J129" s="9">
        <v>2455021</v>
      </c>
      <c r="K129" s="9">
        <v>2396281</v>
      </c>
      <c r="L129" s="9">
        <v>2289878</v>
      </c>
      <c r="M129" s="15">
        <v>1984497</v>
      </c>
      <c r="N129" s="15">
        <v>1595735</v>
      </c>
      <c r="O129" s="15">
        <v>1354736</v>
      </c>
      <c r="P129" s="15">
        <v>1131243</v>
      </c>
      <c r="Q129" s="15">
        <v>892971</v>
      </c>
      <c r="R129" s="10">
        <f t="shared" si="42"/>
        <v>3266488.2</v>
      </c>
      <c r="S129" s="10">
        <f t="shared" si="31"/>
        <v>5562162</v>
      </c>
      <c r="T129" s="11">
        <f t="shared" si="32"/>
        <v>5144953</v>
      </c>
      <c r="U129" s="10">
        <f t="shared" si="33"/>
        <v>4851302</v>
      </c>
      <c r="V129" s="10">
        <f t="shared" si="34"/>
        <v>4274375</v>
      </c>
      <c r="W129" s="10">
        <f t="shared" si="35"/>
        <v>2950471</v>
      </c>
      <c r="X129" s="10">
        <f t="shared" si="36"/>
        <v>2024214</v>
      </c>
      <c r="Y129" s="11">
        <f t="shared" si="37"/>
        <v>28073965.199999999</v>
      </c>
      <c r="Z129" s="16">
        <f t="shared" si="43"/>
        <v>0.11635293328638878</v>
      </c>
      <c r="AA129" s="16">
        <f t="shared" si="44"/>
        <v>0.19812527230745447</v>
      </c>
      <c r="AB129" s="16">
        <f t="shared" si="45"/>
        <v>0.18326420807845129</v>
      </c>
      <c r="AC129" s="16">
        <f t="shared" si="46"/>
        <v>0.1728043033977972</v>
      </c>
      <c r="AD129" s="16">
        <f t="shared" si="38"/>
        <v>0.15225405351717114</v>
      </c>
      <c r="AE129" s="16">
        <f t="shared" si="39"/>
        <v>0.10509634029182312</v>
      </c>
      <c r="AF129" s="16">
        <f t="shared" si="40"/>
        <v>7.210288912091406E-2</v>
      </c>
      <c r="AG129" s="16">
        <f t="shared" si="47"/>
        <v>1</v>
      </c>
      <c r="AH129" s="13"/>
      <c r="AI129" s="13"/>
      <c r="AJ129" s="13"/>
      <c r="AK129" s="13"/>
      <c r="AL129" s="13"/>
      <c r="AM129" s="13"/>
      <c r="AN129" s="13"/>
      <c r="AO129" s="13"/>
      <c r="AP129" s="13"/>
      <c r="AQ129" s="13"/>
      <c r="AR129" s="13"/>
      <c r="AS129" s="13"/>
      <c r="AT129" s="13"/>
      <c r="AU129" s="13"/>
      <c r="AV129" s="13"/>
      <c r="AW129" s="13"/>
      <c r="AX129" s="13"/>
      <c r="AY129" s="13"/>
    </row>
    <row r="130" spans="1:51">
      <c r="A130" s="5">
        <v>2040</v>
      </c>
      <c r="B130" s="3" t="s">
        <v>5</v>
      </c>
      <c r="C130" s="9">
        <v>2625425</v>
      </c>
      <c r="D130" s="9">
        <f t="shared" ref="D130:D142" si="48">C130/5</f>
        <v>525085</v>
      </c>
      <c r="E130" s="9">
        <v>2670685</v>
      </c>
      <c r="F130" s="9">
        <v>2730890</v>
      </c>
      <c r="G130" s="9">
        <v>2775212</v>
      </c>
      <c r="H130" s="9">
        <v>2765928</v>
      </c>
      <c r="I130" s="9">
        <v>2603545</v>
      </c>
      <c r="J130" s="9">
        <v>2473186</v>
      </c>
      <c r="K130" s="9">
        <v>2399158</v>
      </c>
      <c r="L130" s="9">
        <v>2323273</v>
      </c>
      <c r="M130" s="15">
        <v>2195546</v>
      </c>
      <c r="N130" s="15">
        <v>1875280</v>
      </c>
      <c r="O130" s="15">
        <v>1480801</v>
      </c>
      <c r="P130" s="15">
        <v>1226282</v>
      </c>
      <c r="Q130" s="15">
        <v>982049</v>
      </c>
      <c r="R130" s="10">
        <f t="shared" ref="R130:R142" si="49">D130+E130</f>
        <v>3195770</v>
      </c>
      <c r="S130" s="10">
        <f t="shared" si="31"/>
        <v>5506102</v>
      </c>
      <c r="T130" s="11">
        <f t="shared" si="32"/>
        <v>5369473</v>
      </c>
      <c r="U130" s="10">
        <f t="shared" si="33"/>
        <v>4872344</v>
      </c>
      <c r="V130" s="10">
        <f t="shared" si="34"/>
        <v>4518819</v>
      </c>
      <c r="W130" s="10">
        <f t="shared" si="35"/>
        <v>3356081</v>
      </c>
      <c r="X130" s="10">
        <f t="shared" si="36"/>
        <v>2208331</v>
      </c>
      <c r="Y130" s="11">
        <f t="shared" si="37"/>
        <v>29026920</v>
      </c>
      <c r="Z130" s="16">
        <f t="shared" ref="Z130:Z142" si="50">R130/Y130</f>
        <v>0.11009676534747745</v>
      </c>
      <c r="AA130" s="16">
        <f t="shared" ref="AA130:AA142" si="51">S130/Y130</f>
        <v>0.18968950202088269</v>
      </c>
      <c r="AB130" s="16">
        <f t="shared" ref="AB130:AB142" si="52">T130/Y130</f>
        <v>0.18498252656499553</v>
      </c>
      <c r="AC130" s="16">
        <f t="shared" ref="AC130:AC142" si="53">U130/Y130</f>
        <v>0.16785604535376128</v>
      </c>
      <c r="AD130" s="16">
        <f t="shared" si="38"/>
        <v>0.15567683378050445</v>
      </c>
      <c r="AE130" s="16">
        <f t="shared" si="39"/>
        <v>0.11561960414677135</v>
      </c>
      <c r="AF130" s="16">
        <f t="shared" si="40"/>
        <v>7.6078722785607289E-2</v>
      </c>
      <c r="AG130" s="16">
        <f t="shared" ref="AG130:AG142" si="54">SUM(Z130:AF130)</f>
        <v>1</v>
      </c>
      <c r="AH130" s="13"/>
      <c r="AI130" s="13"/>
      <c r="AJ130" s="13"/>
      <c r="AK130" s="13"/>
      <c r="AL130" s="13"/>
      <c r="AM130" s="13"/>
      <c r="AN130" s="13"/>
      <c r="AO130" s="13"/>
      <c r="AP130" s="13"/>
      <c r="AQ130" s="13"/>
      <c r="AR130" s="13"/>
      <c r="AS130" s="13"/>
      <c r="AT130" s="13"/>
      <c r="AU130" s="13"/>
      <c r="AV130" s="13"/>
      <c r="AW130" s="13"/>
      <c r="AX130" s="13"/>
      <c r="AY130" s="13"/>
    </row>
    <row r="131" spans="1:51">
      <c r="A131" s="5">
        <v>2045</v>
      </c>
      <c r="B131" s="3" t="s">
        <v>5</v>
      </c>
      <c r="C131" s="9">
        <v>2596297</v>
      </c>
      <c r="D131" s="9">
        <f t="shared" si="48"/>
        <v>519259.4</v>
      </c>
      <c r="E131" s="9">
        <v>2624067</v>
      </c>
      <c r="F131" s="9">
        <v>2670022</v>
      </c>
      <c r="G131" s="9">
        <v>2727156</v>
      </c>
      <c r="H131" s="9">
        <v>2762858</v>
      </c>
      <c r="I131" s="9">
        <v>2742251</v>
      </c>
      <c r="J131" s="9">
        <v>2566713</v>
      </c>
      <c r="K131" s="9">
        <v>2422997</v>
      </c>
      <c r="L131" s="9">
        <v>2333740</v>
      </c>
      <c r="M131" s="15">
        <v>2237932</v>
      </c>
      <c r="N131" s="15">
        <v>2086652.9999999998</v>
      </c>
      <c r="O131" s="15">
        <v>1748122</v>
      </c>
      <c r="P131" s="15">
        <v>1342182</v>
      </c>
      <c r="Q131" s="15">
        <v>1066975</v>
      </c>
      <c r="R131" s="10">
        <f t="shared" si="49"/>
        <v>3143326.4</v>
      </c>
      <c r="S131" s="10">
        <f t="shared" ref="S131:S142" si="55">F131+G131</f>
        <v>5397178</v>
      </c>
      <c r="T131" s="11">
        <f t="shared" ref="T131:T142" si="56">H131+I131</f>
        <v>5505109</v>
      </c>
      <c r="U131" s="10">
        <f t="shared" ref="U131:U142" si="57">J131+K131</f>
        <v>4989710</v>
      </c>
      <c r="V131" s="10">
        <f t="shared" ref="V131:V142" si="58">L131+M131</f>
        <v>4571672</v>
      </c>
      <c r="W131" s="10">
        <f t="shared" ref="W131:W142" si="59">N131+O131</f>
        <v>3834775</v>
      </c>
      <c r="X131" s="10">
        <f t="shared" ref="X131:X142" si="60">P131+Q131</f>
        <v>2409157</v>
      </c>
      <c r="Y131" s="11">
        <f t="shared" ref="Y131:Y142" si="61">SUM(D131:Q131)</f>
        <v>29850927.399999999</v>
      </c>
      <c r="Z131" s="16">
        <f t="shared" si="50"/>
        <v>0.10530079544530332</v>
      </c>
      <c r="AA131" s="16">
        <f t="shared" si="51"/>
        <v>0.18080436589718818</v>
      </c>
      <c r="AB131" s="16">
        <f t="shared" si="52"/>
        <v>0.18442003245768507</v>
      </c>
      <c r="AC131" s="16">
        <f t="shared" si="53"/>
        <v>0.16715427072460068</v>
      </c>
      <c r="AD131" s="16">
        <f t="shared" ref="AD131:AD142" si="62">V131/Y131</f>
        <v>0.1531500827006132</v>
      </c>
      <c r="AE131" s="16">
        <f t="shared" ref="AE131:AE142" si="63">W131/Y131</f>
        <v>0.12846418299218404</v>
      </c>
      <c r="AF131" s="16">
        <f t="shared" ref="AF131:AF142" si="64">X131/Y131</f>
        <v>8.0706269782425594E-2</v>
      </c>
      <c r="AG131" s="16">
        <f t="shared" si="54"/>
        <v>1.0000000000000002</v>
      </c>
      <c r="AH131" s="13"/>
      <c r="AI131" s="13"/>
      <c r="AJ131" s="13"/>
      <c r="AK131" s="13"/>
      <c r="AL131" s="13"/>
      <c r="AM131" s="13"/>
      <c r="AN131" s="13"/>
      <c r="AO131" s="13"/>
      <c r="AP131" s="13"/>
      <c r="AQ131" s="13"/>
      <c r="AR131" s="13"/>
      <c r="AS131" s="13"/>
      <c r="AT131" s="13"/>
      <c r="AU131" s="13"/>
      <c r="AV131" s="13"/>
      <c r="AW131" s="13"/>
      <c r="AX131" s="13"/>
      <c r="AY131" s="13"/>
    </row>
    <row r="132" spans="1:51">
      <c r="A132" s="5">
        <v>2050</v>
      </c>
      <c r="B132" s="3" t="s">
        <v>5</v>
      </c>
      <c r="C132" s="9">
        <v>2563844</v>
      </c>
      <c r="D132" s="9">
        <f t="shared" si="48"/>
        <v>512768.8</v>
      </c>
      <c r="E132" s="9">
        <v>2595175</v>
      </c>
      <c r="F132" s="9">
        <v>2623841</v>
      </c>
      <c r="G132" s="9">
        <v>2667797</v>
      </c>
      <c r="H132" s="9">
        <v>2717801</v>
      </c>
      <c r="I132" s="9">
        <v>2743311</v>
      </c>
      <c r="J132" s="9">
        <v>2709322</v>
      </c>
      <c r="K132" s="9">
        <v>2521275</v>
      </c>
      <c r="L132" s="9">
        <v>2363694</v>
      </c>
      <c r="M132" s="15">
        <v>2256506</v>
      </c>
      <c r="N132" s="15">
        <v>2137931</v>
      </c>
      <c r="O132" s="15">
        <v>1957766</v>
      </c>
      <c r="P132" s="15">
        <v>1593646</v>
      </c>
      <c r="Q132" s="15">
        <v>1171797</v>
      </c>
      <c r="R132" s="10">
        <f t="shared" si="49"/>
        <v>3107943.8</v>
      </c>
      <c r="S132" s="10">
        <f t="shared" si="55"/>
        <v>5291638</v>
      </c>
      <c r="T132" s="11">
        <f t="shared" si="56"/>
        <v>5461112</v>
      </c>
      <c r="U132" s="10">
        <f t="shared" si="57"/>
        <v>5230597</v>
      </c>
      <c r="V132" s="10">
        <f t="shared" si="58"/>
        <v>4620200</v>
      </c>
      <c r="W132" s="10">
        <f t="shared" si="59"/>
        <v>4095697</v>
      </c>
      <c r="X132" s="10">
        <f t="shared" si="60"/>
        <v>2765443</v>
      </c>
      <c r="Y132" s="11">
        <f t="shared" si="61"/>
        <v>30572630.800000001</v>
      </c>
      <c r="Z132" s="16">
        <f t="shared" si="50"/>
        <v>0.10165771537070338</v>
      </c>
      <c r="AA132" s="16">
        <f t="shared" si="51"/>
        <v>0.17308415604194585</v>
      </c>
      <c r="AB132" s="16">
        <f t="shared" si="52"/>
        <v>0.17862748010550666</v>
      </c>
      <c r="AC132" s="16">
        <f t="shared" si="53"/>
        <v>0.17108756633400354</v>
      </c>
      <c r="AD132" s="16">
        <f t="shared" si="62"/>
        <v>0.15112209447150357</v>
      </c>
      <c r="AE132" s="16">
        <f t="shared" si="63"/>
        <v>0.13396612894694035</v>
      </c>
      <c r="AF132" s="16">
        <f t="shared" si="64"/>
        <v>9.0454858729396626E-2</v>
      </c>
      <c r="AG132" s="16">
        <f t="shared" si="54"/>
        <v>1</v>
      </c>
      <c r="AH132" s="13"/>
      <c r="AI132" s="13"/>
      <c r="AJ132" s="13"/>
      <c r="AK132" s="13"/>
      <c r="AL132" s="13"/>
      <c r="AM132" s="13"/>
      <c r="AN132" s="13"/>
      <c r="AO132" s="13"/>
      <c r="AP132" s="13"/>
      <c r="AQ132" s="13"/>
      <c r="AR132" s="13"/>
      <c r="AS132" s="13"/>
      <c r="AT132" s="13"/>
      <c r="AU132" s="13"/>
      <c r="AV132" s="13"/>
      <c r="AW132" s="13"/>
      <c r="AX132" s="13"/>
      <c r="AY132" s="13"/>
    </row>
    <row r="133" spans="1:51">
      <c r="A133" s="5">
        <v>2055</v>
      </c>
      <c r="B133" s="3" t="s">
        <v>5</v>
      </c>
      <c r="C133" s="9">
        <v>2511785</v>
      </c>
      <c r="D133" s="9">
        <f t="shared" si="48"/>
        <v>502357</v>
      </c>
      <c r="E133" s="9">
        <v>2562871</v>
      </c>
      <c r="F133" s="9">
        <v>2595161</v>
      </c>
      <c r="G133" s="9">
        <v>2622533</v>
      </c>
      <c r="H133" s="9">
        <v>2660600</v>
      </c>
      <c r="I133" s="9">
        <v>2701553</v>
      </c>
      <c r="J133" s="9">
        <v>2714848</v>
      </c>
      <c r="K133" s="9">
        <v>2667575</v>
      </c>
      <c r="L133" s="9">
        <v>2466651</v>
      </c>
      <c r="M133" s="15">
        <v>2293088</v>
      </c>
      <c r="N133" s="15">
        <v>2165328</v>
      </c>
      <c r="O133" s="15">
        <v>2018473</v>
      </c>
      <c r="P133" s="15">
        <v>1799349</v>
      </c>
      <c r="Q133" s="15">
        <v>1403082</v>
      </c>
      <c r="R133" s="10">
        <f t="shared" si="49"/>
        <v>3065228</v>
      </c>
      <c r="S133" s="10">
        <f t="shared" si="55"/>
        <v>5217694</v>
      </c>
      <c r="T133" s="11">
        <f t="shared" si="56"/>
        <v>5362153</v>
      </c>
      <c r="U133" s="10">
        <f t="shared" si="57"/>
        <v>5382423</v>
      </c>
      <c r="V133" s="10">
        <f t="shared" si="58"/>
        <v>4759739</v>
      </c>
      <c r="W133" s="10">
        <f t="shared" si="59"/>
        <v>4183801</v>
      </c>
      <c r="X133" s="10">
        <f t="shared" si="60"/>
        <v>3202431</v>
      </c>
      <c r="Y133" s="11">
        <f t="shared" si="61"/>
        <v>31173469</v>
      </c>
      <c r="Z133" s="16">
        <f t="shared" si="50"/>
        <v>9.8328100732068033E-2</v>
      </c>
      <c r="AA133" s="16">
        <f t="shared" si="51"/>
        <v>0.16737611075623313</v>
      </c>
      <c r="AB133" s="16">
        <f t="shared" si="52"/>
        <v>0.17201014747508531</v>
      </c>
      <c r="AC133" s="16">
        <f t="shared" si="53"/>
        <v>0.17266037988906527</v>
      </c>
      <c r="AD133" s="16">
        <f t="shared" si="62"/>
        <v>0.15268557374862579</v>
      </c>
      <c r="AE133" s="16">
        <f t="shared" si="63"/>
        <v>0.13421031198035741</v>
      </c>
      <c r="AF133" s="16">
        <f t="shared" si="64"/>
        <v>0.10272937541856507</v>
      </c>
      <c r="AG133" s="16">
        <f t="shared" si="54"/>
        <v>1</v>
      </c>
      <c r="AH133" s="13"/>
      <c r="AI133" s="13"/>
      <c r="AJ133" s="13"/>
      <c r="AK133" s="13"/>
      <c r="AL133" s="13"/>
      <c r="AM133" s="13"/>
      <c r="AN133" s="13"/>
      <c r="AO133" s="13"/>
      <c r="AP133" s="13"/>
      <c r="AQ133" s="13"/>
      <c r="AR133" s="13"/>
      <c r="AS133" s="13"/>
      <c r="AT133" s="13"/>
      <c r="AU133" s="13"/>
      <c r="AV133" s="13"/>
      <c r="AW133" s="13"/>
      <c r="AX133" s="13"/>
      <c r="AY133" s="13"/>
    </row>
    <row r="134" spans="1:51">
      <c r="A134" s="5">
        <v>2060</v>
      </c>
      <c r="B134" s="3" t="s">
        <v>5</v>
      </c>
      <c r="C134" s="9">
        <v>2447814</v>
      </c>
      <c r="D134" s="9">
        <f t="shared" si="48"/>
        <v>489562.8</v>
      </c>
      <c r="E134" s="9">
        <v>2510975</v>
      </c>
      <c r="F134" s="9">
        <v>2563039</v>
      </c>
      <c r="G134" s="9">
        <v>2594505</v>
      </c>
      <c r="H134" s="9">
        <v>2616828</v>
      </c>
      <c r="I134" s="9">
        <v>2646916</v>
      </c>
      <c r="J134" s="9">
        <v>2676874</v>
      </c>
      <c r="K134" s="9">
        <v>2677802</v>
      </c>
      <c r="L134" s="9">
        <v>2616590</v>
      </c>
      <c r="M134" s="15">
        <v>2400859</v>
      </c>
      <c r="N134" s="15">
        <v>2209135</v>
      </c>
      <c r="O134" s="15">
        <v>2055585.9999999998</v>
      </c>
      <c r="P134" s="15">
        <v>1869570</v>
      </c>
      <c r="Q134" s="15">
        <v>1600451</v>
      </c>
      <c r="R134" s="10">
        <f t="shared" si="49"/>
        <v>3000537.8</v>
      </c>
      <c r="S134" s="10">
        <f t="shared" si="55"/>
        <v>5157544</v>
      </c>
      <c r="T134" s="11">
        <f t="shared" si="56"/>
        <v>5263744</v>
      </c>
      <c r="U134" s="10">
        <f t="shared" si="57"/>
        <v>5354676</v>
      </c>
      <c r="V134" s="10">
        <f t="shared" si="58"/>
        <v>5017449</v>
      </c>
      <c r="W134" s="10">
        <f t="shared" si="59"/>
        <v>4264721</v>
      </c>
      <c r="X134" s="10">
        <f t="shared" si="60"/>
        <v>3470021</v>
      </c>
      <c r="Y134" s="11">
        <f t="shared" si="61"/>
        <v>31528692.800000001</v>
      </c>
      <c r="Z134" s="16">
        <f t="shared" si="50"/>
        <v>9.5168480946346112E-2</v>
      </c>
      <c r="AA134" s="16">
        <f t="shared" si="51"/>
        <v>0.16358255106599282</v>
      </c>
      <c r="AB134" s="16">
        <f t="shared" si="52"/>
        <v>0.16695091145675409</v>
      </c>
      <c r="AC134" s="16">
        <f t="shared" si="53"/>
        <v>0.16983501453634639</v>
      </c>
      <c r="AD134" s="16">
        <f t="shared" si="62"/>
        <v>0.15913913817575082</v>
      </c>
      <c r="AE134" s="16">
        <f t="shared" si="63"/>
        <v>0.13526475794771928</v>
      </c>
      <c r="AF134" s="16">
        <f t="shared" si="64"/>
        <v>0.11005914587109047</v>
      </c>
      <c r="AG134" s="16">
        <f t="shared" si="54"/>
        <v>1</v>
      </c>
      <c r="AH134" s="13"/>
      <c r="AI134" s="13"/>
      <c r="AJ134" s="13"/>
      <c r="AK134" s="13"/>
      <c r="AL134" s="13"/>
      <c r="AM134" s="13"/>
      <c r="AN134" s="13"/>
      <c r="AO134" s="13"/>
      <c r="AP134" s="13"/>
      <c r="AQ134" s="13"/>
      <c r="AR134" s="13"/>
      <c r="AS134" s="13"/>
      <c r="AT134" s="13"/>
      <c r="AU134" s="13"/>
      <c r="AV134" s="13"/>
      <c r="AW134" s="13"/>
      <c r="AX134" s="13"/>
      <c r="AY134" s="13"/>
    </row>
    <row r="135" spans="1:51">
      <c r="A135" s="5">
        <v>2065</v>
      </c>
      <c r="B135" s="3" t="s">
        <v>5</v>
      </c>
      <c r="C135" s="9">
        <v>2380969</v>
      </c>
      <c r="D135" s="9">
        <f t="shared" si="48"/>
        <v>476193.8</v>
      </c>
      <c r="E135" s="9">
        <v>2447162</v>
      </c>
      <c r="F135" s="9">
        <v>2511311</v>
      </c>
      <c r="G135" s="9">
        <v>2562919</v>
      </c>
      <c r="H135" s="9">
        <v>2589967</v>
      </c>
      <c r="I135" s="9">
        <v>2605196</v>
      </c>
      <c r="J135" s="9">
        <v>2625587</v>
      </c>
      <c r="K135" s="9">
        <v>2644367</v>
      </c>
      <c r="L135" s="9">
        <v>2632207</v>
      </c>
      <c r="M135" s="15">
        <v>2554445</v>
      </c>
      <c r="N135" s="15">
        <v>2321689</v>
      </c>
      <c r="O135" s="15">
        <v>2107052</v>
      </c>
      <c r="P135" s="15">
        <v>1916503</v>
      </c>
      <c r="Q135" s="15">
        <v>1678277</v>
      </c>
      <c r="R135" s="10">
        <f t="shared" si="49"/>
        <v>2923355.8</v>
      </c>
      <c r="S135" s="10">
        <f t="shared" si="55"/>
        <v>5074230</v>
      </c>
      <c r="T135" s="11">
        <f t="shared" si="56"/>
        <v>5195163</v>
      </c>
      <c r="U135" s="10">
        <f t="shared" si="57"/>
        <v>5269954</v>
      </c>
      <c r="V135" s="10">
        <f t="shared" si="58"/>
        <v>5186652</v>
      </c>
      <c r="W135" s="10">
        <f t="shared" si="59"/>
        <v>4428741</v>
      </c>
      <c r="X135" s="10">
        <f t="shared" si="60"/>
        <v>3594780</v>
      </c>
      <c r="Y135" s="11">
        <f t="shared" si="61"/>
        <v>31672875.800000001</v>
      </c>
      <c r="Z135" s="16">
        <f t="shared" si="50"/>
        <v>9.2298401271159583E-2</v>
      </c>
      <c r="AA135" s="16">
        <f t="shared" si="51"/>
        <v>0.16020742896986953</v>
      </c>
      <c r="AB135" s="16">
        <f t="shared" si="52"/>
        <v>0.16402561714967479</v>
      </c>
      <c r="AC135" s="16">
        <f t="shared" si="53"/>
        <v>0.16638697519219267</v>
      </c>
      <c r="AD135" s="16">
        <f t="shared" si="62"/>
        <v>0.16375690141783714</v>
      </c>
      <c r="AE135" s="16">
        <f t="shared" si="63"/>
        <v>0.13982756185341402</v>
      </c>
      <c r="AF135" s="16">
        <f t="shared" si="64"/>
        <v>0.1134971141458522</v>
      </c>
      <c r="AG135" s="16">
        <f t="shared" si="54"/>
        <v>1</v>
      </c>
      <c r="AH135" s="13"/>
      <c r="AI135" s="13"/>
      <c r="AJ135" s="13"/>
      <c r="AK135" s="13"/>
      <c r="AL135" s="13"/>
      <c r="AM135" s="13"/>
      <c r="AN135" s="13"/>
      <c r="AO135" s="13"/>
      <c r="AP135" s="13"/>
      <c r="AQ135" s="13"/>
      <c r="AR135" s="13"/>
      <c r="AS135" s="13"/>
      <c r="AT135" s="13"/>
      <c r="AU135" s="13"/>
      <c r="AV135" s="13"/>
      <c r="AW135" s="13"/>
      <c r="AX135" s="13"/>
      <c r="AY135" s="13"/>
    </row>
    <row r="136" spans="1:51">
      <c r="A136" s="5">
        <v>2070</v>
      </c>
      <c r="B136" s="3" t="s">
        <v>5</v>
      </c>
      <c r="C136" s="9">
        <v>2325698</v>
      </c>
      <c r="D136" s="9">
        <f t="shared" si="48"/>
        <v>465139.6</v>
      </c>
      <c r="E136" s="9">
        <v>2380423</v>
      </c>
      <c r="F136" s="9">
        <v>2447568</v>
      </c>
      <c r="G136" s="9">
        <v>2511571</v>
      </c>
      <c r="H136" s="9">
        <v>2559250</v>
      </c>
      <c r="I136" s="9">
        <v>2579848</v>
      </c>
      <c r="J136" s="9">
        <v>2586454</v>
      </c>
      <c r="K136" s="9">
        <v>2596919</v>
      </c>
      <c r="L136" s="9">
        <v>2603669</v>
      </c>
      <c r="M136" s="15">
        <v>2575536</v>
      </c>
      <c r="N136" s="15">
        <v>2477931</v>
      </c>
      <c r="O136" s="15">
        <v>2223175</v>
      </c>
      <c r="P136" s="15">
        <v>1974451</v>
      </c>
      <c r="Q136" s="15">
        <v>1732775</v>
      </c>
      <c r="R136" s="10">
        <f t="shared" si="49"/>
        <v>2845562.6</v>
      </c>
      <c r="S136" s="10">
        <f t="shared" si="55"/>
        <v>4959139</v>
      </c>
      <c r="T136" s="11">
        <f t="shared" si="56"/>
        <v>5139098</v>
      </c>
      <c r="U136" s="10">
        <f t="shared" si="57"/>
        <v>5183373</v>
      </c>
      <c r="V136" s="10">
        <f t="shared" si="58"/>
        <v>5179205</v>
      </c>
      <c r="W136" s="10">
        <f t="shared" si="59"/>
        <v>4701106</v>
      </c>
      <c r="X136" s="10">
        <f t="shared" si="60"/>
        <v>3707226</v>
      </c>
      <c r="Y136" s="11">
        <f t="shared" si="61"/>
        <v>31714709.600000001</v>
      </c>
      <c r="Z136" s="16">
        <f t="shared" si="50"/>
        <v>8.9723747620252522E-2</v>
      </c>
      <c r="AA136" s="16">
        <f t="shared" si="51"/>
        <v>0.15636715778094337</v>
      </c>
      <c r="AB136" s="16">
        <f t="shared" si="52"/>
        <v>0.16204146482236748</v>
      </c>
      <c r="AC136" s="16">
        <f t="shared" si="53"/>
        <v>0.16343750472178373</v>
      </c>
      <c r="AD136" s="16">
        <f t="shared" si="62"/>
        <v>0.16330608305491151</v>
      </c>
      <c r="AE136" s="16">
        <f t="shared" si="63"/>
        <v>0.14823109085003255</v>
      </c>
      <c r="AF136" s="16">
        <f t="shared" si="64"/>
        <v>0.11689295114970877</v>
      </c>
      <c r="AG136" s="16">
        <f t="shared" si="54"/>
        <v>1</v>
      </c>
      <c r="AH136" s="13"/>
      <c r="AI136" s="13"/>
      <c r="AJ136" s="13"/>
      <c r="AK136" s="13"/>
      <c r="AL136" s="13"/>
      <c r="AM136" s="13"/>
      <c r="AN136" s="13"/>
      <c r="AO136" s="13"/>
      <c r="AP136" s="13"/>
      <c r="AQ136" s="13"/>
      <c r="AR136" s="13"/>
      <c r="AS136" s="13"/>
      <c r="AT136" s="13"/>
      <c r="AU136" s="13"/>
      <c r="AV136" s="13"/>
      <c r="AW136" s="13"/>
      <c r="AX136" s="13"/>
      <c r="AY136" s="13"/>
    </row>
    <row r="137" spans="1:51">
      <c r="A137" s="5">
        <v>2075</v>
      </c>
      <c r="B137" s="3" t="s">
        <v>5</v>
      </c>
      <c r="C137" s="9">
        <v>2278577</v>
      </c>
      <c r="D137" s="9">
        <f t="shared" si="48"/>
        <v>455715.4</v>
      </c>
      <c r="E137" s="9">
        <v>2325222</v>
      </c>
      <c r="F137" s="9">
        <v>2380892</v>
      </c>
      <c r="G137" s="9">
        <v>2448136</v>
      </c>
      <c r="H137" s="9">
        <v>2508718</v>
      </c>
      <c r="I137" s="9">
        <v>2550478</v>
      </c>
      <c r="J137" s="9">
        <v>2563258</v>
      </c>
      <c r="K137" s="9">
        <v>2561005</v>
      </c>
      <c r="L137" s="9">
        <v>2560688</v>
      </c>
      <c r="M137" s="15">
        <v>2552527</v>
      </c>
      <c r="N137" s="15">
        <v>2504831</v>
      </c>
      <c r="O137" s="15">
        <v>2381306</v>
      </c>
      <c r="P137" s="15">
        <v>2093126.0000000002</v>
      </c>
      <c r="Q137" s="15">
        <v>1796386</v>
      </c>
      <c r="R137" s="10">
        <f t="shared" si="49"/>
        <v>2780937.4</v>
      </c>
      <c r="S137" s="10">
        <f t="shared" si="55"/>
        <v>4829028</v>
      </c>
      <c r="T137" s="11">
        <f t="shared" si="56"/>
        <v>5059196</v>
      </c>
      <c r="U137" s="10">
        <f t="shared" si="57"/>
        <v>5124263</v>
      </c>
      <c r="V137" s="10">
        <f t="shared" si="58"/>
        <v>5113215</v>
      </c>
      <c r="W137" s="10">
        <f t="shared" si="59"/>
        <v>4886137</v>
      </c>
      <c r="X137" s="10">
        <f t="shared" si="60"/>
        <v>3889512</v>
      </c>
      <c r="Y137" s="11">
        <f t="shared" si="61"/>
        <v>31682288.399999999</v>
      </c>
      <c r="Z137" s="16">
        <f t="shared" si="50"/>
        <v>8.7775774429223366E-2</v>
      </c>
      <c r="AA137" s="16">
        <f t="shared" si="51"/>
        <v>0.15242042932732094</v>
      </c>
      <c r="AB137" s="16">
        <f t="shared" si="52"/>
        <v>0.15968530859027216</v>
      </c>
      <c r="AC137" s="16">
        <f t="shared" si="53"/>
        <v>0.16173904281484922</v>
      </c>
      <c r="AD137" s="16">
        <f t="shared" si="62"/>
        <v>0.16139033063028366</v>
      </c>
      <c r="AE137" s="16">
        <f t="shared" si="63"/>
        <v>0.15422298220099531</v>
      </c>
      <c r="AF137" s="16">
        <f t="shared" si="64"/>
        <v>0.12276613200705541</v>
      </c>
      <c r="AG137" s="16">
        <f t="shared" si="54"/>
        <v>1</v>
      </c>
      <c r="AH137" s="13"/>
      <c r="AI137" s="13"/>
      <c r="AJ137" s="13"/>
      <c r="AK137" s="13"/>
      <c r="AL137" s="13"/>
      <c r="AM137" s="13"/>
      <c r="AN137" s="13"/>
      <c r="AO137" s="13"/>
      <c r="AP137" s="13"/>
      <c r="AQ137" s="13"/>
      <c r="AR137" s="13"/>
      <c r="AS137" s="13"/>
      <c r="AT137" s="13"/>
      <c r="AU137" s="13"/>
      <c r="AV137" s="13"/>
      <c r="AW137" s="13"/>
      <c r="AX137" s="13"/>
      <c r="AY137" s="13"/>
    </row>
    <row r="138" spans="1:51">
      <c r="A138" s="5">
        <v>2080</v>
      </c>
      <c r="B138" s="3" t="s">
        <v>5</v>
      </c>
      <c r="C138" s="9">
        <v>2231735</v>
      </c>
      <c r="D138" s="9">
        <f t="shared" si="48"/>
        <v>446347</v>
      </c>
      <c r="E138" s="9">
        <v>2278138</v>
      </c>
      <c r="F138" s="9">
        <v>2325711</v>
      </c>
      <c r="G138" s="9">
        <v>2381696</v>
      </c>
      <c r="H138" s="9">
        <v>2446024</v>
      </c>
      <c r="I138" s="9">
        <v>2501230</v>
      </c>
      <c r="J138" s="9">
        <v>2535844</v>
      </c>
      <c r="K138" s="9">
        <v>2540524</v>
      </c>
      <c r="L138" s="9">
        <v>2528593</v>
      </c>
      <c r="M138" s="15">
        <v>2514767</v>
      </c>
      <c r="N138" s="15">
        <v>2488133</v>
      </c>
      <c r="O138" s="15">
        <v>2414688</v>
      </c>
      <c r="P138" s="15">
        <v>2251969</v>
      </c>
      <c r="Q138" s="15">
        <v>1915891</v>
      </c>
      <c r="R138" s="10">
        <f t="shared" si="49"/>
        <v>2724485</v>
      </c>
      <c r="S138" s="10">
        <f t="shared" si="55"/>
        <v>4707407</v>
      </c>
      <c r="T138" s="11">
        <f t="shared" si="56"/>
        <v>4947254</v>
      </c>
      <c r="U138" s="10">
        <f t="shared" si="57"/>
        <v>5076368</v>
      </c>
      <c r="V138" s="10">
        <f t="shared" si="58"/>
        <v>5043360</v>
      </c>
      <c r="W138" s="10">
        <f t="shared" si="59"/>
        <v>4902821</v>
      </c>
      <c r="X138" s="10">
        <f t="shared" si="60"/>
        <v>4167860</v>
      </c>
      <c r="Y138" s="11">
        <f t="shared" si="61"/>
        <v>31569555</v>
      </c>
      <c r="Z138" s="16">
        <f t="shared" si="50"/>
        <v>8.6301026416115145E-2</v>
      </c>
      <c r="AA138" s="16">
        <f t="shared" si="51"/>
        <v>0.14911223804073259</v>
      </c>
      <c r="AB138" s="16">
        <f t="shared" si="52"/>
        <v>0.15670965270178816</v>
      </c>
      <c r="AC138" s="16">
        <f t="shared" si="53"/>
        <v>0.16079947911841014</v>
      </c>
      <c r="AD138" s="16">
        <f t="shared" si="62"/>
        <v>0.1597539148081118</v>
      </c>
      <c r="AE138" s="16">
        <f t="shared" si="63"/>
        <v>0.1553021890869225</v>
      </c>
      <c r="AF138" s="16">
        <f t="shared" si="64"/>
        <v>0.13202149982791966</v>
      </c>
      <c r="AG138" s="16">
        <f t="shared" si="54"/>
        <v>0.99999999999999989</v>
      </c>
      <c r="AH138" s="13"/>
      <c r="AI138" s="13"/>
      <c r="AJ138" s="13"/>
      <c r="AK138" s="13"/>
      <c r="AL138" s="13"/>
      <c r="AM138" s="13"/>
      <c r="AN138" s="13"/>
      <c r="AO138" s="13"/>
      <c r="AP138" s="13"/>
      <c r="AQ138" s="13"/>
      <c r="AR138" s="13"/>
      <c r="AS138" s="13"/>
      <c r="AT138" s="13"/>
      <c r="AU138" s="13"/>
      <c r="AV138" s="13"/>
      <c r="AW138" s="13"/>
      <c r="AX138" s="13"/>
      <c r="AY138" s="13"/>
    </row>
    <row r="139" spans="1:51">
      <c r="A139" s="5">
        <v>2085</v>
      </c>
      <c r="B139" s="3" t="s">
        <v>5</v>
      </c>
      <c r="C139" s="9">
        <v>2184926</v>
      </c>
      <c r="D139" s="9">
        <f t="shared" si="48"/>
        <v>436985.2</v>
      </c>
      <c r="E139" s="9">
        <v>2231353</v>
      </c>
      <c r="F139" s="9">
        <v>2278613</v>
      </c>
      <c r="G139" s="9">
        <v>2326637</v>
      </c>
      <c r="H139" s="9">
        <v>2380189</v>
      </c>
      <c r="I139" s="9">
        <v>2439698</v>
      </c>
      <c r="J139" s="9">
        <v>2488458</v>
      </c>
      <c r="K139" s="9">
        <v>2515587</v>
      </c>
      <c r="L139" s="9">
        <v>2511370</v>
      </c>
      <c r="M139" s="15">
        <v>2487158</v>
      </c>
      <c r="N139" s="15">
        <v>2456445</v>
      </c>
      <c r="O139" s="15">
        <v>2405331</v>
      </c>
      <c r="P139" s="15">
        <v>2292571</v>
      </c>
      <c r="Q139" s="15">
        <v>2073063</v>
      </c>
      <c r="R139" s="10">
        <f t="shared" si="49"/>
        <v>2668338.2000000002</v>
      </c>
      <c r="S139" s="10">
        <f t="shared" si="55"/>
        <v>4605250</v>
      </c>
      <c r="T139" s="11">
        <f t="shared" si="56"/>
        <v>4819887</v>
      </c>
      <c r="U139" s="10">
        <f t="shared" si="57"/>
        <v>5004045</v>
      </c>
      <c r="V139" s="10">
        <f t="shared" si="58"/>
        <v>4998528</v>
      </c>
      <c r="W139" s="10">
        <f t="shared" si="59"/>
        <v>4861776</v>
      </c>
      <c r="X139" s="10">
        <f t="shared" si="60"/>
        <v>4365634</v>
      </c>
      <c r="Y139" s="11">
        <f t="shared" si="61"/>
        <v>31323458.199999999</v>
      </c>
      <c r="Z139" s="16">
        <f t="shared" si="50"/>
        <v>8.5186577515250217E-2</v>
      </c>
      <c r="AA139" s="16">
        <f t="shared" si="51"/>
        <v>0.14702239997242705</v>
      </c>
      <c r="AB139" s="16">
        <f t="shared" si="52"/>
        <v>0.15387467658344314</v>
      </c>
      <c r="AC139" s="16">
        <f t="shared" si="53"/>
        <v>0.15975391248466941</v>
      </c>
      <c r="AD139" s="16">
        <f t="shared" si="62"/>
        <v>0.15957778250678592</v>
      </c>
      <c r="AE139" s="16">
        <f t="shared" si="63"/>
        <v>0.15521198103215819</v>
      </c>
      <c r="AF139" s="16">
        <f t="shared" si="64"/>
        <v>0.13937266990526609</v>
      </c>
      <c r="AG139" s="16">
        <f t="shared" si="54"/>
        <v>1</v>
      </c>
      <c r="AH139" s="13"/>
      <c r="AI139" s="13"/>
      <c r="AJ139" s="13"/>
      <c r="AK139" s="13"/>
      <c r="AL139" s="13"/>
      <c r="AM139" s="13"/>
      <c r="AN139" s="13"/>
      <c r="AO139" s="13"/>
      <c r="AP139" s="13"/>
      <c r="AQ139" s="13"/>
      <c r="AR139" s="13"/>
      <c r="AS139" s="13"/>
      <c r="AT139" s="13"/>
      <c r="AU139" s="13"/>
      <c r="AV139" s="13"/>
      <c r="AW139" s="13"/>
      <c r="AX139" s="13"/>
      <c r="AY139" s="13"/>
    </row>
    <row r="140" spans="1:51">
      <c r="A140" s="5">
        <v>2090</v>
      </c>
      <c r="B140" s="3" t="s">
        <v>5</v>
      </c>
      <c r="C140" s="9">
        <v>2133475</v>
      </c>
      <c r="D140" s="9">
        <f t="shared" si="48"/>
        <v>426695</v>
      </c>
      <c r="E140" s="9">
        <v>2184575</v>
      </c>
      <c r="F140" s="9">
        <v>2231810</v>
      </c>
      <c r="G140" s="9">
        <v>2279607</v>
      </c>
      <c r="H140" s="9">
        <v>2325563</v>
      </c>
      <c r="I140" s="9">
        <v>2374879</v>
      </c>
      <c r="J140" s="9">
        <v>2428643</v>
      </c>
      <c r="K140" s="9">
        <v>2470587</v>
      </c>
      <c r="L140" s="9">
        <v>2489387</v>
      </c>
      <c r="M140" s="15">
        <v>2473768</v>
      </c>
      <c r="N140" s="15">
        <v>2434087</v>
      </c>
      <c r="O140" s="15">
        <v>2380790</v>
      </c>
      <c r="P140" s="15">
        <v>2291899</v>
      </c>
      <c r="Q140" s="15">
        <v>2121316</v>
      </c>
      <c r="R140" s="10">
        <f t="shared" si="49"/>
        <v>2611270</v>
      </c>
      <c r="S140" s="10">
        <f t="shared" si="55"/>
        <v>4511417</v>
      </c>
      <c r="T140" s="11">
        <f t="shared" si="56"/>
        <v>4700442</v>
      </c>
      <c r="U140" s="10">
        <f t="shared" si="57"/>
        <v>4899230</v>
      </c>
      <c r="V140" s="10">
        <f t="shared" si="58"/>
        <v>4963155</v>
      </c>
      <c r="W140" s="10">
        <f t="shared" si="59"/>
        <v>4814877</v>
      </c>
      <c r="X140" s="10">
        <f t="shared" si="60"/>
        <v>4413215</v>
      </c>
      <c r="Y140" s="11">
        <f t="shared" si="61"/>
        <v>30913606</v>
      </c>
      <c r="Z140" s="16">
        <f t="shared" si="50"/>
        <v>8.4469925637274415E-2</v>
      </c>
      <c r="AA140" s="16">
        <f t="shared" si="51"/>
        <v>0.14593629096521449</v>
      </c>
      <c r="AB140" s="16">
        <f t="shared" si="52"/>
        <v>0.15205091246876862</v>
      </c>
      <c r="AC140" s="16">
        <f t="shared" si="53"/>
        <v>0.15848134960379581</v>
      </c>
      <c r="AD140" s="16">
        <f t="shared" si="62"/>
        <v>0.16054920930285518</v>
      </c>
      <c r="AE140" s="16">
        <f t="shared" si="63"/>
        <v>0.15575268055108163</v>
      </c>
      <c r="AF140" s="16">
        <f t="shared" si="64"/>
        <v>0.1427596314710099</v>
      </c>
      <c r="AG140" s="16">
        <f t="shared" si="54"/>
        <v>1</v>
      </c>
      <c r="AH140" s="13"/>
      <c r="AI140" s="13"/>
      <c r="AJ140" s="13"/>
      <c r="AK140" s="13"/>
      <c r="AL140" s="13"/>
      <c r="AM140" s="13"/>
      <c r="AN140" s="13"/>
      <c r="AO140" s="13"/>
      <c r="AP140" s="13"/>
      <c r="AQ140" s="13"/>
      <c r="AR140" s="13"/>
      <c r="AS140" s="13"/>
      <c r="AT140" s="13"/>
      <c r="AU140" s="13"/>
      <c r="AV140" s="13"/>
      <c r="AW140" s="13"/>
      <c r="AX140" s="13"/>
      <c r="AY140" s="13"/>
    </row>
    <row r="141" spans="1:51">
      <c r="A141" s="5">
        <v>2095</v>
      </c>
      <c r="B141" s="3" t="s">
        <v>5</v>
      </c>
      <c r="C141" s="9">
        <v>2082889.9999999998</v>
      </c>
      <c r="D141" s="9">
        <f t="shared" si="48"/>
        <v>416577.99999999994</v>
      </c>
      <c r="E141" s="9">
        <v>2133156</v>
      </c>
      <c r="F141" s="9">
        <v>2185009</v>
      </c>
      <c r="G141" s="9">
        <v>2232832</v>
      </c>
      <c r="H141" s="9">
        <v>2278865</v>
      </c>
      <c r="I141" s="9">
        <v>2321074</v>
      </c>
      <c r="J141" s="9">
        <v>2365337</v>
      </c>
      <c r="K141" s="9">
        <v>2412971</v>
      </c>
      <c r="L141" s="9">
        <v>2447286</v>
      </c>
      <c r="M141" s="15">
        <v>2455362</v>
      </c>
      <c r="N141" s="15">
        <v>2425220</v>
      </c>
      <c r="O141" s="15">
        <v>2364769</v>
      </c>
      <c r="P141" s="15">
        <v>2276166</v>
      </c>
      <c r="Q141" s="15">
        <v>2130904</v>
      </c>
      <c r="R141" s="10">
        <f t="shared" si="49"/>
        <v>2549734</v>
      </c>
      <c r="S141" s="10">
        <f t="shared" si="55"/>
        <v>4417841</v>
      </c>
      <c r="T141" s="11">
        <f t="shared" si="56"/>
        <v>4599939</v>
      </c>
      <c r="U141" s="10">
        <f t="shared" si="57"/>
        <v>4778308</v>
      </c>
      <c r="V141" s="10">
        <f t="shared" si="58"/>
        <v>4902648</v>
      </c>
      <c r="W141" s="10">
        <f t="shared" si="59"/>
        <v>4789989</v>
      </c>
      <c r="X141" s="10">
        <f t="shared" si="60"/>
        <v>4407070</v>
      </c>
      <c r="Y141" s="11">
        <f t="shared" si="61"/>
        <v>30445529</v>
      </c>
      <c r="Z141" s="16">
        <f t="shared" si="50"/>
        <v>8.374740343647831E-2</v>
      </c>
      <c r="AA141" s="16">
        <f t="shared" si="51"/>
        <v>0.14510639641045489</v>
      </c>
      <c r="AB141" s="16">
        <f t="shared" si="52"/>
        <v>0.15108750450681938</v>
      </c>
      <c r="AC141" s="16">
        <f t="shared" si="53"/>
        <v>0.15694613156499926</v>
      </c>
      <c r="AD141" s="16">
        <f t="shared" si="62"/>
        <v>0.16103014665962939</v>
      </c>
      <c r="AE141" s="16">
        <f t="shared" si="63"/>
        <v>0.15732980037889965</v>
      </c>
      <c r="AF141" s="16">
        <f t="shared" si="64"/>
        <v>0.14475261704271913</v>
      </c>
      <c r="AG141" s="16">
        <f t="shared" si="54"/>
        <v>1</v>
      </c>
      <c r="AH141" s="13"/>
      <c r="AI141" s="13"/>
      <c r="AJ141" s="13"/>
      <c r="AK141" s="13"/>
      <c r="AL141" s="13"/>
      <c r="AM141" s="13"/>
      <c r="AN141" s="13"/>
      <c r="AO141" s="13"/>
      <c r="AP141" s="13"/>
      <c r="AQ141" s="13"/>
      <c r="AR141" s="13"/>
      <c r="AS141" s="13"/>
      <c r="AT141" s="13"/>
      <c r="AU141" s="13"/>
      <c r="AV141" s="13"/>
      <c r="AW141" s="13"/>
      <c r="AX141" s="13"/>
      <c r="AY141" s="13"/>
    </row>
    <row r="142" spans="1:51">
      <c r="A142" s="30">
        <v>2100</v>
      </c>
      <c r="B142" s="3" t="s">
        <v>5</v>
      </c>
      <c r="C142" s="9">
        <v>2037215</v>
      </c>
      <c r="D142" s="9">
        <f t="shared" si="48"/>
        <v>407443</v>
      </c>
      <c r="E142" s="9">
        <v>2082597.0000000002</v>
      </c>
      <c r="F142" s="9">
        <v>2133566</v>
      </c>
      <c r="G142" s="9">
        <v>2186003</v>
      </c>
      <c r="H142" s="9">
        <v>2232328</v>
      </c>
      <c r="I142" s="9">
        <v>2275058</v>
      </c>
      <c r="J142" s="9">
        <v>2312799</v>
      </c>
      <c r="K142" s="9">
        <v>2351650</v>
      </c>
      <c r="L142" s="9">
        <v>2392373</v>
      </c>
      <c r="M142" s="15">
        <v>2416763</v>
      </c>
      <c r="N142" s="15">
        <v>2411061</v>
      </c>
      <c r="O142" s="15">
        <v>2361388</v>
      </c>
      <c r="P142" s="15">
        <v>2267972</v>
      </c>
      <c r="Q142" s="15">
        <v>2125849</v>
      </c>
      <c r="R142" s="10">
        <f t="shared" si="49"/>
        <v>2490040</v>
      </c>
      <c r="S142" s="10">
        <f t="shared" si="55"/>
        <v>4319569</v>
      </c>
      <c r="T142" s="11">
        <f t="shared" si="56"/>
        <v>4507386</v>
      </c>
      <c r="U142" s="10">
        <f t="shared" si="57"/>
        <v>4664449</v>
      </c>
      <c r="V142" s="10">
        <f t="shared" si="58"/>
        <v>4809136</v>
      </c>
      <c r="W142" s="10">
        <f t="shared" si="59"/>
        <v>4772449</v>
      </c>
      <c r="X142" s="10">
        <f t="shared" si="60"/>
        <v>4393821</v>
      </c>
      <c r="Y142" s="11">
        <f t="shared" si="61"/>
        <v>29956850</v>
      </c>
      <c r="Z142" s="16">
        <f t="shared" si="50"/>
        <v>8.3120888878503579E-2</v>
      </c>
      <c r="AA142" s="16">
        <f t="shared" si="51"/>
        <v>0.1441930309762208</v>
      </c>
      <c r="AB142" s="16">
        <f t="shared" si="52"/>
        <v>0.15046261539514336</v>
      </c>
      <c r="AC142" s="16">
        <f t="shared" si="53"/>
        <v>0.15570558987343464</v>
      </c>
      <c r="AD142" s="16">
        <f t="shared" si="62"/>
        <v>0.16053543680326871</v>
      </c>
      <c r="AE142" s="16">
        <f t="shared" si="63"/>
        <v>0.15931077533185231</v>
      </c>
      <c r="AF142" s="16">
        <f t="shared" si="64"/>
        <v>0.14667166274157664</v>
      </c>
      <c r="AG142" s="16">
        <f t="shared" si="54"/>
        <v>1.0000000000000002</v>
      </c>
    </row>
  </sheetData>
  <phoneticPr fontId="17" type="noConversion"/>
  <pageMargins left="0.7" right="0.7" top="0.75" bottom="0.75" header="0.3" footer="0.3"/>
  <pageSetup orientation="portrait" horizontalDpi="0" verticalDpi="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FFD6A4-CD0D-C24A-BB72-E09C02967B0E}">
  <dimension ref="A1:AB97"/>
  <sheetViews>
    <sheetView zoomScale="111" zoomScaleNormal="111" workbookViewId="0">
      <pane xSplit="2" ySplit="1" topLeftCell="C2" activePane="bottomRight" state="frozen"/>
      <selection activeCell="I76" sqref="I76"/>
      <selection pane="topRight" activeCell="I76" sqref="I76"/>
      <selection pane="bottomLeft" activeCell="I76" sqref="I76"/>
      <selection pane="bottomRight" activeCell="Z22" sqref="Z22"/>
    </sheetView>
  </sheetViews>
  <sheetFormatPr baseColWidth="10" defaultRowHeight="14"/>
  <cols>
    <col min="1" max="26" width="10.83203125" style="1"/>
    <col min="27" max="27" width="18.6640625" style="1" customWidth="1"/>
    <col min="28" max="16384" width="10.83203125" style="1"/>
  </cols>
  <sheetData>
    <row r="1" spans="1:28" ht="16">
      <c r="A1" s="1" t="s">
        <v>1</v>
      </c>
      <c r="B1" s="1" t="s">
        <v>2</v>
      </c>
      <c r="C1" s="25" t="s">
        <v>103</v>
      </c>
      <c r="D1" s="25" t="s">
        <v>102</v>
      </c>
      <c r="E1" s="25" t="s">
        <v>104</v>
      </c>
      <c r="F1" s="25" t="s">
        <v>105</v>
      </c>
      <c r="G1" s="25" t="s">
        <v>106</v>
      </c>
      <c r="H1" s="25" t="s">
        <v>107</v>
      </c>
      <c r="I1" s="25" t="s">
        <v>108</v>
      </c>
      <c r="J1" s="25" t="s">
        <v>109</v>
      </c>
      <c r="K1" s="25" t="s">
        <v>110</v>
      </c>
      <c r="L1" s="25" t="s">
        <v>111</v>
      </c>
      <c r="M1" s="26" t="s">
        <v>112</v>
      </c>
      <c r="N1" s="26" t="s">
        <v>113</v>
      </c>
      <c r="O1" s="26" t="s">
        <v>114</v>
      </c>
      <c r="P1" s="26" t="s">
        <v>115</v>
      </c>
      <c r="Q1" s="26" t="s">
        <v>116</v>
      </c>
      <c r="R1" s="17" t="s">
        <v>117</v>
      </c>
      <c r="S1" s="17" t="s">
        <v>118</v>
      </c>
      <c r="T1" s="48" t="s">
        <v>119</v>
      </c>
      <c r="U1" s="17" t="s">
        <v>120</v>
      </c>
      <c r="V1" s="17" t="s">
        <v>121</v>
      </c>
      <c r="W1" s="17" t="s">
        <v>122</v>
      </c>
      <c r="X1" s="17" t="s">
        <v>123</v>
      </c>
      <c r="Y1" s="49" t="s">
        <v>124</v>
      </c>
      <c r="Z1" s="1" t="s">
        <v>8</v>
      </c>
      <c r="AA1" s="50" t="s">
        <v>202</v>
      </c>
      <c r="AB1" s="1" t="s">
        <v>203</v>
      </c>
    </row>
    <row r="2" spans="1:28">
      <c r="A2" s="1">
        <v>1985</v>
      </c>
      <c r="B2" s="1" t="s">
        <v>3</v>
      </c>
      <c r="C2" s="17">
        <v>1806</v>
      </c>
      <c r="D2" s="17">
        <f>C2/5</f>
        <v>361.2</v>
      </c>
      <c r="E2" s="17">
        <v>1633</v>
      </c>
      <c r="F2" s="17">
        <v>3264</v>
      </c>
      <c r="G2" s="17">
        <v>5793</v>
      </c>
      <c r="H2" s="17">
        <v>6412</v>
      </c>
      <c r="I2" s="17">
        <v>6596</v>
      </c>
      <c r="J2" s="17">
        <v>6793</v>
      </c>
      <c r="K2" s="17">
        <v>7450</v>
      </c>
      <c r="L2" s="17">
        <v>8569</v>
      </c>
      <c r="M2" s="17">
        <v>9728</v>
      </c>
      <c r="N2" s="17">
        <v>10442</v>
      </c>
      <c r="O2" s="17">
        <v>12771</v>
      </c>
      <c r="P2" s="17">
        <v>15181</v>
      </c>
      <c r="Q2" s="17">
        <v>14057</v>
      </c>
      <c r="R2" s="17">
        <v>11568</v>
      </c>
      <c r="S2" s="17">
        <v>8637</v>
      </c>
      <c r="T2" s="1">
        <f>SUM(D2:E2)</f>
        <v>1994.2</v>
      </c>
      <c r="U2" s="1">
        <f>SUM(F2:G2)</f>
        <v>9057</v>
      </c>
      <c r="V2" s="1">
        <f>SUM(H2:I2)</f>
        <v>13008</v>
      </c>
      <c r="W2" s="1">
        <f>SUM(J2:L2)</f>
        <v>22812</v>
      </c>
      <c r="X2" s="1">
        <f>SUM(M2:Q2)</f>
        <v>62179</v>
      </c>
      <c r="Y2" s="50">
        <f>SUM(D2:Q2)</f>
        <v>109050.2</v>
      </c>
      <c r="Z2" s="1" t="s">
        <v>173</v>
      </c>
      <c r="AA2" s="50">
        <f>Y2</f>
        <v>109050.2</v>
      </c>
      <c r="AB2" s="1" t="s">
        <v>204</v>
      </c>
    </row>
    <row r="3" spans="1:28">
      <c r="A3" s="1">
        <v>1986</v>
      </c>
      <c r="B3" s="1" t="s">
        <v>3</v>
      </c>
      <c r="C3" s="17">
        <v>2280</v>
      </c>
      <c r="D3" s="17">
        <f t="shared" ref="D3:D64" si="0">C3/5</f>
        <v>456</v>
      </c>
      <c r="E3" s="17">
        <v>2103</v>
      </c>
      <c r="F3" s="17">
        <v>4302</v>
      </c>
      <c r="G3" s="17">
        <v>7828</v>
      </c>
      <c r="H3" s="17">
        <v>8726</v>
      </c>
      <c r="I3" s="17">
        <v>8777</v>
      </c>
      <c r="J3" s="17">
        <v>8345</v>
      </c>
      <c r="K3" s="17">
        <v>8659</v>
      </c>
      <c r="L3" s="17">
        <v>9516</v>
      </c>
      <c r="M3" s="17">
        <v>10482</v>
      </c>
      <c r="N3" s="17">
        <v>11366</v>
      </c>
      <c r="O3" s="17">
        <v>13777</v>
      </c>
      <c r="P3" s="17">
        <v>16653</v>
      </c>
      <c r="Q3" s="17">
        <v>14761</v>
      </c>
      <c r="R3" s="17">
        <v>12050</v>
      </c>
      <c r="S3" s="17">
        <v>9617</v>
      </c>
      <c r="T3" s="1">
        <f t="shared" ref="T3:T66" si="1">SUM(D3:E3)</f>
        <v>2559</v>
      </c>
      <c r="U3" s="1">
        <f t="shared" ref="U3:U66" si="2">SUM(F3:G3)</f>
        <v>12130</v>
      </c>
      <c r="V3" s="1">
        <f t="shared" ref="V3:V66" si="3">SUM(H3:I3)</f>
        <v>17503</v>
      </c>
      <c r="W3" s="1">
        <f t="shared" ref="W3:W66" si="4">SUM(J3:L3)</f>
        <v>26520</v>
      </c>
      <c r="X3" s="1">
        <f t="shared" ref="X3:X66" si="5">SUM(M3:Q3)</f>
        <v>67039</v>
      </c>
      <c r="Y3" s="50">
        <f t="shared" ref="Y3:Y66" si="6">SUM(D3:Q3)</f>
        <v>125751</v>
      </c>
      <c r="AA3" s="50">
        <f>Y3</f>
        <v>125751</v>
      </c>
      <c r="AB3" s="1" t="s">
        <v>205</v>
      </c>
    </row>
    <row r="4" spans="1:28">
      <c r="A4" s="1">
        <v>1987</v>
      </c>
      <c r="B4" s="1" t="s">
        <v>3</v>
      </c>
      <c r="C4" s="17">
        <v>2183</v>
      </c>
      <c r="D4" s="17">
        <f t="shared" si="0"/>
        <v>436.6</v>
      </c>
      <c r="E4" s="17">
        <v>1932</v>
      </c>
      <c r="F4" s="17">
        <v>3729</v>
      </c>
      <c r="G4" s="17">
        <v>6533</v>
      </c>
      <c r="H4" s="17">
        <v>7627</v>
      </c>
      <c r="I4" s="17">
        <v>7719</v>
      </c>
      <c r="J4" s="17">
        <v>8025</v>
      </c>
      <c r="K4" s="17">
        <v>8285</v>
      </c>
      <c r="L4" s="17">
        <v>9513</v>
      </c>
      <c r="M4" s="17">
        <v>10431</v>
      </c>
      <c r="N4" s="17">
        <v>11416</v>
      </c>
      <c r="O4" s="17">
        <v>13670</v>
      </c>
      <c r="P4" s="17">
        <v>15917</v>
      </c>
      <c r="Q4" s="17">
        <v>14446</v>
      </c>
      <c r="R4" s="17">
        <v>11904</v>
      </c>
      <c r="S4" s="17">
        <v>9425</v>
      </c>
      <c r="T4" s="1">
        <f t="shared" si="1"/>
        <v>2368.6</v>
      </c>
      <c r="U4" s="1">
        <f t="shared" si="2"/>
        <v>10262</v>
      </c>
      <c r="V4" s="1">
        <f t="shared" si="3"/>
        <v>15346</v>
      </c>
      <c r="W4" s="1">
        <f t="shared" si="4"/>
        <v>25823</v>
      </c>
      <c r="X4" s="1">
        <f t="shared" si="5"/>
        <v>65880</v>
      </c>
      <c r="Y4" s="50">
        <f t="shared" si="6"/>
        <v>119679.6</v>
      </c>
      <c r="AA4" s="50">
        <f>Y4</f>
        <v>119679.6</v>
      </c>
    </row>
    <row r="5" spans="1:28">
      <c r="A5" s="1">
        <v>1988</v>
      </c>
      <c r="B5" s="1" t="s">
        <v>3</v>
      </c>
      <c r="C5" s="17">
        <v>2066</v>
      </c>
      <c r="D5" s="17">
        <f t="shared" si="0"/>
        <v>413.2</v>
      </c>
      <c r="E5" s="17">
        <v>1734</v>
      </c>
      <c r="F5" s="17">
        <v>3749</v>
      </c>
      <c r="G5" s="17">
        <v>6509</v>
      </c>
      <c r="H5" s="17">
        <v>7883</v>
      </c>
      <c r="I5" s="17">
        <v>8107</v>
      </c>
      <c r="J5" s="17">
        <v>8555</v>
      </c>
      <c r="K5" s="17">
        <v>8964</v>
      </c>
      <c r="L5" s="17">
        <v>10026</v>
      </c>
      <c r="M5" s="17">
        <v>11031</v>
      </c>
      <c r="N5" s="17">
        <v>12088</v>
      </c>
      <c r="O5" s="17">
        <v>14491</v>
      </c>
      <c r="P5" s="17">
        <v>15881</v>
      </c>
      <c r="Q5" s="17">
        <v>15887</v>
      </c>
      <c r="R5" s="17">
        <v>13203</v>
      </c>
      <c r="S5" s="17">
        <v>9887</v>
      </c>
      <c r="T5" s="1">
        <f t="shared" si="1"/>
        <v>2147.1999999999998</v>
      </c>
      <c r="U5" s="1">
        <f t="shared" si="2"/>
        <v>10258</v>
      </c>
      <c r="V5" s="1">
        <f t="shared" si="3"/>
        <v>15990</v>
      </c>
      <c r="W5" s="1">
        <f t="shared" si="4"/>
        <v>27545</v>
      </c>
      <c r="X5" s="1">
        <f t="shared" si="5"/>
        <v>69378</v>
      </c>
      <c r="Y5" s="50">
        <f t="shared" si="6"/>
        <v>125318.2</v>
      </c>
      <c r="AA5" s="50">
        <f>Y5</f>
        <v>125318.2</v>
      </c>
    </row>
    <row r="6" spans="1:28">
      <c r="A6" s="1">
        <v>1989</v>
      </c>
      <c r="B6" s="1" t="s">
        <v>3</v>
      </c>
      <c r="C6" s="17">
        <v>1731</v>
      </c>
      <c r="D6" s="17">
        <f t="shared" si="0"/>
        <v>346.2</v>
      </c>
      <c r="E6" s="17">
        <v>1559</v>
      </c>
      <c r="F6" s="17">
        <v>3288</v>
      </c>
      <c r="G6" s="17">
        <v>5777</v>
      </c>
      <c r="H6" s="17">
        <v>6968</v>
      </c>
      <c r="I6" s="17">
        <v>7193</v>
      </c>
      <c r="J6" s="17">
        <v>7786</v>
      </c>
      <c r="K6" s="17">
        <v>8428</v>
      </c>
      <c r="L6" s="17">
        <v>9109</v>
      </c>
      <c r="M6" s="17">
        <v>10589</v>
      </c>
      <c r="N6" s="17">
        <v>11128</v>
      </c>
      <c r="O6" s="17">
        <v>13417</v>
      </c>
      <c r="P6" s="17">
        <v>13435</v>
      </c>
      <c r="Q6" s="17">
        <v>14290</v>
      </c>
      <c r="R6" s="17">
        <v>12698</v>
      </c>
      <c r="S6" s="17">
        <v>8734</v>
      </c>
      <c r="T6" s="1">
        <f t="shared" si="1"/>
        <v>1905.2</v>
      </c>
      <c r="U6" s="1">
        <f t="shared" si="2"/>
        <v>9065</v>
      </c>
      <c r="V6" s="1">
        <f t="shared" si="3"/>
        <v>14161</v>
      </c>
      <c r="W6" s="1">
        <f t="shared" si="4"/>
        <v>25323</v>
      </c>
      <c r="X6" s="1">
        <f t="shared" si="5"/>
        <v>62859</v>
      </c>
      <c r="Y6" s="50">
        <f t="shared" si="6"/>
        <v>113313.2</v>
      </c>
      <c r="AA6" s="50">
        <f>Y6</f>
        <v>113313.2</v>
      </c>
    </row>
    <row r="7" spans="1:28">
      <c r="A7" s="1">
        <v>1990</v>
      </c>
      <c r="B7" s="1" t="s">
        <v>3</v>
      </c>
      <c r="C7" s="17">
        <v>1364</v>
      </c>
      <c r="D7" s="17">
        <f t="shared" si="0"/>
        <v>272.8</v>
      </c>
      <c r="E7" s="17">
        <v>1311</v>
      </c>
      <c r="F7" s="17">
        <v>3083</v>
      </c>
      <c r="G7" s="17">
        <v>5250</v>
      </c>
      <c r="H7" s="17">
        <v>5991</v>
      </c>
      <c r="I7" s="17">
        <v>6571</v>
      </c>
      <c r="J7" s="17">
        <v>6771</v>
      </c>
      <c r="K7" s="17">
        <v>7397</v>
      </c>
      <c r="L7" s="17">
        <v>7705</v>
      </c>
      <c r="M7" s="17">
        <v>9464</v>
      </c>
      <c r="N7" s="17">
        <v>9590</v>
      </c>
      <c r="O7" s="17">
        <v>12372</v>
      </c>
      <c r="P7" s="17">
        <v>11916</v>
      </c>
      <c r="Q7" s="17">
        <v>13768</v>
      </c>
      <c r="R7" s="17">
        <v>11592</v>
      </c>
      <c r="S7" s="17">
        <v>8894</v>
      </c>
      <c r="T7" s="1">
        <f t="shared" si="1"/>
        <v>1583.8</v>
      </c>
      <c r="U7" s="1">
        <f t="shared" si="2"/>
        <v>8333</v>
      </c>
      <c r="V7" s="1">
        <f t="shared" si="3"/>
        <v>12562</v>
      </c>
      <c r="W7" s="1">
        <f t="shared" si="4"/>
        <v>21873</v>
      </c>
      <c r="X7" s="1">
        <f t="shared" si="5"/>
        <v>57110</v>
      </c>
      <c r="Y7" s="50">
        <f t="shared" si="6"/>
        <v>101461.8</v>
      </c>
      <c r="AA7" s="57">
        <f>Y7-Calib_HIV_deaths!M2</f>
        <v>100962.8</v>
      </c>
    </row>
    <row r="8" spans="1:28">
      <c r="A8" s="1">
        <v>1991</v>
      </c>
      <c r="B8" s="1" t="s">
        <v>3</v>
      </c>
      <c r="C8" s="17">
        <v>1559</v>
      </c>
      <c r="D8" s="17">
        <f t="shared" si="0"/>
        <v>311.8</v>
      </c>
      <c r="E8" s="17">
        <v>1483</v>
      </c>
      <c r="F8" s="17">
        <v>3373</v>
      </c>
      <c r="G8" s="17">
        <v>5723</v>
      </c>
      <c r="H8" s="17">
        <v>6726</v>
      </c>
      <c r="I8" s="17">
        <v>7400</v>
      </c>
      <c r="J8" s="17">
        <v>7941</v>
      </c>
      <c r="K8" s="17">
        <v>8495</v>
      </c>
      <c r="L8" s="17">
        <v>8864</v>
      </c>
      <c r="M8" s="17">
        <v>10987</v>
      </c>
      <c r="N8" s="17">
        <v>10969</v>
      </c>
      <c r="O8" s="17">
        <v>13887</v>
      </c>
      <c r="P8" s="17">
        <v>13434</v>
      </c>
      <c r="Q8" s="17">
        <v>15586</v>
      </c>
      <c r="R8" s="17">
        <v>12235</v>
      </c>
      <c r="S8" s="17">
        <v>10169</v>
      </c>
      <c r="T8" s="1">
        <f t="shared" si="1"/>
        <v>1794.8</v>
      </c>
      <c r="U8" s="1">
        <f t="shared" si="2"/>
        <v>9096</v>
      </c>
      <c r="V8" s="1">
        <f t="shared" si="3"/>
        <v>14126</v>
      </c>
      <c r="W8" s="1">
        <f t="shared" si="4"/>
        <v>25300</v>
      </c>
      <c r="X8" s="1">
        <f t="shared" si="5"/>
        <v>64863</v>
      </c>
      <c r="Y8" s="50">
        <f t="shared" si="6"/>
        <v>115179.8</v>
      </c>
      <c r="AA8" s="50">
        <f>Y8-Calib_HIV_deaths!M3</f>
        <v>114180.8</v>
      </c>
    </row>
    <row r="9" spans="1:28">
      <c r="A9" s="1">
        <v>1992</v>
      </c>
      <c r="B9" s="1" t="s">
        <v>3</v>
      </c>
      <c r="C9" s="17">
        <v>1380</v>
      </c>
      <c r="D9" s="17">
        <f t="shared" si="0"/>
        <v>276</v>
      </c>
      <c r="E9" s="17">
        <v>1376</v>
      </c>
      <c r="F9" s="17">
        <v>2712</v>
      </c>
      <c r="G9" s="17">
        <v>4684</v>
      </c>
      <c r="H9" s="17">
        <v>5799</v>
      </c>
      <c r="I9" s="17">
        <v>6660</v>
      </c>
      <c r="J9" s="17">
        <v>7445</v>
      </c>
      <c r="K9" s="17">
        <v>8598</v>
      </c>
      <c r="L9" s="17">
        <v>8906</v>
      </c>
      <c r="M9" s="17">
        <v>11310</v>
      </c>
      <c r="N9" s="17">
        <v>12036</v>
      </c>
      <c r="O9" s="17">
        <v>14911</v>
      </c>
      <c r="P9" s="17">
        <v>14966</v>
      </c>
      <c r="Q9" s="17">
        <v>17969</v>
      </c>
      <c r="R9" s="17">
        <v>13573</v>
      </c>
      <c r="S9" s="17">
        <v>11610</v>
      </c>
      <c r="T9" s="1">
        <f t="shared" si="1"/>
        <v>1652</v>
      </c>
      <c r="U9" s="1">
        <f t="shared" si="2"/>
        <v>7396</v>
      </c>
      <c r="V9" s="1">
        <f t="shared" si="3"/>
        <v>12459</v>
      </c>
      <c r="W9" s="1">
        <f t="shared" si="4"/>
        <v>24949</v>
      </c>
      <c r="X9" s="1">
        <f t="shared" si="5"/>
        <v>71192</v>
      </c>
      <c r="Y9" s="50">
        <f t="shared" si="6"/>
        <v>117648</v>
      </c>
      <c r="AA9" s="50">
        <f>Y9-Calib_HIV_deaths!M4</f>
        <v>115948</v>
      </c>
    </row>
    <row r="10" spans="1:28">
      <c r="A10" s="1">
        <v>1993</v>
      </c>
      <c r="B10" s="1" t="s">
        <v>3</v>
      </c>
      <c r="C10" s="17">
        <v>1811</v>
      </c>
      <c r="D10" s="17">
        <f t="shared" si="0"/>
        <v>362.2</v>
      </c>
      <c r="E10" s="17">
        <v>1751</v>
      </c>
      <c r="F10" s="17">
        <v>4525</v>
      </c>
      <c r="G10" s="17">
        <v>7760</v>
      </c>
      <c r="H10" s="17">
        <v>8862</v>
      </c>
      <c r="I10" s="17">
        <v>9304</v>
      </c>
      <c r="J10" s="17">
        <v>9674</v>
      </c>
      <c r="K10" s="17">
        <v>10175</v>
      </c>
      <c r="L10" s="17">
        <v>10234</v>
      </c>
      <c r="M10" s="17">
        <v>12186</v>
      </c>
      <c r="N10" s="17">
        <v>12610</v>
      </c>
      <c r="O10" s="17">
        <v>14921</v>
      </c>
      <c r="P10" s="17">
        <v>15233</v>
      </c>
      <c r="Q10" s="17">
        <v>16334</v>
      </c>
      <c r="R10" s="17">
        <v>14491</v>
      </c>
      <c r="S10" s="17">
        <v>11298</v>
      </c>
      <c r="T10" s="1">
        <f t="shared" si="1"/>
        <v>2113.1999999999998</v>
      </c>
      <c r="U10" s="1">
        <f t="shared" si="2"/>
        <v>12285</v>
      </c>
      <c r="V10" s="1">
        <f t="shared" si="3"/>
        <v>18166</v>
      </c>
      <c r="W10" s="1">
        <f t="shared" si="4"/>
        <v>30083</v>
      </c>
      <c r="X10" s="1">
        <f t="shared" si="5"/>
        <v>71284</v>
      </c>
      <c r="Y10" s="50">
        <f t="shared" si="6"/>
        <v>133931.20000000001</v>
      </c>
      <c r="AA10" s="50">
        <f>Y10-Calib_HIV_deaths!M5</f>
        <v>130731.20000000001</v>
      </c>
    </row>
    <row r="11" spans="1:28">
      <c r="A11" s="1">
        <v>1994</v>
      </c>
      <c r="B11" s="1" t="s">
        <v>3</v>
      </c>
      <c r="C11" s="17">
        <v>2171</v>
      </c>
      <c r="D11" s="17">
        <f t="shared" si="0"/>
        <v>434.2</v>
      </c>
      <c r="E11" s="17">
        <v>2096</v>
      </c>
      <c r="F11" s="17">
        <v>5296</v>
      </c>
      <c r="G11" s="17">
        <v>9977</v>
      </c>
      <c r="H11" s="17">
        <v>11675</v>
      </c>
      <c r="I11" s="17">
        <v>12108</v>
      </c>
      <c r="J11" s="17">
        <v>12147</v>
      </c>
      <c r="K11" s="17">
        <v>13128</v>
      </c>
      <c r="L11" s="17">
        <v>13278</v>
      </c>
      <c r="M11" s="17">
        <v>14475</v>
      </c>
      <c r="N11" s="17">
        <v>15340</v>
      </c>
      <c r="O11" s="17">
        <v>17193</v>
      </c>
      <c r="P11" s="17">
        <v>18345</v>
      </c>
      <c r="Q11" s="17">
        <v>18084</v>
      </c>
      <c r="R11" s="17">
        <v>17229</v>
      </c>
      <c r="S11" s="17">
        <v>13908</v>
      </c>
      <c r="T11" s="1">
        <f t="shared" si="1"/>
        <v>2530.1999999999998</v>
      </c>
      <c r="U11" s="1">
        <f t="shared" si="2"/>
        <v>15273</v>
      </c>
      <c r="V11" s="1">
        <f t="shared" si="3"/>
        <v>23783</v>
      </c>
      <c r="W11" s="1">
        <f t="shared" si="4"/>
        <v>38553</v>
      </c>
      <c r="X11" s="1">
        <f t="shared" si="5"/>
        <v>83437</v>
      </c>
      <c r="Y11" s="50">
        <f t="shared" si="6"/>
        <v>163576.20000000001</v>
      </c>
      <c r="AA11" s="50">
        <f>Y11-Calib_HIV_deaths!M6</f>
        <v>157876.20000000001</v>
      </c>
    </row>
    <row r="12" spans="1:28">
      <c r="A12" s="1">
        <v>1995</v>
      </c>
      <c r="B12" s="1" t="s">
        <v>3</v>
      </c>
      <c r="C12" s="17">
        <v>2505</v>
      </c>
      <c r="D12" s="17">
        <f t="shared" si="0"/>
        <v>501</v>
      </c>
      <c r="E12" s="17">
        <v>2298</v>
      </c>
      <c r="F12" s="17">
        <v>5698</v>
      </c>
      <c r="G12" s="17">
        <v>11531</v>
      </c>
      <c r="H12" s="17">
        <v>13696</v>
      </c>
      <c r="I12" s="17">
        <v>14678</v>
      </c>
      <c r="J12" s="17">
        <v>14288</v>
      </c>
      <c r="K12" s="17">
        <v>14743</v>
      </c>
      <c r="L12" s="17">
        <v>15729</v>
      </c>
      <c r="M12" s="17">
        <v>15626</v>
      </c>
      <c r="N12" s="17">
        <v>18049</v>
      </c>
      <c r="O12" s="17">
        <v>17970</v>
      </c>
      <c r="P12" s="17">
        <v>21478</v>
      </c>
      <c r="Q12" s="17">
        <v>18938</v>
      </c>
      <c r="R12" s="17">
        <v>19574</v>
      </c>
      <c r="S12" s="17">
        <v>14712</v>
      </c>
      <c r="T12" s="1">
        <f t="shared" si="1"/>
        <v>2799</v>
      </c>
      <c r="U12" s="1">
        <f t="shared" si="2"/>
        <v>17229</v>
      </c>
      <c r="V12" s="1">
        <f t="shared" si="3"/>
        <v>28374</v>
      </c>
      <c r="W12" s="1">
        <f t="shared" si="4"/>
        <v>44760</v>
      </c>
      <c r="X12" s="1">
        <f t="shared" si="5"/>
        <v>92061</v>
      </c>
      <c r="Y12" s="50">
        <f t="shared" si="6"/>
        <v>185223</v>
      </c>
      <c r="AA12" s="50">
        <f>Y12-Calib_HIV_deaths!M7</f>
        <v>175423</v>
      </c>
    </row>
    <row r="13" spans="1:28">
      <c r="A13" s="1">
        <v>1996</v>
      </c>
      <c r="B13" s="1" t="s">
        <v>3</v>
      </c>
      <c r="C13" s="17">
        <v>2753</v>
      </c>
      <c r="D13" s="17">
        <f t="shared" si="0"/>
        <v>550.6</v>
      </c>
      <c r="E13" s="17">
        <v>2489</v>
      </c>
      <c r="F13" s="17">
        <v>6069</v>
      </c>
      <c r="G13" s="17">
        <v>12756</v>
      </c>
      <c r="H13" s="17">
        <v>15791</v>
      </c>
      <c r="I13" s="17">
        <v>17123</v>
      </c>
      <c r="J13" s="17">
        <v>16253</v>
      </c>
      <c r="K13" s="17">
        <v>16469</v>
      </c>
      <c r="L13" s="17">
        <v>17166</v>
      </c>
      <c r="M13" s="17">
        <v>16777</v>
      </c>
      <c r="N13" s="17">
        <v>19895</v>
      </c>
      <c r="O13" s="17">
        <v>19757</v>
      </c>
      <c r="P13" s="17">
        <v>23368</v>
      </c>
      <c r="Q13" s="17">
        <v>20557</v>
      </c>
      <c r="R13" s="17">
        <v>22981</v>
      </c>
      <c r="S13" s="17">
        <v>15600</v>
      </c>
      <c r="T13" s="1">
        <f t="shared" si="1"/>
        <v>3039.6</v>
      </c>
      <c r="U13" s="1">
        <f t="shared" si="2"/>
        <v>18825</v>
      </c>
      <c r="V13" s="1">
        <f t="shared" si="3"/>
        <v>32914</v>
      </c>
      <c r="W13" s="1">
        <f t="shared" si="4"/>
        <v>49888</v>
      </c>
      <c r="X13" s="1">
        <f t="shared" si="5"/>
        <v>100354</v>
      </c>
      <c r="Y13" s="50">
        <f t="shared" si="6"/>
        <v>205020.6</v>
      </c>
      <c r="AA13" s="50">
        <f>Y13-Calib_HIV_deaths!M8</f>
        <v>189020.6</v>
      </c>
    </row>
    <row r="14" spans="1:28">
      <c r="A14" s="1">
        <v>1997</v>
      </c>
      <c r="B14" s="1" t="s">
        <v>3</v>
      </c>
      <c r="C14" s="1">
        <v>2978</v>
      </c>
      <c r="D14" s="17">
        <f t="shared" si="0"/>
        <v>595.6</v>
      </c>
      <c r="E14" s="1">
        <v>2762</v>
      </c>
      <c r="F14" s="1">
        <v>6281</v>
      </c>
      <c r="G14" s="1">
        <v>13709</v>
      </c>
      <c r="H14" s="1">
        <v>18453</v>
      </c>
      <c r="I14" s="1">
        <v>19125</v>
      </c>
      <c r="J14" s="1">
        <v>18951</v>
      </c>
      <c r="K14" s="1">
        <v>18279</v>
      </c>
      <c r="L14" s="1">
        <v>18690</v>
      </c>
      <c r="M14" s="1">
        <v>17623</v>
      </c>
      <c r="N14" s="1">
        <v>20666</v>
      </c>
      <c r="O14" s="1">
        <v>20557</v>
      </c>
      <c r="P14" s="1">
        <v>23594</v>
      </c>
      <c r="Q14" s="1">
        <v>21417</v>
      </c>
      <c r="R14" s="1">
        <v>23602</v>
      </c>
      <c r="S14" s="1">
        <v>15427</v>
      </c>
      <c r="T14" s="1">
        <f t="shared" si="1"/>
        <v>3357.6</v>
      </c>
      <c r="U14" s="1">
        <f t="shared" si="2"/>
        <v>19990</v>
      </c>
      <c r="V14" s="1">
        <f t="shared" si="3"/>
        <v>37578</v>
      </c>
      <c r="W14" s="1">
        <f t="shared" si="4"/>
        <v>55920</v>
      </c>
      <c r="X14" s="1">
        <f t="shared" si="5"/>
        <v>103857</v>
      </c>
      <c r="Y14" s="50">
        <f t="shared" si="6"/>
        <v>220702.6</v>
      </c>
      <c r="AA14" s="50">
        <f>Y14-Calib_HIV_deaths!M9</f>
        <v>197702.6</v>
      </c>
    </row>
    <row r="15" spans="1:28">
      <c r="A15" s="1">
        <v>1998</v>
      </c>
      <c r="B15" s="1" t="s">
        <v>3</v>
      </c>
      <c r="C15" s="1">
        <v>3251</v>
      </c>
      <c r="D15" s="17">
        <f t="shared" si="0"/>
        <v>650.20000000000005</v>
      </c>
      <c r="E15" s="1">
        <v>3006</v>
      </c>
      <c r="F15" s="1">
        <v>7086</v>
      </c>
      <c r="G15" s="1">
        <v>15843</v>
      </c>
      <c r="H15" s="1">
        <v>23102</v>
      </c>
      <c r="I15" s="1">
        <v>24282</v>
      </c>
      <c r="J15" s="1">
        <v>23686</v>
      </c>
      <c r="K15" s="1">
        <v>22022</v>
      </c>
      <c r="L15" s="1">
        <v>22009</v>
      </c>
      <c r="M15" s="1">
        <v>20330</v>
      </c>
      <c r="N15" s="1">
        <v>22958</v>
      </c>
      <c r="O15" s="1">
        <v>22509</v>
      </c>
      <c r="P15" s="1">
        <v>25816</v>
      </c>
      <c r="Q15" s="1">
        <v>24604</v>
      </c>
      <c r="R15" s="1">
        <v>24004</v>
      </c>
      <c r="S15" s="1">
        <v>18979</v>
      </c>
      <c r="T15" s="1">
        <f t="shared" si="1"/>
        <v>3656.2</v>
      </c>
      <c r="U15" s="1">
        <f t="shared" si="2"/>
        <v>22929</v>
      </c>
      <c r="V15" s="1">
        <f t="shared" si="3"/>
        <v>47384</v>
      </c>
      <c r="W15" s="1">
        <f t="shared" si="4"/>
        <v>67717</v>
      </c>
      <c r="X15" s="1">
        <f t="shared" si="5"/>
        <v>116217</v>
      </c>
      <c r="Y15" s="50">
        <f t="shared" si="6"/>
        <v>257903.2</v>
      </c>
      <c r="AA15" s="50">
        <f>Y15-Calib_HIV_deaths!M10</f>
        <v>224903.2</v>
      </c>
    </row>
    <row r="16" spans="1:28">
      <c r="A16" s="1">
        <v>1999</v>
      </c>
      <c r="B16" s="1" t="s">
        <v>3</v>
      </c>
      <c r="C16" s="1">
        <v>3442</v>
      </c>
      <c r="D16" s="17">
        <f t="shared" si="0"/>
        <v>688.4</v>
      </c>
      <c r="E16" s="1">
        <v>2980</v>
      </c>
      <c r="F16" s="1">
        <v>7781</v>
      </c>
      <c r="G16" s="1">
        <v>17072</v>
      </c>
      <c r="H16" s="1">
        <v>26729</v>
      </c>
      <c r="I16" s="1">
        <v>28752</v>
      </c>
      <c r="J16" s="1">
        <v>27448</v>
      </c>
      <c r="K16" s="1">
        <v>24285</v>
      </c>
      <c r="L16" s="1">
        <v>23652</v>
      </c>
      <c r="M16" s="1">
        <v>21767</v>
      </c>
      <c r="N16" s="1">
        <v>22872</v>
      </c>
      <c r="O16" s="1">
        <v>22850</v>
      </c>
      <c r="P16" s="1">
        <v>25265</v>
      </c>
      <c r="Q16" s="1">
        <v>25200</v>
      </c>
      <c r="R16" s="1">
        <v>22358</v>
      </c>
      <c r="S16" s="1">
        <v>19002</v>
      </c>
      <c r="T16" s="1">
        <f t="shared" si="1"/>
        <v>3668.4</v>
      </c>
      <c r="U16" s="1">
        <f t="shared" si="2"/>
        <v>24853</v>
      </c>
      <c r="V16" s="1">
        <f t="shared" si="3"/>
        <v>55481</v>
      </c>
      <c r="W16" s="1">
        <f t="shared" si="4"/>
        <v>75385</v>
      </c>
      <c r="X16" s="1">
        <f t="shared" si="5"/>
        <v>117954</v>
      </c>
      <c r="Y16" s="50">
        <f t="shared" si="6"/>
        <v>277341.40000000002</v>
      </c>
      <c r="AA16" s="50">
        <f>Y16-Calib_HIV_deaths!M11</f>
        <v>230341.40000000002</v>
      </c>
    </row>
    <row r="17" spans="1:27">
      <c r="A17" s="1">
        <v>2000</v>
      </c>
      <c r="B17" s="1" t="s">
        <v>3</v>
      </c>
      <c r="C17" s="1">
        <v>3628</v>
      </c>
      <c r="D17" s="17">
        <f t="shared" si="0"/>
        <v>725.6</v>
      </c>
      <c r="E17" s="1">
        <v>3097</v>
      </c>
      <c r="F17" s="1">
        <v>7890</v>
      </c>
      <c r="G17" s="1">
        <v>18889</v>
      </c>
      <c r="H17" s="1">
        <v>30978</v>
      </c>
      <c r="I17" s="1">
        <v>34487</v>
      </c>
      <c r="J17" s="1">
        <v>32332</v>
      </c>
      <c r="K17" s="1">
        <v>28316</v>
      </c>
      <c r="L17" s="1">
        <v>25811</v>
      </c>
      <c r="M17" s="1">
        <v>24502</v>
      </c>
      <c r="N17" s="1">
        <v>22928</v>
      </c>
      <c r="O17" s="1">
        <v>25603</v>
      </c>
      <c r="P17" s="1">
        <v>24738</v>
      </c>
      <c r="Q17" s="1">
        <v>27353</v>
      </c>
      <c r="R17" s="1">
        <v>21952</v>
      </c>
      <c r="S17" s="1">
        <v>21176</v>
      </c>
      <c r="T17" s="1">
        <f t="shared" si="1"/>
        <v>3822.6</v>
      </c>
      <c r="U17" s="1">
        <f t="shared" si="2"/>
        <v>26779</v>
      </c>
      <c r="V17" s="1">
        <f t="shared" si="3"/>
        <v>65465</v>
      </c>
      <c r="W17" s="1">
        <f t="shared" si="4"/>
        <v>86459</v>
      </c>
      <c r="X17" s="1">
        <f t="shared" si="5"/>
        <v>125124</v>
      </c>
      <c r="Y17" s="50">
        <f t="shared" si="6"/>
        <v>307649.59999999998</v>
      </c>
      <c r="AA17" s="50">
        <f>Y17-Calib_HIV_deaths!M12</f>
        <v>245649.59999999998</v>
      </c>
    </row>
    <row r="18" spans="1:27">
      <c r="A18" s="1">
        <v>2001</v>
      </c>
      <c r="B18" s="1" t="s">
        <v>3</v>
      </c>
      <c r="C18" s="1">
        <v>3864</v>
      </c>
      <c r="D18" s="17">
        <f t="shared" si="0"/>
        <v>772.8</v>
      </c>
      <c r="E18" s="1">
        <v>3241</v>
      </c>
      <c r="F18" s="1">
        <v>8463</v>
      </c>
      <c r="G18" s="1">
        <v>20009</v>
      </c>
      <c r="H18" s="1">
        <v>36366</v>
      </c>
      <c r="I18" s="1">
        <v>39859</v>
      </c>
      <c r="J18" s="1">
        <v>37156</v>
      </c>
      <c r="K18" s="1">
        <v>32412</v>
      </c>
      <c r="L18" s="1">
        <v>28992</v>
      </c>
      <c r="M18" s="1">
        <v>27193</v>
      </c>
      <c r="N18" s="1">
        <v>23817</v>
      </c>
      <c r="O18" s="1">
        <v>27291</v>
      </c>
      <c r="P18" s="1">
        <v>25928</v>
      </c>
      <c r="Q18" s="1">
        <v>29272</v>
      </c>
      <c r="R18" s="1">
        <v>22990</v>
      </c>
      <c r="S18" s="1">
        <v>23152</v>
      </c>
      <c r="T18" s="1">
        <f t="shared" si="1"/>
        <v>4013.8</v>
      </c>
      <c r="U18" s="1">
        <f t="shared" si="2"/>
        <v>28472</v>
      </c>
      <c r="V18" s="1">
        <f t="shared" si="3"/>
        <v>76225</v>
      </c>
      <c r="W18" s="1">
        <f t="shared" si="4"/>
        <v>98560</v>
      </c>
      <c r="X18" s="1">
        <f t="shared" si="5"/>
        <v>133501</v>
      </c>
      <c r="Y18" s="50">
        <f t="shared" si="6"/>
        <v>340771.8</v>
      </c>
      <c r="AA18" s="50">
        <f>Y18-Calib_HIV_deaths!M13</f>
        <v>263771.8</v>
      </c>
    </row>
    <row r="19" spans="1:27">
      <c r="A19" s="1">
        <v>2002</v>
      </c>
      <c r="B19" s="1" t="s">
        <v>3</v>
      </c>
      <c r="C19" s="1">
        <v>4385</v>
      </c>
      <c r="D19" s="17">
        <f t="shared" si="0"/>
        <v>877</v>
      </c>
      <c r="E19" s="1">
        <v>3383</v>
      </c>
      <c r="F19" s="1">
        <v>9097</v>
      </c>
      <c r="G19" s="1">
        <v>22230</v>
      </c>
      <c r="H19" s="1">
        <v>42208</v>
      </c>
      <c r="I19" s="1">
        <v>47694</v>
      </c>
      <c r="J19" s="1">
        <v>43759</v>
      </c>
      <c r="K19" s="1">
        <v>37299</v>
      </c>
      <c r="L19" s="1">
        <v>32131</v>
      </c>
      <c r="M19" s="1">
        <v>30026</v>
      </c>
      <c r="N19" s="1">
        <v>25531</v>
      </c>
      <c r="O19" s="1">
        <v>29005</v>
      </c>
      <c r="P19" s="1">
        <v>27126</v>
      </c>
      <c r="Q19" s="1">
        <v>29352</v>
      </c>
      <c r="R19" s="1">
        <v>24027</v>
      </c>
      <c r="S19" s="1">
        <v>23820</v>
      </c>
      <c r="T19" s="1">
        <f t="shared" si="1"/>
        <v>4260</v>
      </c>
      <c r="U19" s="1">
        <f t="shared" si="2"/>
        <v>31327</v>
      </c>
      <c r="V19" s="1">
        <f t="shared" si="3"/>
        <v>89902</v>
      </c>
      <c r="W19" s="1">
        <f t="shared" si="4"/>
        <v>113189</v>
      </c>
      <c r="X19" s="1">
        <f t="shared" si="5"/>
        <v>141040</v>
      </c>
      <c r="Y19" s="50">
        <f t="shared" si="6"/>
        <v>379718</v>
      </c>
      <c r="AA19" s="50">
        <f>Y19-Calib_HIV_deaths!M14</f>
        <v>285718</v>
      </c>
    </row>
    <row r="20" spans="1:27">
      <c r="A20" s="1">
        <v>2003</v>
      </c>
      <c r="B20" s="1" t="s">
        <v>3</v>
      </c>
      <c r="C20" s="1">
        <v>5015</v>
      </c>
      <c r="D20" s="17">
        <f t="shared" si="0"/>
        <v>1003</v>
      </c>
      <c r="E20" s="1">
        <v>3672</v>
      </c>
      <c r="F20" s="1">
        <v>9478</v>
      </c>
      <c r="G20" s="1">
        <v>24686</v>
      </c>
      <c r="H20" s="1">
        <v>46520</v>
      </c>
      <c r="I20" s="1">
        <v>55897</v>
      </c>
      <c r="J20" s="1">
        <v>49308</v>
      </c>
      <c r="K20" s="1">
        <v>43396</v>
      </c>
      <c r="L20" s="1">
        <v>36681</v>
      </c>
      <c r="M20" s="1">
        <v>33601</v>
      </c>
      <c r="N20" s="1">
        <v>28286</v>
      </c>
      <c r="O20" s="1">
        <v>30796</v>
      </c>
      <c r="P20" s="1">
        <v>28637</v>
      </c>
      <c r="Q20" s="1">
        <v>30950</v>
      </c>
      <c r="R20" s="1">
        <v>26272</v>
      </c>
      <c r="S20" s="1">
        <v>23205</v>
      </c>
      <c r="T20" s="1">
        <f t="shared" si="1"/>
        <v>4675</v>
      </c>
      <c r="U20" s="1">
        <f t="shared" si="2"/>
        <v>34164</v>
      </c>
      <c r="V20" s="1">
        <f t="shared" si="3"/>
        <v>102417</v>
      </c>
      <c r="W20" s="1">
        <f t="shared" si="4"/>
        <v>129385</v>
      </c>
      <c r="X20" s="1">
        <f t="shared" si="5"/>
        <v>152270</v>
      </c>
      <c r="Y20" s="50">
        <f t="shared" si="6"/>
        <v>422911</v>
      </c>
      <c r="AA20" s="50">
        <f>Y20-Calib_HIV_deaths!M15</f>
        <v>312911</v>
      </c>
    </row>
    <row r="21" spans="1:27">
      <c r="A21" s="1">
        <v>2004</v>
      </c>
      <c r="B21" s="1" t="s">
        <v>3</v>
      </c>
      <c r="C21" s="1">
        <v>6009</v>
      </c>
      <c r="D21" s="17">
        <f t="shared" si="0"/>
        <v>1201.8</v>
      </c>
      <c r="E21" s="1">
        <v>3937</v>
      </c>
      <c r="F21" s="1">
        <v>9359</v>
      </c>
      <c r="G21" s="1">
        <v>25577</v>
      </c>
      <c r="H21" s="1">
        <v>47583</v>
      </c>
      <c r="I21" s="1">
        <v>59292</v>
      </c>
      <c r="J21" s="1">
        <v>53560</v>
      </c>
      <c r="K21" s="1">
        <v>47204</v>
      </c>
      <c r="L21" s="1">
        <v>39478</v>
      </c>
      <c r="M21" s="1">
        <v>35317</v>
      </c>
      <c r="N21" s="1">
        <v>30167</v>
      </c>
      <c r="O21" s="1">
        <v>30434</v>
      </c>
      <c r="P21" s="1">
        <v>29067</v>
      </c>
      <c r="Q21" s="1">
        <v>28913</v>
      </c>
      <c r="R21" s="1">
        <v>25929</v>
      </c>
      <c r="S21" s="1">
        <v>20642</v>
      </c>
      <c r="T21" s="1">
        <f t="shared" si="1"/>
        <v>5138.8</v>
      </c>
      <c r="U21" s="1">
        <f t="shared" si="2"/>
        <v>34936</v>
      </c>
      <c r="V21" s="1">
        <f t="shared" si="3"/>
        <v>106875</v>
      </c>
      <c r="W21" s="1">
        <f t="shared" si="4"/>
        <v>140242</v>
      </c>
      <c r="X21" s="1">
        <f t="shared" si="5"/>
        <v>153898</v>
      </c>
      <c r="Y21" s="50">
        <f t="shared" si="6"/>
        <v>441089.8</v>
      </c>
      <c r="AA21" s="50">
        <f>Y21-Calib_HIV_deaths!M16</f>
        <v>321089.8</v>
      </c>
    </row>
    <row r="22" spans="1:27">
      <c r="A22" s="1">
        <v>2005</v>
      </c>
      <c r="B22" s="1" t="s">
        <v>3</v>
      </c>
      <c r="C22" s="1">
        <v>6195</v>
      </c>
      <c r="D22" s="17">
        <f t="shared" si="0"/>
        <v>1239</v>
      </c>
      <c r="E22" s="1">
        <v>4032</v>
      </c>
      <c r="F22" s="1">
        <v>9387</v>
      </c>
      <c r="G22" s="1">
        <v>25502</v>
      </c>
      <c r="H22" s="1">
        <v>46772</v>
      </c>
      <c r="I22" s="1">
        <v>60289</v>
      </c>
      <c r="J22" s="1">
        <v>55870</v>
      </c>
      <c r="K22" s="1">
        <v>49116</v>
      </c>
      <c r="L22" s="1">
        <v>41982</v>
      </c>
      <c r="M22" s="1">
        <v>36586</v>
      </c>
      <c r="N22" s="1">
        <v>33104</v>
      </c>
      <c r="O22" s="1">
        <v>30155</v>
      </c>
      <c r="P22" s="1">
        <v>31628</v>
      </c>
      <c r="Q22" s="1">
        <v>28053</v>
      </c>
      <c r="R22" s="1">
        <v>28202</v>
      </c>
      <c r="S22" s="1">
        <v>20313</v>
      </c>
      <c r="T22" s="1">
        <f t="shared" si="1"/>
        <v>5271</v>
      </c>
      <c r="U22" s="1">
        <f t="shared" si="2"/>
        <v>34889</v>
      </c>
      <c r="V22" s="1">
        <f t="shared" si="3"/>
        <v>107061</v>
      </c>
      <c r="W22" s="1">
        <f t="shared" si="4"/>
        <v>146968</v>
      </c>
      <c r="X22" s="1">
        <f t="shared" si="5"/>
        <v>159526</v>
      </c>
      <c r="Y22" s="50">
        <f t="shared" si="6"/>
        <v>453715</v>
      </c>
      <c r="AA22" s="50">
        <f>Y22-Calib_HIV_deaths!M17</f>
        <v>333715</v>
      </c>
    </row>
    <row r="23" spans="1:27">
      <c r="A23" s="1">
        <v>2006</v>
      </c>
      <c r="B23" s="1" t="s">
        <v>3</v>
      </c>
      <c r="C23" s="1">
        <v>5604</v>
      </c>
      <c r="D23" s="17">
        <f t="shared" si="0"/>
        <v>1120.8</v>
      </c>
      <c r="E23" s="1">
        <v>4325</v>
      </c>
      <c r="F23" s="1">
        <v>9499</v>
      </c>
      <c r="G23" s="1">
        <v>25824</v>
      </c>
      <c r="H23" s="1">
        <v>45367</v>
      </c>
      <c r="I23" s="1">
        <v>60120</v>
      </c>
      <c r="J23" s="1">
        <v>55783</v>
      </c>
      <c r="K23" s="1">
        <v>50162</v>
      </c>
      <c r="L23" s="1">
        <v>43232</v>
      </c>
      <c r="M23" s="1">
        <v>38520</v>
      </c>
      <c r="N23" s="1">
        <v>34932</v>
      </c>
      <c r="O23" s="1">
        <v>30478</v>
      </c>
      <c r="P23" s="1">
        <v>33634</v>
      </c>
      <c r="Q23" s="1">
        <v>29253</v>
      </c>
      <c r="R23" s="1">
        <v>29803</v>
      </c>
      <c r="S23" s="1">
        <v>21338</v>
      </c>
      <c r="T23" s="1">
        <f t="shared" si="1"/>
        <v>5445.8</v>
      </c>
      <c r="U23" s="1">
        <f t="shared" si="2"/>
        <v>35323</v>
      </c>
      <c r="V23" s="1">
        <f t="shared" si="3"/>
        <v>105487</v>
      </c>
      <c r="W23" s="1">
        <f t="shared" si="4"/>
        <v>149177</v>
      </c>
      <c r="X23" s="1">
        <f t="shared" si="5"/>
        <v>166817</v>
      </c>
      <c r="Y23" s="50">
        <f t="shared" si="6"/>
        <v>462249.8</v>
      </c>
      <c r="AA23" s="50">
        <f>Y23-Calib_HIV_deaths!M18</f>
        <v>342249.8</v>
      </c>
    </row>
    <row r="24" spans="1:27">
      <c r="A24" s="1">
        <v>2007</v>
      </c>
      <c r="B24" s="1" t="s">
        <v>3</v>
      </c>
      <c r="C24" s="1">
        <v>5395</v>
      </c>
      <c r="D24" s="17">
        <f t="shared" si="0"/>
        <v>1079</v>
      </c>
      <c r="E24" s="1">
        <v>4167</v>
      </c>
      <c r="F24" s="1">
        <v>9135</v>
      </c>
      <c r="G24" s="1">
        <v>24813</v>
      </c>
      <c r="H24" s="1">
        <v>43316</v>
      </c>
      <c r="I24" s="1">
        <v>57785</v>
      </c>
      <c r="J24" s="1">
        <v>54523</v>
      </c>
      <c r="K24" s="1">
        <v>48526</v>
      </c>
      <c r="L24" s="1">
        <v>42979</v>
      </c>
      <c r="M24" s="1">
        <v>38682</v>
      </c>
      <c r="N24" s="1">
        <v>36181</v>
      </c>
      <c r="O24" s="1">
        <v>31065</v>
      </c>
      <c r="P24" s="1">
        <v>33904</v>
      </c>
      <c r="Q24" s="1">
        <v>29747</v>
      </c>
      <c r="R24" s="1">
        <v>29732</v>
      </c>
      <c r="S24" s="1">
        <v>21884</v>
      </c>
      <c r="T24" s="1">
        <f t="shared" si="1"/>
        <v>5246</v>
      </c>
      <c r="U24" s="1">
        <f t="shared" si="2"/>
        <v>33948</v>
      </c>
      <c r="V24" s="1">
        <f t="shared" si="3"/>
        <v>101101</v>
      </c>
      <c r="W24" s="1">
        <f t="shared" si="4"/>
        <v>146028</v>
      </c>
      <c r="X24" s="1">
        <f t="shared" si="5"/>
        <v>169579</v>
      </c>
      <c r="Y24" s="50">
        <f t="shared" si="6"/>
        <v>455902</v>
      </c>
      <c r="AA24" s="50">
        <f>Y24-Calib_HIV_deaths!M19</f>
        <v>345902</v>
      </c>
    </row>
    <row r="25" spans="1:27">
      <c r="A25" s="1">
        <v>2008</v>
      </c>
      <c r="B25" s="1" t="s">
        <v>3</v>
      </c>
      <c r="C25" s="1">
        <v>5059</v>
      </c>
      <c r="D25" s="17">
        <f t="shared" si="0"/>
        <v>1011.8</v>
      </c>
      <c r="E25" s="1">
        <v>4134</v>
      </c>
      <c r="F25" s="1">
        <v>9041</v>
      </c>
      <c r="G25" s="1">
        <v>23761</v>
      </c>
      <c r="H25" s="1">
        <v>42222</v>
      </c>
      <c r="I25" s="1">
        <v>54364</v>
      </c>
      <c r="J25" s="1">
        <v>53789</v>
      </c>
      <c r="K25" s="1">
        <v>46552</v>
      </c>
      <c r="L25" s="1">
        <v>42589</v>
      </c>
      <c r="M25" s="1">
        <v>38507</v>
      </c>
      <c r="N25" s="1">
        <v>36722</v>
      </c>
      <c r="O25" s="1">
        <v>31797</v>
      </c>
      <c r="P25" s="1">
        <v>33807</v>
      </c>
      <c r="Q25" s="1">
        <v>29571</v>
      </c>
      <c r="R25" s="1">
        <v>29889</v>
      </c>
      <c r="S25" s="1">
        <v>22970</v>
      </c>
      <c r="T25" s="1">
        <f t="shared" si="1"/>
        <v>5145.8</v>
      </c>
      <c r="U25" s="1">
        <f t="shared" si="2"/>
        <v>32802</v>
      </c>
      <c r="V25" s="1">
        <f t="shared" si="3"/>
        <v>96586</v>
      </c>
      <c r="W25" s="1">
        <f t="shared" si="4"/>
        <v>142930</v>
      </c>
      <c r="X25" s="1">
        <f t="shared" si="5"/>
        <v>170404</v>
      </c>
      <c r="Y25" s="50">
        <f t="shared" si="6"/>
        <v>447867.8</v>
      </c>
      <c r="AA25" s="50">
        <f>Y25-Calib_HIV_deaths!M20</f>
        <v>347867.8</v>
      </c>
    </row>
    <row r="26" spans="1:27">
      <c r="A26" s="1">
        <v>2009</v>
      </c>
      <c r="B26" s="1" t="s">
        <v>3</v>
      </c>
      <c r="C26" s="1">
        <v>4427</v>
      </c>
      <c r="D26" s="17">
        <f t="shared" si="0"/>
        <v>885.4</v>
      </c>
      <c r="E26" s="1">
        <v>4470</v>
      </c>
      <c r="F26" s="1">
        <v>8855</v>
      </c>
      <c r="G26" s="1">
        <v>21942</v>
      </c>
      <c r="H26" s="1">
        <v>39639</v>
      </c>
      <c r="I26" s="1">
        <v>49429</v>
      </c>
      <c r="J26" s="1">
        <v>50253</v>
      </c>
      <c r="K26" s="1">
        <v>44523</v>
      </c>
      <c r="L26" s="1">
        <v>41855</v>
      </c>
      <c r="M26" s="1">
        <v>38563</v>
      </c>
      <c r="N26" s="1">
        <v>37038</v>
      </c>
      <c r="O26" s="1">
        <v>33719</v>
      </c>
      <c r="P26" s="1">
        <v>34044</v>
      </c>
      <c r="Q26" s="1">
        <v>31215</v>
      </c>
      <c r="R26" s="1">
        <v>30611</v>
      </c>
      <c r="S26" s="1">
        <v>24994</v>
      </c>
      <c r="T26" s="1">
        <f t="shared" si="1"/>
        <v>5355.4</v>
      </c>
      <c r="U26" s="1">
        <f t="shared" si="2"/>
        <v>30797</v>
      </c>
      <c r="V26" s="1">
        <f t="shared" si="3"/>
        <v>89068</v>
      </c>
      <c r="W26" s="1">
        <f t="shared" si="4"/>
        <v>136631</v>
      </c>
      <c r="X26" s="1">
        <f t="shared" si="5"/>
        <v>174579</v>
      </c>
      <c r="Y26" s="50">
        <f t="shared" si="6"/>
        <v>436430.4</v>
      </c>
      <c r="AA26" s="50">
        <f>Y26-Calib_HIV_deaths!M21</f>
        <v>345430.4</v>
      </c>
    </row>
    <row r="27" spans="1:27">
      <c r="A27" s="1">
        <v>2010</v>
      </c>
      <c r="B27" s="1" t="s">
        <v>3</v>
      </c>
      <c r="C27" s="1">
        <v>4701</v>
      </c>
      <c r="D27" s="17">
        <f t="shared" si="0"/>
        <v>940.2</v>
      </c>
      <c r="E27" s="1">
        <v>4586</v>
      </c>
      <c r="F27" s="1">
        <v>8439</v>
      </c>
      <c r="G27" s="1">
        <v>20233</v>
      </c>
      <c r="H27" s="1">
        <v>36162</v>
      </c>
      <c r="I27" s="1">
        <v>44045</v>
      </c>
      <c r="J27" s="1">
        <v>45336</v>
      </c>
      <c r="K27" s="1">
        <v>41157</v>
      </c>
      <c r="L27" s="1">
        <v>39456</v>
      </c>
      <c r="M27" s="1">
        <v>37347</v>
      </c>
      <c r="N27" s="1">
        <v>35410</v>
      </c>
      <c r="O27" s="1">
        <v>35010</v>
      </c>
      <c r="P27" s="1">
        <v>31988</v>
      </c>
      <c r="Q27" s="1">
        <v>32636</v>
      </c>
      <c r="R27" s="1">
        <v>27972</v>
      </c>
      <c r="S27" s="1">
        <v>26221</v>
      </c>
      <c r="T27" s="1">
        <f t="shared" si="1"/>
        <v>5526.2</v>
      </c>
      <c r="U27" s="1">
        <f t="shared" si="2"/>
        <v>28672</v>
      </c>
      <c r="V27" s="1">
        <f t="shared" si="3"/>
        <v>80207</v>
      </c>
      <c r="W27" s="1">
        <f t="shared" si="4"/>
        <v>125949</v>
      </c>
      <c r="X27" s="1">
        <f t="shared" si="5"/>
        <v>172391</v>
      </c>
      <c r="Y27" s="50">
        <f t="shared" si="6"/>
        <v>412745.2</v>
      </c>
      <c r="AA27" s="50">
        <f>Y27-Calib_HIV_deaths!M22</f>
        <v>328745.2</v>
      </c>
    </row>
    <row r="28" spans="1:27">
      <c r="A28" s="1">
        <v>2011</v>
      </c>
      <c r="B28" s="1" t="s">
        <v>3</v>
      </c>
      <c r="C28" s="1">
        <v>4438</v>
      </c>
      <c r="D28" s="17">
        <f t="shared" si="0"/>
        <v>887.6</v>
      </c>
      <c r="E28" s="1">
        <v>3930</v>
      </c>
      <c r="F28" s="1">
        <v>7753</v>
      </c>
      <c r="G28" s="1">
        <v>17691</v>
      </c>
      <c r="H28" s="1">
        <v>31452</v>
      </c>
      <c r="I28" s="1">
        <v>37805</v>
      </c>
      <c r="J28" s="1">
        <v>40283</v>
      </c>
      <c r="K28" s="1">
        <v>36731</v>
      </c>
      <c r="L28" s="1">
        <v>36181</v>
      </c>
      <c r="M28" s="1">
        <v>35777</v>
      </c>
      <c r="N28" s="1">
        <v>34906</v>
      </c>
      <c r="O28" s="1">
        <v>35681</v>
      </c>
      <c r="P28" s="1">
        <v>31474</v>
      </c>
      <c r="Q28" s="1">
        <v>33597</v>
      </c>
      <c r="R28" s="1">
        <v>28358</v>
      </c>
      <c r="S28" s="1">
        <v>26837</v>
      </c>
      <c r="T28" s="1">
        <f t="shared" si="1"/>
        <v>4817.6000000000004</v>
      </c>
      <c r="U28" s="1">
        <f t="shared" si="2"/>
        <v>25444</v>
      </c>
      <c r="V28" s="1">
        <f t="shared" si="3"/>
        <v>69257</v>
      </c>
      <c r="W28" s="1">
        <f t="shared" si="4"/>
        <v>113195</v>
      </c>
      <c r="X28" s="1">
        <f t="shared" si="5"/>
        <v>171435</v>
      </c>
      <c r="Y28" s="50">
        <f t="shared" si="6"/>
        <v>384148.6</v>
      </c>
      <c r="AA28" s="50">
        <f>Y28-Calib_HIV_deaths!M23</f>
        <v>313148.59999999998</v>
      </c>
    </row>
    <row r="29" spans="1:27">
      <c r="A29" s="1">
        <v>2012</v>
      </c>
      <c r="B29" s="1" t="s">
        <v>3</v>
      </c>
      <c r="C29" s="1">
        <v>4932</v>
      </c>
      <c r="D29" s="17">
        <f t="shared" si="0"/>
        <v>986.4</v>
      </c>
      <c r="E29" s="1">
        <v>4172</v>
      </c>
      <c r="F29" s="1">
        <v>7577</v>
      </c>
      <c r="G29" s="1">
        <v>16410</v>
      </c>
      <c r="H29" s="1">
        <v>29088</v>
      </c>
      <c r="I29" s="1">
        <v>34534</v>
      </c>
      <c r="J29" s="1">
        <v>36683</v>
      </c>
      <c r="K29" s="1">
        <v>34076</v>
      </c>
      <c r="L29" s="1">
        <v>33155</v>
      </c>
      <c r="M29" s="1">
        <v>33833</v>
      </c>
      <c r="N29" s="1">
        <v>33698</v>
      </c>
      <c r="O29" s="1">
        <v>34781</v>
      </c>
      <c r="P29" s="1">
        <v>31069</v>
      </c>
      <c r="Q29" s="1">
        <v>32768</v>
      </c>
      <c r="R29" s="1">
        <v>28483</v>
      </c>
      <c r="S29" s="1">
        <v>26814</v>
      </c>
      <c r="T29" s="1">
        <f t="shared" si="1"/>
        <v>5158.3999999999996</v>
      </c>
      <c r="U29" s="1">
        <f t="shared" si="2"/>
        <v>23987</v>
      </c>
      <c r="V29" s="1">
        <f t="shared" si="3"/>
        <v>63622</v>
      </c>
      <c r="W29" s="1">
        <f t="shared" si="4"/>
        <v>103914</v>
      </c>
      <c r="X29" s="1">
        <f t="shared" si="5"/>
        <v>166149</v>
      </c>
      <c r="Y29" s="50">
        <f t="shared" si="6"/>
        <v>362830.4</v>
      </c>
      <c r="AA29" s="50">
        <f>Y29-Calib_HIV_deaths!M24</f>
        <v>303830.40000000002</v>
      </c>
    </row>
    <row r="30" spans="1:27">
      <c r="A30" s="1">
        <v>2013</v>
      </c>
      <c r="B30" s="1" t="s">
        <v>3</v>
      </c>
      <c r="C30" s="1">
        <v>3540</v>
      </c>
      <c r="D30" s="17">
        <f t="shared" si="0"/>
        <v>708</v>
      </c>
      <c r="E30" s="1">
        <v>3394</v>
      </c>
      <c r="F30" s="1">
        <v>7382</v>
      </c>
      <c r="G30" s="1">
        <v>15622</v>
      </c>
      <c r="H30" s="1">
        <v>26224</v>
      </c>
      <c r="I30" s="1">
        <v>32072</v>
      </c>
      <c r="J30" s="1">
        <v>33207</v>
      </c>
      <c r="K30" s="1">
        <v>32632</v>
      </c>
      <c r="L30" s="1">
        <v>31414</v>
      </c>
      <c r="M30" s="1">
        <v>32915</v>
      </c>
      <c r="N30" s="1">
        <v>33076</v>
      </c>
      <c r="O30" s="1">
        <v>35251</v>
      </c>
      <c r="P30" s="1">
        <v>31091</v>
      </c>
      <c r="Q30" s="1">
        <v>32945</v>
      </c>
      <c r="R30" s="1">
        <v>28451</v>
      </c>
      <c r="S30" s="1">
        <v>26611</v>
      </c>
      <c r="T30" s="1">
        <f t="shared" si="1"/>
        <v>4102</v>
      </c>
      <c r="U30" s="1">
        <f t="shared" si="2"/>
        <v>23004</v>
      </c>
      <c r="V30" s="1">
        <f t="shared" si="3"/>
        <v>58296</v>
      </c>
      <c r="W30" s="1">
        <f t="shared" si="4"/>
        <v>97253</v>
      </c>
      <c r="X30" s="1">
        <f t="shared" si="5"/>
        <v>165278</v>
      </c>
      <c r="Y30" s="50">
        <f t="shared" si="6"/>
        <v>347933</v>
      </c>
      <c r="AA30" s="50">
        <f>Y30-Calib_HIV_deaths!M25</f>
        <v>293933</v>
      </c>
    </row>
    <row r="31" spans="1:27">
      <c r="A31" s="1">
        <v>2014</v>
      </c>
      <c r="B31" s="1" t="s">
        <v>3</v>
      </c>
      <c r="C31" s="1">
        <v>3317</v>
      </c>
      <c r="D31" s="17">
        <f t="shared" si="0"/>
        <v>663.4</v>
      </c>
      <c r="E31" s="1">
        <v>3245</v>
      </c>
      <c r="F31" s="1">
        <v>7381</v>
      </c>
      <c r="G31" s="1">
        <v>14818</v>
      </c>
      <c r="H31" s="1">
        <v>24424</v>
      </c>
      <c r="I31" s="1">
        <v>31247</v>
      </c>
      <c r="J31" s="1">
        <v>31259</v>
      </c>
      <c r="K31" s="1">
        <v>31376</v>
      </c>
      <c r="L31" s="1">
        <v>30503</v>
      </c>
      <c r="M31" s="1">
        <v>32966</v>
      </c>
      <c r="N31" s="1">
        <v>33679</v>
      </c>
      <c r="O31" s="1">
        <v>36630</v>
      </c>
      <c r="P31" s="1">
        <v>33539</v>
      </c>
      <c r="Q31" s="1">
        <v>32966</v>
      </c>
      <c r="R31" s="1">
        <v>29589</v>
      </c>
      <c r="S31" s="1">
        <v>26974</v>
      </c>
      <c r="T31" s="1">
        <f t="shared" si="1"/>
        <v>3908.4</v>
      </c>
      <c r="U31" s="1">
        <f t="shared" si="2"/>
        <v>22199</v>
      </c>
      <c r="V31" s="1">
        <f t="shared" si="3"/>
        <v>55671</v>
      </c>
      <c r="W31" s="1">
        <f t="shared" si="4"/>
        <v>93138</v>
      </c>
      <c r="X31" s="1">
        <f t="shared" si="5"/>
        <v>169780</v>
      </c>
      <c r="Y31" s="50">
        <f t="shared" si="6"/>
        <v>344696.4</v>
      </c>
      <c r="AA31" s="50">
        <f>Y31-Calib_HIV_deaths!M26</f>
        <v>294696.40000000002</v>
      </c>
    </row>
    <row r="32" spans="1:27">
      <c r="A32" s="1">
        <v>2015</v>
      </c>
      <c r="B32" s="1" t="s">
        <v>3</v>
      </c>
      <c r="C32" s="1">
        <v>3198</v>
      </c>
      <c r="D32" s="17">
        <f t="shared" si="0"/>
        <v>639.6</v>
      </c>
      <c r="E32" s="1">
        <v>3175</v>
      </c>
      <c r="F32" s="1">
        <v>7069</v>
      </c>
      <c r="G32" s="1">
        <v>14494</v>
      </c>
      <c r="H32" s="1">
        <v>23643</v>
      </c>
      <c r="I32" s="1">
        <v>29655</v>
      </c>
      <c r="J32" s="1">
        <v>30218</v>
      </c>
      <c r="K32" s="1">
        <v>30511</v>
      </c>
      <c r="L32" s="1">
        <v>30012</v>
      </c>
      <c r="M32" s="1">
        <v>32729</v>
      </c>
      <c r="N32" s="1">
        <v>34756</v>
      </c>
      <c r="O32" s="1">
        <v>36889</v>
      </c>
      <c r="P32" s="1">
        <v>35453</v>
      </c>
      <c r="Q32" s="1">
        <v>32279</v>
      </c>
      <c r="R32" s="1">
        <v>31736</v>
      </c>
      <c r="S32" s="1">
        <v>25770</v>
      </c>
      <c r="T32" s="1">
        <f t="shared" si="1"/>
        <v>3814.6</v>
      </c>
      <c r="U32" s="1">
        <f t="shared" si="2"/>
        <v>21563</v>
      </c>
      <c r="V32" s="1">
        <f t="shared" si="3"/>
        <v>53298</v>
      </c>
      <c r="W32" s="1">
        <f t="shared" si="4"/>
        <v>90741</v>
      </c>
      <c r="X32" s="1">
        <f t="shared" si="5"/>
        <v>172106</v>
      </c>
      <c r="Y32" s="50">
        <f t="shared" si="6"/>
        <v>341522.6</v>
      </c>
      <c r="AA32" s="50">
        <f>Y32-Calib_HIV_deaths!M27</f>
        <v>293522.59999999998</v>
      </c>
    </row>
    <row r="33" spans="1:27">
      <c r="A33" s="1">
        <v>2016</v>
      </c>
      <c r="B33" s="1" t="s">
        <v>3</v>
      </c>
      <c r="C33" s="1">
        <v>2966</v>
      </c>
      <c r="D33" s="17">
        <f t="shared" si="0"/>
        <v>593.20000000000005</v>
      </c>
      <c r="E33" s="1">
        <v>3083</v>
      </c>
      <c r="F33" s="1">
        <v>6821</v>
      </c>
      <c r="G33" s="1">
        <v>13708</v>
      </c>
      <c r="H33" s="1">
        <v>22209</v>
      </c>
      <c r="I33" s="1">
        <v>28519</v>
      </c>
      <c r="J33" s="1">
        <v>28244</v>
      </c>
      <c r="K33" s="1">
        <v>29290</v>
      </c>
      <c r="L33" s="1">
        <v>28635</v>
      </c>
      <c r="M33" s="1">
        <v>31618</v>
      </c>
      <c r="N33" s="1">
        <v>33917</v>
      </c>
      <c r="O33" s="1">
        <v>36372</v>
      </c>
      <c r="P33" s="1">
        <v>35684</v>
      </c>
      <c r="Q33" s="1">
        <v>31418</v>
      </c>
      <c r="R33" s="1">
        <v>32210</v>
      </c>
      <c r="S33" s="1">
        <v>25323</v>
      </c>
      <c r="T33" s="1">
        <f t="shared" si="1"/>
        <v>3676.2</v>
      </c>
      <c r="U33" s="1">
        <f t="shared" si="2"/>
        <v>20529</v>
      </c>
      <c r="V33" s="1">
        <f t="shared" si="3"/>
        <v>50728</v>
      </c>
      <c r="W33" s="1">
        <f t="shared" si="4"/>
        <v>86169</v>
      </c>
      <c r="X33" s="1">
        <f t="shared" si="5"/>
        <v>169009</v>
      </c>
      <c r="Y33" s="50">
        <f t="shared" si="6"/>
        <v>330111.2</v>
      </c>
      <c r="AA33" s="50">
        <f>Y33-Calib_HIV_deaths!M28</f>
        <v>282111.2</v>
      </c>
    </row>
    <row r="34" spans="1:27">
      <c r="A34" s="1">
        <v>1985</v>
      </c>
      <c r="B34" s="1" t="s">
        <v>9</v>
      </c>
      <c r="C34" s="17">
        <v>1005</v>
      </c>
      <c r="D34" s="17">
        <f t="shared" si="0"/>
        <v>201</v>
      </c>
      <c r="E34" s="17">
        <v>995</v>
      </c>
      <c r="F34" s="17">
        <v>2149</v>
      </c>
      <c r="G34" s="17">
        <v>4251</v>
      </c>
      <c r="H34" s="17">
        <v>4693</v>
      </c>
      <c r="I34" s="17">
        <v>4615</v>
      </c>
      <c r="J34" s="17">
        <v>4675</v>
      </c>
      <c r="K34" s="17">
        <v>4952</v>
      </c>
      <c r="L34" s="17">
        <v>5584</v>
      </c>
      <c r="M34" s="17">
        <v>6261</v>
      </c>
      <c r="N34" s="17">
        <v>6698</v>
      </c>
      <c r="O34" s="17">
        <v>7794</v>
      </c>
      <c r="P34" s="17">
        <v>8837</v>
      </c>
      <c r="Q34" s="17">
        <v>7798</v>
      </c>
      <c r="R34" s="17">
        <v>5942</v>
      </c>
      <c r="S34" s="17">
        <v>3850</v>
      </c>
      <c r="T34" s="1">
        <f t="shared" si="1"/>
        <v>1196</v>
      </c>
      <c r="U34" s="1">
        <f t="shared" si="2"/>
        <v>6400</v>
      </c>
      <c r="V34" s="1">
        <f t="shared" si="3"/>
        <v>9308</v>
      </c>
      <c r="W34" s="1">
        <f t="shared" si="4"/>
        <v>15211</v>
      </c>
      <c r="X34" s="1">
        <f t="shared" si="5"/>
        <v>37388</v>
      </c>
      <c r="Y34" s="1">
        <f t="shared" si="6"/>
        <v>69503</v>
      </c>
    </row>
    <row r="35" spans="1:27">
      <c r="A35" s="1">
        <v>1986</v>
      </c>
      <c r="B35" s="1" t="s">
        <v>9</v>
      </c>
      <c r="C35" s="17">
        <v>1330</v>
      </c>
      <c r="D35" s="17">
        <f t="shared" si="0"/>
        <v>266</v>
      </c>
      <c r="E35" s="17">
        <v>1298</v>
      </c>
      <c r="F35" s="17">
        <v>3033</v>
      </c>
      <c r="G35" s="17">
        <v>5948</v>
      </c>
      <c r="H35" s="17">
        <v>6594</v>
      </c>
      <c r="I35" s="17">
        <v>6362</v>
      </c>
      <c r="J35" s="17">
        <v>5911</v>
      </c>
      <c r="K35" s="17">
        <v>5965</v>
      </c>
      <c r="L35" s="17">
        <v>6371</v>
      </c>
      <c r="M35" s="17">
        <v>6897</v>
      </c>
      <c r="N35" s="17">
        <v>7255</v>
      </c>
      <c r="O35" s="17">
        <v>8326</v>
      </c>
      <c r="P35" s="17">
        <v>9698</v>
      </c>
      <c r="Q35" s="17">
        <v>8114</v>
      </c>
      <c r="R35" s="17">
        <v>6035</v>
      </c>
      <c r="S35" s="17">
        <v>4328</v>
      </c>
      <c r="T35" s="1">
        <f t="shared" si="1"/>
        <v>1564</v>
      </c>
      <c r="U35" s="1">
        <f t="shared" si="2"/>
        <v>8981</v>
      </c>
      <c r="V35" s="1">
        <f t="shared" si="3"/>
        <v>12956</v>
      </c>
      <c r="W35" s="1">
        <f t="shared" si="4"/>
        <v>18247</v>
      </c>
      <c r="X35" s="1">
        <f t="shared" si="5"/>
        <v>40290</v>
      </c>
      <c r="Y35" s="1">
        <f t="shared" si="6"/>
        <v>82038</v>
      </c>
    </row>
    <row r="36" spans="1:27">
      <c r="A36" s="1">
        <v>1987</v>
      </c>
      <c r="B36" s="1" t="s">
        <v>9</v>
      </c>
      <c r="C36" s="17">
        <v>1254</v>
      </c>
      <c r="D36" s="17">
        <f t="shared" si="0"/>
        <v>250.8</v>
      </c>
      <c r="E36" s="17">
        <v>1123</v>
      </c>
      <c r="F36" s="17">
        <v>2527</v>
      </c>
      <c r="G36" s="17">
        <v>4853</v>
      </c>
      <c r="H36" s="17">
        <v>5692</v>
      </c>
      <c r="I36" s="17">
        <v>5595</v>
      </c>
      <c r="J36" s="17">
        <v>5573</v>
      </c>
      <c r="K36" s="17">
        <v>5648</v>
      </c>
      <c r="L36" s="17">
        <v>6328</v>
      </c>
      <c r="M36" s="17">
        <v>6734</v>
      </c>
      <c r="N36" s="17">
        <v>7246</v>
      </c>
      <c r="O36" s="17">
        <v>8156</v>
      </c>
      <c r="P36" s="17">
        <v>9237</v>
      </c>
      <c r="Q36" s="17">
        <v>7964</v>
      </c>
      <c r="R36" s="17">
        <v>5914</v>
      </c>
      <c r="S36" s="17">
        <v>4161</v>
      </c>
      <c r="T36" s="1">
        <f t="shared" si="1"/>
        <v>1373.8</v>
      </c>
      <c r="U36" s="1">
        <f t="shared" si="2"/>
        <v>7380</v>
      </c>
      <c r="V36" s="1">
        <f t="shared" si="3"/>
        <v>11287</v>
      </c>
      <c r="W36" s="1">
        <f t="shared" si="4"/>
        <v>17549</v>
      </c>
      <c r="X36" s="1">
        <f t="shared" si="5"/>
        <v>39337</v>
      </c>
      <c r="Y36" s="1">
        <f t="shared" si="6"/>
        <v>76926.8</v>
      </c>
    </row>
    <row r="37" spans="1:27">
      <c r="A37" s="1">
        <v>1988</v>
      </c>
      <c r="B37" s="1" t="s">
        <v>9</v>
      </c>
      <c r="C37" s="17">
        <v>1133</v>
      </c>
      <c r="D37" s="17">
        <f t="shared" si="0"/>
        <v>226.6</v>
      </c>
      <c r="E37" s="17">
        <v>1042</v>
      </c>
      <c r="F37" s="17">
        <v>2561</v>
      </c>
      <c r="G37" s="17">
        <v>4862</v>
      </c>
      <c r="H37" s="17">
        <v>5892</v>
      </c>
      <c r="I37" s="17">
        <v>5909</v>
      </c>
      <c r="J37" s="17">
        <v>5973</v>
      </c>
      <c r="K37" s="17">
        <v>6163</v>
      </c>
      <c r="L37" s="17">
        <v>6701</v>
      </c>
      <c r="M37" s="17">
        <v>7099</v>
      </c>
      <c r="N37" s="17">
        <v>7604</v>
      </c>
      <c r="O37" s="17">
        <v>8718</v>
      </c>
      <c r="P37" s="17">
        <v>9189</v>
      </c>
      <c r="Q37" s="17">
        <v>8696</v>
      </c>
      <c r="R37" s="17">
        <v>6714</v>
      </c>
      <c r="S37" s="17">
        <v>4335</v>
      </c>
      <c r="T37" s="1">
        <f t="shared" si="1"/>
        <v>1268.5999999999999</v>
      </c>
      <c r="U37" s="1">
        <f t="shared" si="2"/>
        <v>7423</v>
      </c>
      <c r="V37" s="1">
        <f t="shared" si="3"/>
        <v>11801</v>
      </c>
      <c r="W37" s="1">
        <f t="shared" si="4"/>
        <v>18837</v>
      </c>
      <c r="X37" s="1">
        <f t="shared" si="5"/>
        <v>41306</v>
      </c>
      <c r="Y37" s="1">
        <f t="shared" si="6"/>
        <v>80635.600000000006</v>
      </c>
    </row>
    <row r="38" spans="1:27">
      <c r="A38" s="1">
        <v>1989</v>
      </c>
      <c r="B38" s="1" t="s">
        <v>9</v>
      </c>
      <c r="C38" s="17">
        <v>977</v>
      </c>
      <c r="D38" s="17">
        <f t="shared" si="0"/>
        <v>195.4</v>
      </c>
      <c r="E38" s="17">
        <v>925</v>
      </c>
      <c r="F38" s="17">
        <v>2268</v>
      </c>
      <c r="G38" s="17">
        <v>4241</v>
      </c>
      <c r="H38" s="17">
        <v>5110</v>
      </c>
      <c r="I38" s="17">
        <v>5096</v>
      </c>
      <c r="J38" s="17">
        <v>5397</v>
      </c>
      <c r="K38" s="17">
        <v>5724</v>
      </c>
      <c r="L38" s="17">
        <v>6042</v>
      </c>
      <c r="M38" s="17">
        <v>6761</v>
      </c>
      <c r="N38" s="17">
        <v>6870</v>
      </c>
      <c r="O38" s="17">
        <v>7978</v>
      </c>
      <c r="P38" s="17">
        <v>7664</v>
      </c>
      <c r="Q38" s="17">
        <v>7635</v>
      </c>
      <c r="R38" s="17">
        <v>6372</v>
      </c>
      <c r="S38" s="17">
        <v>3730</v>
      </c>
      <c r="T38" s="1">
        <f t="shared" si="1"/>
        <v>1120.4000000000001</v>
      </c>
      <c r="U38" s="1">
        <f t="shared" si="2"/>
        <v>6509</v>
      </c>
      <c r="V38" s="1">
        <f t="shared" si="3"/>
        <v>10206</v>
      </c>
      <c r="W38" s="1">
        <f t="shared" si="4"/>
        <v>17163</v>
      </c>
      <c r="X38" s="1">
        <f t="shared" si="5"/>
        <v>36908</v>
      </c>
      <c r="Y38" s="1">
        <f t="shared" si="6"/>
        <v>71906.399999999994</v>
      </c>
    </row>
    <row r="39" spans="1:27">
      <c r="A39" s="1">
        <v>1990</v>
      </c>
      <c r="B39" s="1" t="s">
        <v>9</v>
      </c>
      <c r="C39" s="17">
        <v>787</v>
      </c>
      <c r="D39" s="17">
        <f t="shared" si="0"/>
        <v>157.4</v>
      </c>
      <c r="E39" s="17">
        <v>747</v>
      </c>
      <c r="F39" s="17">
        <v>2184</v>
      </c>
      <c r="G39" s="17">
        <v>3909</v>
      </c>
      <c r="H39" s="17">
        <v>4384</v>
      </c>
      <c r="I39" s="17">
        <v>4623</v>
      </c>
      <c r="J39" s="17">
        <v>4715</v>
      </c>
      <c r="K39" s="17">
        <v>5065</v>
      </c>
      <c r="L39" s="17">
        <v>5163</v>
      </c>
      <c r="M39" s="17">
        <v>5951</v>
      </c>
      <c r="N39" s="17">
        <v>5773</v>
      </c>
      <c r="O39" s="17">
        <v>7223</v>
      </c>
      <c r="P39" s="17">
        <v>6802</v>
      </c>
      <c r="Q39" s="17">
        <v>7256</v>
      </c>
      <c r="R39" s="17">
        <v>5779</v>
      </c>
      <c r="S39" s="17">
        <v>3810</v>
      </c>
      <c r="T39" s="1">
        <f t="shared" si="1"/>
        <v>904.4</v>
      </c>
      <c r="U39" s="1">
        <f t="shared" si="2"/>
        <v>6093</v>
      </c>
      <c r="V39" s="1">
        <f t="shared" si="3"/>
        <v>9007</v>
      </c>
      <c r="W39" s="1">
        <f t="shared" si="4"/>
        <v>14943</v>
      </c>
      <c r="X39" s="1">
        <f t="shared" si="5"/>
        <v>33005</v>
      </c>
      <c r="Y39" s="1">
        <f t="shared" si="6"/>
        <v>63952.4</v>
      </c>
    </row>
    <row r="40" spans="1:27">
      <c r="A40" s="1">
        <v>1991</v>
      </c>
      <c r="B40" s="1" t="s">
        <v>9</v>
      </c>
      <c r="C40" s="17">
        <v>920</v>
      </c>
      <c r="D40" s="17">
        <f t="shared" si="0"/>
        <v>184</v>
      </c>
      <c r="E40" s="17">
        <v>867</v>
      </c>
      <c r="F40" s="17">
        <v>2367</v>
      </c>
      <c r="G40" s="17">
        <v>4152</v>
      </c>
      <c r="H40" s="17">
        <v>4864</v>
      </c>
      <c r="I40" s="17">
        <v>5252</v>
      </c>
      <c r="J40" s="17">
        <v>5479</v>
      </c>
      <c r="K40" s="17">
        <v>5839</v>
      </c>
      <c r="L40" s="17">
        <v>6005</v>
      </c>
      <c r="M40" s="17">
        <v>6957</v>
      </c>
      <c r="N40" s="17">
        <v>6531</v>
      </c>
      <c r="O40" s="17">
        <v>8014</v>
      </c>
      <c r="P40" s="17">
        <v>7769</v>
      </c>
      <c r="Q40" s="17">
        <v>8260</v>
      </c>
      <c r="R40" s="17">
        <v>6174</v>
      </c>
      <c r="S40" s="17">
        <v>4384</v>
      </c>
      <c r="T40" s="1">
        <f t="shared" si="1"/>
        <v>1051</v>
      </c>
      <c r="U40" s="1">
        <f t="shared" si="2"/>
        <v>6519</v>
      </c>
      <c r="V40" s="1">
        <f t="shared" si="3"/>
        <v>10116</v>
      </c>
      <c r="W40" s="1">
        <f t="shared" si="4"/>
        <v>17323</v>
      </c>
      <c r="X40" s="1">
        <f t="shared" si="5"/>
        <v>37531</v>
      </c>
      <c r="Y40" s="1">
        <f t="shared" si="6"/>
        <v>72540</v>
      </c>
    </row>
    <row r="41" spans="1:27">
      <c r="A41" s="1">
        <v>1992</v>
      </c>
      <c r="B41" s="1" t="s">
        <v>9</v>
      </c>
      <c r="C41" s="17">
        <v>801</v>
      </c>
      <c r="D41" s="17">
        <f t="shared" si="0"/>
        <v>160.19999999999999</v>
      </c>
      <c r="E41" s="17">
        <v>789</v>
      </c>
      <c r="F41" s="17">
        <v>1731</v>
      </c>
      <c r="G41" s="17">
        <v>3215</v>
      </c>
      <c r="H41" s="17">
        <v>3991</v>
      </c>
      <c r="I41" s="17">
        <v>4483</v>
      </c>
      <c r="J41" s="17">
        <v>5013</v>
      </c>
      <c r="K41" s="17">
        <v>5662</v>
      </c>
      <c r="L41" s="17">
        <v>5843</v>
      </c>
      <c r="M41" s="17">
        <v>7275</v>
      </c>
      <c r="N41" s="17">
        <v>7320</v>
      </c>
      <c r="O41" s="17">
        <v>8605</v>
      </c>
      <c r="P41" s="17">
        <v>8650</v>
      </c>
      <c r="Q41" s="17">
        <v>9684</v>
      </c>
      <c r="R41" s="17">
        <v>6815</v>
      </c>
      <c r="S41" s="17">
        <v>5022</v>
      </c>
      <c r="T41" s="1">
        <f t="shared" si="1"/>
        <v>949.2</v>
      </c>
      <c r="U41" s="1">
        <f t="shared" si="2"/>
        <v>4946</v>
      </c>
      <c r="V41" s="1">
        <f t="shared" si="3"/>
        <v>8474</v>
      </c>
      <c r="W41" s="1">
        <f t="shared" si="4"/>
        <v>16518</v>
      </c>
      <c r="X41" s="1">
        <f t="shared" si="5"/>
        <v>41534</v>
      </c>
      <c r="Y41" s="1">
        <f t="shared" si="6"/>
        <v>72421.2</v>
      </c>
    </row>
    <row r="42" spans="1:27">
      <c r="A42" s="1">
        <v>1993</v>
      </c>
      <c r="B42" s="1" t="s">
        <v>9</v>
      </c>
      <c r="C42" s="17">
        <v>1036</v>
      </c>
      <c r="D42" s="17">
        <f t="shared" si="0"/>
        <v>207.2</v>
      </c>
      <c r="E42" s="17">
        <v>1035</v>
      </c>
      <c r="F42" s="17">
        <v>3008</v>
      </c>
      <c r="G42" s="17">
        <v>5735</v>
      </c>
      <c r="H42" s="17">
        <v>6380</v>
      </c>
      <c r="I42" s="17">
        <v>6517</v>
      </c>
      <c r="J42" s="17">
        <v>6699</v>
      </c>
      <c r="K42" s="17">
        <v>6846</v>
      </c>
      <c r="L42" s="17">
        <v>6785</v>
      </c>
      <c r="M42" s="17">
        <v>7754</v>
      </c>
      <c r="N42" s="17">
        <v>7689</v>
      </c>
      <c r="O42" s="17">
        <v>8422</v>
      </c>
      <c r="P42" s="17">
        <v>8774</v>
      </c>
      <c r="Q42" s="17">
        <v>8843</v>
      </c>
      <c r="R42" s="17">
        <v>7112</v>
      </c>
      <c r="S42" s="17">
        <v>4852</v>
      </c>
      <c r="T42" s="1">
        <f t="shared" si="1"/>
        <v>1242.2</v>
      </c>
      <c r="U42" s="1">
        <f t="shared" si="2"/>
        <v>8743</v>
      </c>
      <c r="V42" s="1">
        <f t="shared" si="3"/>
        <v>12897</v>
      </c>
      <c r="W42" s="1">
        <f t="shared" si="4"/>
        <v>20330</v>
      </c>
      <c r="X42" s="1">
        <f t="shared" si="5"/>
        <v>41482</v>
      </c>
      <c r="Y42" s="1">
        <f t="shared" si="6"/>
        <v>84694.2</v>
      </c>
    </row>
    <row r="43" spans="1:27">
      <c r="A43" s="1">
        <v>1994</v>
      </c>
      <c r="B43" s="1" t="s">
        <v>9</v>
      </c>
      <c r="C43" s="17">
        <v>1233</v>
      </c>
      <c r="D43" s="17">
        <f t="shared" si="0"/>
        <v>246.6</v>
      </c>
      <c r="E43" s="17">
        <v>1234</v>
      </c>
      <c r="F43" s="17">
        <v>3566</v>
      </c>
      <c r="G43" s="17">
        <v>7188</v>
      </c>
      <c r="H43" s="17">
        <v>8265</v>
      </c>
      <c r="I43" s="17">
        <v>8425</v>
      </c>
      <c r="J43" s="17">
        <v>8240</v>
      </c>
      <c r="K43" s="17">
        <v>8752</v>
      </c>
      <c r="L43" s="17">
        <v>8880</v>
      </c>
      <c r="M43" s="17">
        <v>9210</v>
      </c>
      <c r="N43" s="17">
        <v>9598</v>
      </c>
      <c r="O43" s="17">
        <v>9637</v>
      </c>
      <c r="P43" s="17">
        <v>10187</v>
      </c>
      <c r="Q43" s="17">
        <v>9843</v>
      </c>
      <c r="R43" s="17">
        <v>8287</v>
      </c>
      <c r="S43" s="17">
        <v>6053</v>
      </c>
      <c r="T43" s="1">
        <f t="shared" si="1"/>
        <v>1480.6</v>
      </c>
      <c r="U43" s="1">
        <f t="shared" si="2"/>
        <v>10754</v>
      </c>
      <c r="V43" s="1">
        <f t="shared" si="3"/>
        <v>16690</v>
      </c>
      <c r="W43" s="1">
        <f t="shared" si="4"/>
        <v>25872</v>
      </c>
      <c r="X43" s="1">
        <f t="shared" si="5"/>
        <v>48475</v>
      </c>
      <c r="Y43" s="1">
        <f t="shared" si="6"/>
        <v>103271.6</v>
      </c>
    </row>
    <row r="44" spans="1:27">
      <c r="A44" s="1">
        <v>1995</v>
      </c>
      <c r="B44" s="1" t="s">
        <v>9</v>
      </c>
      <c r="C44" s="17">
        <v>1404</v>
      </c>
      <c r="D44" s="17">
        <f t="shared" si="0"/>
        <v>280.8</v>
      </c>
      <c r="E44" s="17">
        <v>1295</v>
      </c>
      <c r="F44" s="17">
        <v>3711</v>
      </c>
      <c r="G44" s="17">
        <v>7905</v>
      </c>
      <c r="H44" s="17">
        <v>9304</v>
      </c>
      <c r="I44" s="17">
        <v>9901</v>
      </c>
      <c r="J44" s="17">
        <v>9628</v>
      </c>
      <c r="K44" s="17">
        <v>9888</v>
      </c>
      <c r="L44" s="17">
        <v>10546</v>
      </c>
      <c r="M44" s="17">
        <v>10217</v>
      </c>
      <c r="N44" s="17">
        <v>11125</v>
      </c>
      <c r="O44" s="17">
        <v>9919</v>
      </c>
      <c r="P44" s="17">
        <v>11712</v>
      </c>
      <c r="Q44" s="17">
        <v>10142</v>
      </c>
      <c r="R44" s="17">
        <v>9434</v>
      </c>
      <c r="S44" s="17">
        <v>6447</v>
      </c>
      <c r="T44" s="1">
        <f t="shared" si="1"/>
        <v>1575.8</v>
      </c>
      <c r="U44" s="1">
        <f t="shared" si="2"/>
        <v>11616</v>
      </c>
      <c r="V44" s="1">
        <f t="shared" si="3"/>
        <v>19205</v>
      </c>
      <c r="W44" s="1">
        <f t="shared" si="4"/>
        <v>30062</v>
      </c>
      <c r="X44" s="1">
        <f t="shared" si="5"/>
        <v>53115</v>
      </c>
      <c r="Y44" s="1">
        <f t="shared" si="6"/>
        <v>115573.8</v>
      </c>
    </row>
    <row r="45" spans="1:27">
      <c r="A45" s="1">
        <v>1996</v>
      </c>
      <c r="B45" s="1" t="s">
        <v>9</v>
      </c>
      <c r="C45" s="17">
        <v>1619</v>
      </c>
      <c r="D45" s="17">
        <f t="shared" si="0"/>
        <v>323.8</v>
      </c>
      <c r="E45" s="17">
        <v>1445</v>
      </c>
      <c r="F45" s="17">
        <v>3870</v>
      </c>
      <c r="G45" s="17">
        <v>8312</v>
      </c>
      <c r="H45" s="17">
        <v>10162</v>
      </c>
      <c r="I45" s="17">
        <v>11188</v>
      </c>
      <c r="J45" s="17">
        <v>10598</v>
      </c>
      <c r="K45" s="17">
        <v>10846</v>
      </c>
      <c r="L45" s="17">
        <v>11404</v>
      </c>
      <c r="M45" s="17">
        <v>10969</v>
      </c>
      <c r="N45" s="17">
        <v>12202</v>
      </c>
      <c r="O45" s="17">
        <v>10788</v>
      </c>
      <c r="P45" s="17">
        <v>12475</v>
      </c>
      <c r="Q45" s="17">
        <v>11032</v>
      </c>
      <c r="R45" s="17">
        <v>10786</v>
      </c>
      <c r="S45" s="17">
        <v>6691</v>
      </c>
      <c r="T45" s="1">
        <f t="shared" si="1"/>
        <v>1768.8</v>
      </c>
      <c r="U45" s="1">
        <f t="shared" si="2"/>
        <v>12182</v>
      </c>
      <c r="V45" s="1">
        <f t="shared" si="3"/>
        <v>21350</v>
      </c>
      <c r="W45" s="1">
        <f t="shared" si="4"/>
        <v>32848</v>
      </c>
      <c r="X45" s="1">
        <f t="shared" si="5"/>
        <v>57466</v>
      </c>
      <c r="Y45" s="1">
        <f t="shared" si="6"/>
        <v>125614.8</v>
      </c>
    </row>
    <row r="46" spans="1:27">
      <c r="A46" s="1">
        <v>1997</v>
      </c>
      <c r="B46" s="1" t="s">
        <v>9</v>
      </c>
      <c r="C46" s="1">
        <v>1706</v>
      </c>
      <c r="D46" s="17">
        <f t="shared" si="0"/>
        <v>341.2</v>
      </c>
      <c r="E46" s="1">
        <v>1547</v>
      </c>
      <c r="F46" s="1">
        <v>3777</v>
      </c>
      <c r="G46" s="1">
        <v>8185</v>
      </c>
      <c r="H46" s="1">
        <v>10941</v>
      </c>
      <c r="I46" s="1">
        <v>11860</v>
      </c>
      <c r="J46" s="1">
        <v>12008</v>
      </c>
      <c r="K46" s="1">
        <v>11815</v>
      </c>
      <c r="L46" s="1">
        <v>12250</v>
      </c>
      <c r="M46" s="1">
        <v>11334</v>
      </c>
      <c r="N46" s="1">
        <v>12680</v>
      </c>
      <c r="O46" s="1">
        <v>11207</v>
      </c>
      <c r="P46" s="1">
        <v>12491</v>
      </c>
      <c r="Q46" s="1">
        <v>11301</v>
      </c>
      <c r="R46" s="1">
        <v>11211</v>
      </c>
      <c r="S46" s="1">
        <v>6607</v>
      </c>
      <c r="T46" s="1">
        <f t="shared" si="1"/>
        <v>1888.2</v>
      </c>
      <c r="U46" s="1">
        <f t="shared" si="2"/>
        <v>11962</v>
      </c>
      <c r="V46" s="1">
        <f t="shared" si="3"/>
        <v>22801</v>
      </c>
      <c r="W46" s="1">
        <f t="shared" si="4"/>
        <v>36073</v>
      </c>
      <c r="X46" s="1">
        <f t="shared" si="5"/>
        <v>59013</v>
      </c>
      <c r="Y46" s="1">
        <f t="shared" si="6"/>
        <v>131737.20000000001</v>
      </c>
    </row>
    <row r="47" spans="1:27">
      <c r="A47" s="1">
        <v>1998</v>
      </c>
      <c r="B47" s="1" t="s">
        <v>9</v>
      </c>
      <c r="C47" s="1">
        <v>1780</v>
      </c>
      <c r="D47" s="17">
        <f t="shared" si="0"/>
        <v>356</v>
      </c>
      <c r="E47" s="1">
        <v>1695</v>
      </c>
      <c r="F47" s="1">
        <v>4111</v>
      </c>
      <c r="G47" s="1">
        <v>8800</v>
      </c>
      <c r="H47" s="1">
        <v>13094</v>
      </c>
      <c r="I47" s="1">
        <v>14396</v>
      </c>
      <c r="J47" s="1">
        <v>14634</v>
      </c>
      <c r="K47" s="1">
        <v>13971</v>
      </c>
      <c r="L47" s="1">
        <v>14220</v>
      </c>
      <c r="M47" s="1">
        <v>13028</v>
      </c>
      <c r="N47" s="1">
        <v>13960</v>
      </c>
      <c r="O47" s="1">
        <v>12447</v>
      </c>
      <c r="P47" s="1">
        <v>13267</v>
      </c>
      <c r="Q47" s="1">
        <v>12750</v>
      </c>
      <c r="R47" s="1">
        <v>11430</v>
      </c>
      <c r="S47" s="1">
        <v>7885</v>
      </c>
      <c r="T47" s="1">
        <f t="shared" si="1"/>
        <v>2051</v>
      </c>
      <c r="U47" s="1">
        <f t="shared" si="2"/>
        <v>12911</v>
      </c>
      <c r="V47" s="1">
        <f t="shared" si="3"/>
        <v>27490</v>
      </c>
      <c r="W47" s="1">
        <f t="shared" si="4"/>
        <v>42825</v>
      </c>
      <c r="X47" s="1">
        <f t="shared" si="5"/>
        <v>65452</v>
      </c>
      <c r="Y47" s="1">
        <f t="shared" si="6"/>
        <v>150729</v>
      </c>
    </row>
    <row r="48" spans="1:27">
      <c r="A48" s="1">
        <v>1999</v>
      </c>
      <c r="B48" s="1" t="s">
        <v>9</v>
      </c>
      <c r="C48" s="1">
        <v>1898</v>
      </c>
      <c r="D48" s="17">
        <f t="shared" si="0"/>
        <v>379.6</v>
      </c>
      <c r="E48" s="1">
        <v>1651</v>
      </c>
      <c r="F48" s="1">
        <v>4356</v>
      </c>
      <c r="G48" s="1">
        <v>8654</v>
      </c>
      <c r="H48" s="1">
        <v>13909</v>
      </c>
      <c r="I48" s="1">
        <v>16321</v>
      </c>
      <c r="J48" s="1">
        <v>16485</v>
      </c>
      <c r="K48" s="1">
        <v>15244</v>
      </c>
      <c r="L48" s="1">
        <v>15008</v>
      </c>
      <c r="M48" s="1">
        <v>13907</v>
      </c>
      <c r="N48" s="1">
        <v>14095</v>
      </c>
      <c r="O48" s="1">
        <v>12708</v>
      </c>
      <c r="P48" s="1">
        <v>12849</v>
      </c>
      <c r="Q48" s="1">
        <v>12869</v>
      </c>
      <c r="R48" s="1">
        <v>10707</v>
      </c>
      <c r="S48" s="1">
        <v>7605</v>
      </c>
      <c r="T48" s="1">
        <f t="shared" si="1"/>
        <v>2030.6</v>
      </c>
      <c r="U48" s="1">
        <f t="shared" si="2"/>
        <v>13010</v>
      </c>
      <c r="V48" s="1">
        <f t="shared" si="3"/>
        <v>30230</v>
      </c>
      <c r="W48" s="1">
        <f t="shared" si="4"/>
        <v>46737</v>
      </c>
      <c r="X48" s="1">
        <f t="shared" si="5"/>
        <v>66428</v>
      </c>
      <c r="Y48" s="1">
        <f t="shared" si="6"/>
        <v>158435.6</v>
      </c>
    </row>
    <row r="49" spans="1:25">
      <c r="A49" s="1">
        <v>2000</v>
      </c>
      <c r="B49" s="1" t="s">
        <v>9</v>
      </c>
      <c r="C49" s="1">
        <v>1999</v>
      </c>
      <c r="D49" s="17">
        <f t="shared" si="0"/>
        <v>399.8</v>
      </c>
      <c r="E49" s="1">
        <v>1723</v>
      </c>
      <c r="F49" s="1">
        <v>4323</v>
      </c>
      <c r="G49" s="1">
        <v>8885</v>
      </c>
      <c r="H49" s="1">
        <v>15101</v>
      </c>
      <c r="I49" s="1">
        <v>18520</v>
      </c>
      <c r="J49" s="1">
        <v>18581</v>
      </c>
      <c r="K49" s="1">
        <v>17178</v>
      </c>
      <c r="L49" s="1">
        <v>16144</v>
      </c>
      <c r="M49" s="1">
        <v>15316</v>
      </c>
      <c r="N49" s="1">
        <v>13970</v>
      </c>
      <c r="O49" s="1">
        <v>14268</v>
      </c>
      <c r="P49" s="1">
        <v>12608</v>
      </c>
      <c r="Q49" s="1">
        <v>13133</v>
      </c>
      <c r="R49" s="1">
        <v>10360</v>
      </c>
      <c r="S49" s="1">
        <v>8495</v>
      </c>
      <c r="T49" s="1">
        <f t="shared" si="1"/>
        <v>2122.8000000000002</v>
      </c>
      <c r="U49" s="1">
        <f t="shared" si="2"/>
        <v>13208</v>
      </c>
      <c r="V49" s="1">
        <f t="shared" si="3"/>
        <v>33621</v>
      </c>
      <c r="W49" s="1">
        <f t="shared" si="4"/>
        <v>51903</v>
      </c>
      <c r="X49" s="1">
        <f t="shared" si="5"/>
        <v>69295</v>
      </c>
      <c r="Y49" s="1">
        <f t="shared" si="6"/>
        <v>170149.8</v>
      </c>
    </row>
    <row r="50" spans="1:25">
      <c r="A50" s="1">
        <v>2001</v>
      </c>
      <c r="B50" s="1" t="s">
        <v>9</v>
      </c>
      <c r="C50" s="1">
        <v>2126</v>
      </c>
      <c r="D50" s="17">
        <f t="shared" si="0"/>
        <v>425.2</v>
      </c>
      <c r="E50" s="1">
        <v>1752</v>
      </c>
      <c r="F50" s="1">
        <v>4483</v>
      </c>
      <c r="G50" s="1">
        <v>8952</v>
      </c>
      <c r="H50" s="1">
        <v>16888</v>
      </c>
      <c r="I50" s="1">
        <v>20951</v>
      </c>
      <c r="J50" s="1">
        <v>21141</v>
      </c>
      <c r="K50" s="1">
        <v>19396</v>
      </c>
      <c r="L50" s="1">
        <v>17957</v>
      </c>
      <c r="M50" s="1">
        <v>16950</v>
      </c>
      <c r="N50" s="1">
        <v>14612</v>
      </c>
      <c r="O50" s="1">
        <v>15140</v>
      </c>
      <c r="P50" s="1">
        <v>13037</v>
      </c>
      <c r="Q50" s="1">
        <v>14072</v>
      </c>
      <c r="R50" s="1">
        <v>10871</v>
      </c>
      <c r="S50" s="1">
        <v>9173</v>
      </c>
      <c r="T50" s="1">
        <f t="shared" si="1"/>
        <v>2177.1999999999998</v>
      </c>
      <c r="U50" s="1">
        <f t="shared" si="2"/>
        <v>13435</v>
      </c>
      <c r="V50" s="1">
        <f t="shared" si="3"/>
        <v>37839</v>
      </c>
      <c r="W50" s="1">
        <f t="shared" si="4"/>
        <v>58494</v>
      </c>
      <c r="X50" s="1">
        <f t="shared" si="5"/>
        <v>73811</v>
      </c>
      <c r="Y50" s="1">
        <f t="shared" si="6"/>
        <v>185756.2</v>
      </c>
    </row>
    <row r="51" spans="1:25">
      <c r="A51" s="1">
        <v>2002</v>
      </c>
      <c r="B51" s="1" t="s">
        <v>9</v>
      </c>
      <c r="C51" s="1">
        <v>2404</v>
      </c>
      <c r="D51" s="17">
        <f t="shared" si="0"/>
        <v>480.8</v>
      </c>
      <c r="E51" s="1">
        <v>1869</v>
      </c>
      <c r="F51" s="1">
        <v>4743</v>
      </c>
      <c r="G51" s="1">
        <v>9587</v>
      </c>
      <c r="H51" s="1">
        <v>18668</v>
      </c>
      <c r="I51" s="1">
        <v>23938</v>
      </c>
      <c r="J51" s="1">
        <v>24127</v>
      </c>
      <c r="K51" s="1">
        <v>21636</v>
      </c>
      <c r="L51" s="1">
        <v>19321</v>
      </c>
      <c r="M51" s="1">
        <v>18655</v>
      </c>
      <c r="N51" s="1">
        <v>15438</v>
      </c>
      <c r="O51" s="1">
        <v>16207</v>
      </c>
      <c r="P51" s="1">
        <v>13763</v>
      </c>
      <c r="Q51" s="1">
        <v>13807</v>
      </c>
      <c r="R51" s="1">
        <v>11113</v>
      </c>
      <c r="S51" s="1">
        <v>9552</v>
      </c>
      <c r="T51" s="1">
        <f t="shared" si="1"/>
        <v>2349.8000000000002</v>
      </c>
      <c r="U51" s="1">
        <f t="shared" si="2"/>
        <v>14330</v>
      </c>
      <c r="V51" s="1">
        <f t="shared" si="3"/>
        <v>42606</v>
      </c>
      <c r="W51" s="1">
        <f t="shared" si="4"/>
        <v>65084</v>
      </c>
      <c r="X51" s="1">
        <f t="shared" si="5"/>
        <v>77870</v>
      </c>
      <c r="Y51" s="1">
        <f t="shared" si="6"/>
        <v>202239.8</v>
      </c>
    </row>
    <row r="52" spans="1:25">
      <c r="A52" s="1">
        <v>2003</v>
      </c>
      <c r="B52" s="1" t="s">
        <v>9</v>
      </c>
      <c r="C52" s="1">
        <v>2781</v>
      </c>
      <c r="D52" s="17">
        <f t="shared" si="0"/>
        <v>556.20000000000005</v>
      </c>
      <c r="E52" s="1">
        <v>2004</v>
      </c>
      <c r="F52" s="1">
        <v>4842</v>
      </c>
      <c r="G52" s="1">
        <v>10359</v>
      </c>
      <c r="H52" s="1">
        <v>20057</v>
      </c>
      <c r="I52" s="1">
        <v>27553</v>
      </c>
      <c r="J52" s="1">
        <v>26480</v>
      </c>
      <c r="K52" s="1">
        <v>24797</v>
      </c>
      <c r="L52" s="1">
        <v>22089</v>
      </c>
      <c r="M52" s="1">
        <v>20633</v>
      </c>
      <c r="N52" s="1">
        <v>17233</v>
      </c>
      <c r="O52" s="1">
        <v>17417</v>
      </c>
      <c r="P52" s="1">
        <v>14687</v>
      </c>
      <c r="Q52" s="1">
        <v>14491</v>
      </c>
      <c r="R52" s="1">
        <v>12082</v>
      </c>
      <c r="S52" s="1">
        <v>9457</v>
      </c>
      <c r="T52" s="1">
        <f t="shared" si="1"/>
        <v>2560.1999999999998</v>
      </c>
      <c r="U52" s="1">
        <f t="shared" si="2"/>
        <v>15201</v>
      </c>
      <c r="V52" s="1">
        <f t="shared" si="3"/>
        <v>47610</v>
      </c>
      <c r="W52" s="1">
        <f t="shared" si="4"/>
        <v>73366</v>
      </c>
      <c r="X52" s="1">
        <f t="shared" si="5"/>
        <v>84461</v>
      </c>
      <c r="Y52" s="1">
        <f t="shared" si="6"/>
        <v>223198.2</v>
      </c>
    </row>
    <row r="53" spans="1:25">
      <c r="A53" s="1">
        <v>2004</v>
      </c>
      <c r="B53" s="1" t="s">
        <v>9</v>
      </c>
      <c r="C53" s="1">
        <v>3192</v>
      </c>
      <c r="D53" s="17">
        <f t="shared" si="0"/>
        <v>638.4</v>
      </c>
      <c r="E53" s="1">
        <v>2142</v>
      </c>
      <c r="F53" s="1">
        <v>4691</v>
      </c>
      <c r="G53" s="1">
        <v>10381</v>
      </c>
      <c r="H53" s="1">
        <v>19837</v>
      </c>
      <c r="I53" s="1">
        <v>28503</v>
      </c>
      <c r="J53" s="1">
        <v>28260</v>
      </c>
      <c r="K53" s="1">
        <v>26522</v>
      </c>
      <c r="L53" s="1">
        <v>23128</v>
      </c>
      <c r="M53" s="1">
        <v>21150</v>
      </c>
      <c r="N53" s="1">
        <v>18093</v>
      </c>
      <c r="O53" s="1">
        <v>16991</v>
      </c>
      <c r="P53" s="1">
        <v>15227</v>
      </c>
      <c r="Q53" s="1">
        <v>13454</v>
      </c>
      <c r="R53" s="1">
        <v>11823</v>
      </c>
      <c r="S53" s="1">
        <v>8654</v>
      </c>
      <c r="T53" s="1">
        <f t="shared" si="1"/>
        <v>2780.4</v>
      </c>
      <c r="U53" s="1">
        <f t="shared" si="2"/>
        <v>15072</v>
      </c>
      <c r="V53" s="1">
        <f t="shared" si="3"/>
        <v>48340</v>
      </c>
      <c r="W53" s="1">
        <f t="shared" si="4"/>
        <v>77910</v>
      </c>
      <c r="X53" s="1">
        <f t="shared" si="5"/>
        <v>84915</v>
      </c>
      <c r="Y53" s="1">
        <f t="shared" si="6"/>
        <v>229017.4</v>
      </c>
    </row>
    <row r="54" spans="1:25">
      <c r="A54" s="1">
        <v>2005</v>
      </c>
      <c r="B54" s="1" t="s">
        <v>9</v>
      </c>
      <c r="C54" s="1">
        <v>3369</v>
      </c>
      <c r="D54" s="17">
        <f t="shared" si="0"/>
        <v>673.8</v>
      </c>
      <c r="E54" s="1">
        <v>2152</v>
      </c>
      <c r="F54" s="1">
        <v>4780</v>
      </c>
      <c r="G54" s="1">
        <v>10501</v>
      </c>
      <c r="H54" s="1">
        <v>19343</v>
      </c>
      <c r="I54" s="1">
        <v>28840</v>
      </c>
      <c r="J54" s="1">
        <v>29454</v>
      </c>
      <c r="K54" s="1">
        <v>27520</v>
      </c>
      <c r="L54" s="1">
        <v>24486</v>
      </c>
      <c r="M54" s="1">
        <v>21546</v>
      </c>
      <c r="N54" s="1">
        <v>19731</v>
      </c>
      <c r="O54" s="1">
        <v>16864</v>
      </c>
      <c r="P54" s="1">
        <v>16387</v>
      </c>
      <c r="Q54" s="1">
        <v>12920</v>
      </c>
      <c r="R54" s="1">
        <v>12233</v>
      </c>
      <c r="S54" s="1">
        <v>8445</v>
      </c>
      <c r="T54" s="1">
        <f t="shared" si="1"/>
        <v>2825.8</v>
      </c>
      <c r="U54" s="1">
        <f t="shared" si="2"/>
        <v>15281</v>
      </c>
      <c r="V54" s="1">
        <f t="shared" si="3"/>
        <v>48183</v>
      </c>
      <c r="W54" s="1">
        <f t="shared" si="4"/>
        <v>81460</v>
      </c>
      <c r="X54" s="1">
        <f t="shared" si="5"/>
        <v>87448</v>
      </c>
      <c r="Y54" s="1">
        <f t="shared" si="6"/>
        <v>235197.8</v>
      </c>
    </row>
    <row r="55" spans="1:25">
      <c r="A55" s="1">
        <v>2006</v>
      </c>
      <c r="B55" s="1" t="s">
        <v>9</v>
      </c>
      <c r="C55" s="1">
        <v>3033</v>
      </c>
      <c r="D55" s="17">
        <f t="shared" si="0"/>
        <v>606.6</v>
      </c>
      <c r="E55" s="1">
        <v>2389</v>
      </c>
      <c r="F55" s="1">
        <v>4854</v>
      </c>
      <c r="G55" s="1">
        <v>10882</v>
      </c>
      <c r="H55" s="1">
        <v>19040</v>
      </c>
      <c r="I55" s="1">
        <v>28927</v>
      </c>
      <c r="J55" s="1">
        <v>29539</v>
      </c>
      <c r="K55" s="1">
        <v>28171</v>
      </c>
      <c r="L55" s="1">
        <v>25196</v>
      </c>
      <c r="M55" s="1">
        <v>22836</v>
      </c>
      <c r="N55" s="1">
        <v>20684</v>
      </c>
      <c r="O55" s="1">
        <v>17091</v>
      </c>
      <c r="P55" s="1">
        <v>17776</v>
      </c>
      <c r="Q55" s="1">
        <v>13609</v>
      </c>
      <c r="R55" s="1">
        <v>12744</v>
      </c>
      <c r="S55" s="1">
        <v>8959</v>
      </c>
      <c r="T55" s="1">
        <f t="shared" si="1"/>
        <v>2995.6</v>
      </c>
      <c r="U55" s="1">
        <f t="shared" si="2"/>
        <v>15736</v>
      </c>
      <c r="V55" s="1">
        <f t="shared" si="3"/>
        <v>47967</v>
      </c>
      <c r="W55" s="1">
        <f t="shared" si="4"/>
        <v>82906</v>
      </c>
      <c r="X55" s="1">
        <f t="shared" si="5"/>
        <v>91996</v>
      </c>
      <c r="Y55" s="1">
        <f t="shared" si="6"/>
        <v>241600.6</v>
      </c>
    </row>
    <row r="56" spans="1:25">
      <c r="A56" s="1">
        <v>2007</v>
      </c>
      <c r="B56" s="1" t="s">
        <v>9</v>
      </c>
      <c r="C56" s="1">
        <v>2883</v>
      </c>
      <c r="D56" s="17">
        <f t="shared" si="0"/>
        <v>576.6</v>
      </c>
      <c r="E56" s="1">
        <v>2252</v>
      </c>
      <c r="F56" s="1">
        <v>4896</v>
      </c>
      <c r="G56" s="1">
        <v>10948</v>
      </c>
      <c r="H56" s="1">
        <v>18562</v>
      </c>
      <c r="I56" s="1">
        <v>28469</v>
      </c>
      <c r="J56" s="1">
        <v>29501</v>
      </c>
      <c r="K56" s="1">
        <v>27189</v>
      </c>
      <c r="L56" s="1">
        <v>24964</v>
      </c>
      <c r="M56" s="1">
        <v>22972</v>
      </c>
      <c r="N56" s="1">
        <v>21492</v>
      </c>
      <c r="O56" s="1">
        <v>17537</v>
      </c>
      <c r="P56" s="1">
        <v>18011</v>
      </c>
      <c r="Q56" s="1">
        <v>13861</v>
      </c>
      <c r="R56" s="1">
        <v>12619</v>
      </c>
      <c r="S56" s="1">
        <v>8929</v>
      </c>
      <c r="T56" s="1">
        <f t="shared" si="1"/>
        <v>2828.6</v>
      </c>
      <c r="U56" s="1">
        <f t="shared" si="2"/>
        <v>15844</v>
      </c>
      <c r="V56" s="1">
        <f t="shared" si="3"/>
        <v>47031</v>
      </c>
      <c r="W56" s="1">
        <f t="shared" si="4"/>
        <v>81654</v>
      </c>
      <c r="X56" s="1">
        <f t="shared" si="5"/>
        <v>93873</v>
      </c>
      <c r="Y56" s="1">
        <f t="shared" si="6"/>
        <v>241230.6</v>
      </c>
    </row>
    <row r="57" spans="1:25">
      <c r="A57" s="1">
        <v>2008</v>
      </c>
      <c r="B57" s="1" t="s">
        <v>9</v>
      </c>
      <c r="C57" s="1">
        <v>2741</v>
      </c>
      <c r="D57" s="17">
        <f t="shared" si="0"/>
        <v>548.20000000000005</v>
      </c>
      <c r="E57" s="1">
        <v>2238</v>
      </c>
      <c r="F57" s="1">
        <v>4870</v>
      </c>
      <c r="G57" s="1">
        <v>10753</v>
      </c>
      <c r="H57" s="1">
        <v>18526</v>
      </c>
      <c r="I57" s="1">
        <v>26916</v>
      </c>
      <c r="J57" s="1">
        <v>29244</v>
      </c>
      <c r="K57" s="1">
        <v>26200</v>
      </c>
      <c r="L57" s="1">
        <v>24920</v>
      </c>
      <c r="M57" s="1">
        <v>22852</v>
      </c>
      <c r="N57" s="1">
        <v>21688</v>
      </c>
      <c r="O57" s="1">
        <v>17821</v>
      </c>
      <c r="P57" s="1">
        <v>18128</v>
      </c>
      <c r="Q57" s="1">
        <v>14200</v>
      </c>
      <c r="R57" s="1">
        <v>12630</v>
      </c>
      <c r="S57" s="1">
        <v>9070</v>
      </c>
      <c r="T57" s="1">
        <f t="shared" si="1"/>
        <v>2786.2</v>
      </c>
      <c r="U57" s="1">
        <f t="shared" si="2"/>
        <v>15623</v>
      </c>
      <c r="V57" s="1">
        <f t="shared" si="3"/>
        <v>45442</v>
      </c>
      <c r="W57" s="1">
        <f t="shared" si="4"/>
        <v>80364</v>
      </c>
      <c r="X57" s="1">
        <f t="shared" si="5"/>
        <v>94689</v>
      </c>
      <c r="Y57" s="1">
        <f t="shared" si="6"/>
        <v>238904.2</v>
      </c>
    </row>
    <row r="58" spans="1:25">
      <c r="A58" s="1">
        <v>2009</v>
      </c>
      <c r="B58" s="1" t="s">
        <v>9</v>
      </c>
      <c r="C58" s="1">
        <v>2373</v>
      </c>
      <c r="D58" s="17">
        <f t="shared" si="0"/>
        <v>474.6</v>
      </c>
      <c r="E58" s="1">
        <v>2389</v>
      </c>
      <c r="F58" s="1">
        <v>4679</v>
      </c>
      <c r="G58" s="1">
        <v>10016</v>
      </c>
      <c r="H58" s="1">
        <v>17803</v>
      </c>
      <c r="I58" s="1">
        <v>25071</v>
      </c>
      <c r="J58" s="1">
        <v>27745</v>
      </c>
      <c r="K58" s="1">
        <v>25225</v>
      </c>
      <c r="L58" s="1">
        <v>24407</v>
      </c>
      <c r="M58" s="1">
        <v>22893</v>
      </c>
      <c r="N58" s="1">
        <v>21849</v>
      </c>
      <c r="O58" s="1">
        <v>19264</v>
      </c>
      <c r="P58" s="1">
        <v>18264</v>
      </c>
      <c r="Q58" s="1">
        <v>15205</v>
      </c>
      <c r="R58" s="1">
        <v>12769</v>
      </c>
      <c r="S58" s="1">
        <v>9812</v>
      </c>
      <c r="T58" s="1">
        <f t="shared" si="1"/>
        <v>2863.6</v>
      </c>
      <c r="U58" s="1">
        <f t="shared" si="2"/>
        <v>14695</v>
      </c>
      <c r="V58" s="1">
        <f t="shared" si="3"/>
        <v>42874</v>
      </c>
      <c r="W58" s="1">
        <f t="shared" si="4"/>
        <v>77377</v>
      </c>
      <c r="X58" s="1">
        <f t="shared" si="5"/>
        <v>97475</v>
      </c>
      <c r="Y58" s="1">
        <f t="shared" si="6"/>
        <v>235284.6</v>
      </c>
    </row>
    <row r="59" spans="1:25">
      <c r="A59" s="1">
        <v>2010</v>
      </c>
      <c r="B59" s="1" t="s">
        <v>9</v>
      </c>
      <c r="C59" s="1">
        <v>2569</v>
      </c>
      <c r="D59" s="17">
        <f t="shared" si="0"/>
        <v>513.79999999999995</v>
      </c>
      <c r="E59" s="1">
        <v>2449</v>
      </c>
      <c r="F59" s="1">
        <v>4437</v>
      </c>
      <c r="G59" s="1">
        <v>9454</v>
      </c>
      <c r="H59" s="1">
        <v>16539</v>
      </c>
      <c r="I59" s="1">
        <v>22481</v>
      </c>
      <c r="J59" s="1">
        <v>24836</v>
      </c>
      <c r="K59" s="1">
        <v>23401</v>
      </c>
      <c r="L59" s="1">
        <v>22982</v>
      </c>
      <c r="M59" s="1">
        <v>22050</v>
      </c>
      <c r="N59" s="1">
        <v>21011</v>
      </c>
      <c r="O59" s="1">
        <v>20140</v>
      </c>
      <c r="P59" s="1">
        <v>17331</v>
      </c>
      <c r="Q59" s="1">
        <v>15879</v>
      </c>
      <c r="R59" s="1">
        <v>11797</v>
      </c>
      <c r="S59" s="1">
        <v>9951</v>
      </c>
      <c r="T59" s="1">
        <f t="shared" si="1"/>
        <v>2962.8</v>
      </c>
      <c r="U59" s="1">
        <f t="shared" si="2"/>
        <v>13891</v>
      </c>
      <c r="V59" s="1">
        <f t="shared" si="3"/>
        <v>39020</v>
      </c>
      <c r="W59" s="1">
        <f t="shared" si="4"/>
        <v>71219</v>
      </c>
      <c r="X59" s="1">
        <f t="shared" si="5"/>
        <v>96411</v>
      </c>
      <c r="Y59" s="1">
        <f t="shared" si="6"/>
        <v>223503.8</v>
      </c>
    </row>
    <row r="60" spans="1:25">
      <c r="A60" s="1">
        <v>2011</v>
      </c>
      <c r="B60" s="1" t="s">
        <v>9</v>
      </c>
      <c r="C60" s="1">
        <v>2376</v>
      </c>
      <c r="D60" s="17">
        <f t="shared" si="0"/>
        <v>475.2</v>
      </c>
      <c r="E60" s="1">
        <v>2108</v>
      </c>
      <c r="F60" s="1">
        <v>4152</v>
      </c>
      <c r="G60" s="1">
        <v>8649</v>
      </c>
      <c r="H60" s="1">
        <v>15059</v>
      </c>
      <c r="I60" s="1">
        <v>19753</v>
      </c>
      <c r="J60" s="1">
        <v>22588</v>
      </c>
      <c r="K60" s="1">
        <v>21039</v>
      </c>
      <c r="L60" s="1">
        <v>21086</v>
      </c>
      <c r="M60" s="1">
        <v>21243</v>
      </c>
      <c r="N60" s="1">
        <v>20519</v>
      </c>
      <c r="O60" s="1">
        <v>20538</v>
      </c>
      <c r="P60" s="1">
        <v>17088</v>
      </c>
      <c r="Q60" s="1">
        <v>16632</v>
      </c>
      <c r="R60" s="1">
        <v>11762</v>
      </c>
      <c r="S60" s="1">
        <v>10008</v>
      </c>
      <c r="T60" s="1">
        <f t="shared" si="1"/>
        <v>2583.1999999999998</v>
      </c>
      <c r="U60" s="1">
        <f t="shared" si="2"/>
        <v>12801</v>
      </c>
      <c r="V60" s="1">
        <f t="shared" si="3"/>
        <v>34812</v>
      </c>
      <c r="W60" s="1">
        <f t="shared" si="4"/>
        <v>64713</v>
      </c>
      <c r="X60" s="1">
        <f t="shared" si="5"/>
        <v>96020</v>
      </c>
      <c r="Y60" s="1">
        <f t="shared" si="6"/>
        <v>210929.2</v>
      </c>
    </row>
    <row r="61" spans="1:25">
      <c r="A61" s="1">
        <v>2012</v>
      </c>
      <c r="B61" s="1" t="s">
        <v>9</v>
      </c>
      <c r="C61" s="1">
        <v>2670</v>
      </c>
      <c r="D61" s="17">
        <f t="shared" si="0"/>
        <v>534</v>
      </c>
      <c r="E61" s="1">
        <v>2258</v>
      </c>
      <c r="F61" s="1">
        <v>4126</v>
      </c>
      <c r="G61" s="1">
        <v>8463</v>
      </c>
      <c r="H61" s="1">
        <v>14677</v>
      </c>
      <c r="I61" s="1">
        <v>18199</v>
      </c>
      <c r="J61" s="1">
        <v>20794</v>
      </c>
      <c r="K61" s="1">
        <v>19841</v>
      </c>
      <c r="L61" s="1">
        <v>19349</v>
      </c>
      <c r="M61" s="1">
        <v>19972</v>
      </c>
      <c r="N61" s="1">
        <v>20075</v>
      </c>
      <c r="O61" s="1">
        <v>20258</v>
      </c>
      <c r="P61" s="1">
        <v>17100</v>
      </c>
      <c r="Q61" s="1">
        <v>16302</v>
      </c>
      <c r="R61" s="1">
        <v>12074</v>
      </c>
      <c r="S61" s="1">
        <v>10013</v>
      </c>
      <c r="T61" s="1">
        <f t="shared" si="1"/>
        <v>2792</v>
      </c>
      <c r="U61" s="1">
        <f t="shared" si="2"/>
        <v>12589</v>
      </c>
      <c r="V61" s="1">
        <f t="shared" si="3"/>
        <v>32876</v>
      </c>
      <c r="W61" s="1">
        <f t="shared" si="4"/>
        <v>59984</v>
      </c>
      <c r="X61" s="1">
        <f t="shared" si="5"/>
        <v>93707</v>
      </c>
      <c r="Y61" s="1">
        <f t="shared" si="6"/>
        <v>201948</v>
      </c>
    </row>
    <row r="62" spans="1:25">
      <c r="A62" s="1">
        <v>2013</v>
      </c>
      <c r="B62" s="1" t="s">
        <v>9</v>
      </c>
      <c r="C62" s="1">
        <v>1938</v>
      </c>
      <c r="D62" s="17">
        <f t="shared" si="0"/>
        <v>387.6</v>
      </c>
      <c r="E62" s="1">
        <v>1855</v>
      </c>
      <c r="F62" s="1">
        <v>4246</v>
      </c>
      <c r="G62" s="1">
        <v>8450</v>
      </c>
      <c r="H62" s="1">
        <v>13736</v>
      </c>
      <c r="I62" s="1">
        <v>17468</v>
      </c>
      <c r="J62" s="1">
        <v>19012</v>
      </c>
      <c r="K62" s="1">
        <v>19099</v>
      </c>
      <c r="L62" s="1">
        <v>18332</v>
      </c>
      <c r="M62" s="1">
        <v>19354</v>
      </c>
      <c r="N62" s="1">
        <v>19496</v>
      </c>
      <c r="O62" s="1">
        <v>20436</v>
      </c>
      <c r="P62" s="1">
        <v>16896</v>
      </c>
      <c r="Q62" s="1">
        <v>16352</v>
      </c>
      <c r="R62" s="1">
        <v>12372</v>
      </c>
      <c r="S62" s="1">
        <v>9736</v>
      </c>
      <c r="T62" s="1">
        <f t="shared" si="1"/>
        <v>2242.6</v>
      </c>
      <c r="U62" s="1">
        <f t="shared" si="2"/>
        <v>12696</v>
      </c>
      <c r="V62" s="1">
        <f t="shared" si="3"/>
        <v>31204</v>
      </c>
      <c r="W62" s="1">
        <f t="shared" si="4"/>
        <v>56443</v>
      </c>
      <c r="X62" s="1">
        <f t="shared" si="5"/>
        <v>92534</v>
      </c>
      <c r="Y62" s="1">
        <f t="shared" si="6"/>
        <v>195119.6</v>
      </c>
    </row>
    <row r="63" spans="1:25">
      <c r="A63" s="1">
        <v>2014</v>
      </c>
      <c r="B63" s="1" t="s">
        <v>9</v>
      </c>
      <c r="C63" s="1">
        <v>1871</v>
      </c>
      <c r="D63" s="17">
        <f t="shared" si="0"/>
        <v>374.2</v>
      </c>
      <c r="E63" s="1">
        <v>1808</v>
      </c>
      <c r="F63" s="1">
        <v>4211</v>
      </c>
      <c r="G63" s="1">
        <v>8482</v>
      </c>
      <c r="H63" s="1">
        <v>13197</v>
      </c>
      <c r="I63" s="1">
        <v>17328</v>
      </c>
      <c r="J63" s="1">
        <v>18005</v>
      </c>
      <c r="K63" s="1">
        <v>18492</v>
      </c>
      <c r="L63" s="1">
        <v>17812</v>
      </c>
      <c r="M63" s="1">
        <v>19409</v>
      </c>
      <c r="N63" s="1">
        <v>19653</v>
      </c>
      <c r="O63" s="1">
        <v>21091</v>
      </c>
      <c r="P63" s="1">
        <v>18390</v>
      </c>
      <c r="Q63" s="1">
        <v>16194</v>
      </c>
      <c r="R63" s="1">
        <v>12990</v>
      </c>
      <c r="S63" s="1">
        <v>9744</v>
      </c>
      <c r="T63" s="1">
        <f t="shared" si="1"/>
        <v>2182.1999999999998</v>
      </c>
      <c r="U63" s="1">
        <f t="shared" si="2"/>
        <v>12693</v>
      </c>
      <c r="V63" s="1">
        <f t="shared" si="3"/>
        <v>30525</v>
      </c>
      <c r="W63" s="1">
        <f t="shared" si="4"/>
        <v>54309</v>
      </c>
      <c r="X63" s="1">
        <f t="shared" si="5"/>
        <v>94737</v>
      </c>
      <c r="Y63" s="1">
        <f t="shared" si="6"/>
        <v>194446.2</v>
      </c>
    </row>
    <row r="64" spans="1:25">
      <c r="A64" s="1">
        <v>2015</v>
      </c>
      <c r="B64" s="1" t="s">
        <v>9</v>
      </c>
      <c r="C64" s="1">
        <v>1819</v>
      </c>
      <c r="D64" s="17">
        <f t="shared" si="0"/>
        <v>363.8</v>
      </c>
      <c r="E64" s="1">
        <v>1762</v>
      </c>
      <c r="F64" s="1">
        <v>4155</v>
      </c>
      <c r="G64" s="1">
        <v>8565</v>
      </c>
      <c r="H64" s="1">
        <v>13365</v>
      </c>
      <c r="I64" s="1">
        <v>16712</v>
      </c>
      <c r="J64" s="1">
        <v>17569</v>
      </c>
      <c r="K64" s="1">
        <v>18046</v>
      </c>
      <c r="L64" s="1">
        <v>17559</v>
      </c>
      <c r="M64" s="1">
        <v>19285</v>
      </c>
      <c r="N64" s="1">
        <v>20396</v>
      </c>
      <c r="O64" s="1">
        <v>21237</v>
      </c>
      <c r="P64" s="1">
        <v>19411</v>
      </c>
      <c r="Q64" s="1">
        <v>16242</v>
      </c>
      <c r="R64" s="1">
        <v>13720</v>
      </c>
      <c r="S64" s="1">
        <v>9376</v>
      </c>
      <c r="T64" s="1">
        <f t="shared" si="1"/>
        <v>2125.8000000000002</v>
      </c>
      <c r="U64" s="1">
        <f t="shared" si="2"/>
        <v>12720</v>
      </c>
      <c r="V64" s="1">
        <f t="shared" si="3"/>
        <v>30077</v>
      </c>
      <c r="W64" s="1">
        <f t="shared" si="4"/>
        <v>53174</v>
      </c>
      <c r="X64" s="1">
        <f t="shared" si="5"/>
        <v>96571</v>
      </c>
      <c r="Y64" s="1">
        <f t="shared" si="6"/>
        <v>194667.8</v>
      </c>
    </row>
    <row r="65" spans="1:25">
      <c r="A65" s="1">
        <v>2016</v>
      </c>
      <c r="B65" s="1" t="s">
        <v>9</v>
      </c>
      <c r="C65" s="1">
        <v>1673</v>
      </c>
      <c r="D65" s="17">
        <f t="shared" ref="D65:D97" si="7">C65/5</f>
        <v>334.6</v>
      </c>
      <c r="E65" s="1">
        <v>1781</v>
      </c>
      <c r="F65" s="1">
        <v>4019</v>
      </c>
      <c r="G65" s="1">
        <v>8272</v>
      </c>
      <c r="H65" s="1">
        <v>12851</v>
      </c>
      <c r="I65" s="1">
        <v>16597</v>
      </c>
      <c r="J65" s="1">
        <v>16535</v>
      </c>
      <c r="K65" s="1">
        <v>17270</v>
      </c>
      <c r="L65" s="1">
        <v>16890</v>
      </c>
      <c r="M65" s="1">
        <v>18470</v>
      </c>
      <c r="N65" s="1">
        <v>19796</v>
      </c>
      <c r="O65" s="1">
        <v>20689</v>
      </c>
      <c r="P65" s="1">
        <v>19486</v>
      </c>
      <c r="Q65" s="1">
        <v>15753</v>
      </c>
      <c r="R65" s="1">
        <v>14361</v>
      </c>
      <c r="S65" s="1">
        <v>9280</v>
      </c>
      <c r="T65" s="1">
        <f t="shared" si="1"/>
        <v>2115.6</v>
      </c>
      <c r="U65" s="1">
        <f t="shared" si="2"/>
        <v>12291</v>
      </c>
      <c r="V65" s="1">
        <f t="shared" si="3"/>
        <v>29448</v>
      </c>
      <c r="W65" s="1">
        <f t="shared" si="4"/>
        <v>50695</v>
      </c>
      <c r="X65" s="1">
        <f t="shared" si="5"/>
        <v>94194</v>
      </c>
      <c r="Y65" s="1">
        <f t="shared" si="6"/>
        <v>188743.6</v>
      </c>
    </row>
    <row r="66" spans="1:25">
      <c r="A66" s="1">
        <v>1985</v>
      </c>
      <c r="B66" s="1" t="s">
        <v>10</v>
      </c>
      <c r="C66" s="17">
        <v>801</v>
      </c>
      <c r="D66" s="17">
        <f t="shared" si="7"/>
        <v>160.19999999999999</v>
      </c>
      <c r="E66" s="17">
        <v>638</v>
      </c>
      <c r="F66" s="17">
        <v>1115</v>
      </c>
      <c r="G66" s="17">
        <v>1542</v>
      </c>
      <c r="H66" s="17">
        <v>1719</v>
      </c>
      <c r="I66" s="17">
        <v>1981</v>
      </c>
      <c r="J66" s="17">
        <v>2118</v>
      </c>
      <c r="K66" s="17">
        <v>2498</v>
      </c>
      <c r="L66" s="17">
        <v>2985</v>
      </c>
      <c r="M66" s="17">
        <v>3467</v>
      </c>
      <c r="N66" s="17">
        <v>3744</v>
      </c>
      <c r="O66" s="17">
        <v>4977</v>
      </c>
      <c r="P66" s="17">
        <v>6344</v>
      </c>
      <c r="Q66" s="17">
        <v>6259</v>
      </c>
      <c r="R66" s="17">
        <v>5626</v>
      </c>
      <c r="S66" s="17">
        <v>4787</v>
      </c>
      <c r="T66" s="1">
        <f t="shared" si="1"/>
        <v>798.2</v>
      </c>
      <c r="U66" s="1">
        <f t="shared" si="2"/>
        <v>2657</v>
      </c>
      <c r="V66" s="1">
        <f t="shared" si="3"/>
        <v>3700</v>
      </c>
      <c r="W66" s="1">
        <f t="shared" si="4"/>
        <v>7601</v>
      </c>
      <c r="X66" s="1">
        <f t="shared" si="5"/>
        <v>24791</v>
      </c>
      <c r="Y66" s="1">
        <f t="shared" si="6"/>
        <v>39547.199999999997</v>
      </c>
    </row>
    <row r="67" spans="1:25">
      <c r="A67" s="1">
        <v>1986</v>
      </c>
      <c r="B67" s="1" t="s">
        <v>10</v>
      </c>
      <c r="C67" s="17">
        <v>950</v>
      </c>
      <c r="D67" s="17">
        <f t="shared" si="7"/>
        <v>190</v>
      </c>
      <c r="E67" s="17">
        <v>805</v>
      </c>
      <c r="F67" s="17">
        <v>1269</v>
      </c>
      <c r="G67" s="17">
        <v>1880</v>
      </c>
      <c r="H67" s="17">
        <v>2132</v>
      </c>
      <c r="I67" s="17">
        <v>2415</v>
      </c>
      <c r="J67" s="17">
        <v>2434</v>
      </c>
      <c r="K67" s="17">
        <v>2694</v>
      </c>
      <c r="L67" s="17">
        <v>3145</v>
      </c>
      <c r="M67" s="17">
        <v>3585</v>
      </c>
      <c r="N67" s="17">
        <v>4111</v>
      </c>
      <c r="O67" s="17">
        <v>5451</v>
      </c>
      <c r="P67" s="17">
        <v>6955</v>
      </c>
      <c r="Q67" s="17">
        <v>6647</v>
      </c>
      <c r="R67" s="17">
        <v>6015</v>
      </c>
      <c r="S67" s="17">
        <v>5289</v>
      </c>
      <c r="T67" s="1">
        <f t="shared" ref="T67:T97" si="8">SUM(D67:E67)</f>
        <v>995</v>
      </c>
      <c r="U67" s="1">
        <f t="shared" ref="U67:U97" si="9">SUM(F67:G67)</f>
        <v>3149</v>
      </c>
      <c r="V67" s="1">
        <f t="shared" ref="V67:V97" si="10">SUM(H67:I67)</f>
        <v>4547</v>
      </c>
      <c r="W67" s="1">
        <f t="shared" ref="W67:W97" si="11">SUM(J67:L67)</f>
        <v>8273</v>
      </c>
      <c r="X67" s="1">
        <f t="shared" ref="X67:X97" si="12">SUM(M67:Q67)</f>
        <v>26749</v>
      </c>
      <c r="Y67" s="1">
        <f t="shared" ref="Y67:Y97" si="13">SUM(D67:Q67)</f>
        <v>43713</v>
      </c>
    </row>
    <row r="68" spans="1:25">
      <c r="A68" s="1">
        <v>1987</v>
      </c>
      <c r="B68" s="1" t="s">
        <v>10</v>
      </c>
      <c r="C68" s="17">
        <v>929</v>
      </c>
      <c r="D68" s="17">
        <f t="shared" si="7"/>
        <v>185.8</v>
      </c>
      <c r="E68" s="17">
        <v>809</v>
      </c>
      <c r="F68" s="17">
        <v>1202</v>
      </c>
      <c r="G68" s="17">
        <v>1680</v>
      </c>
      <c r="H68" s="17">
        <v>1935</v>
      </c>
      <c r="I68" s="17">
        <v>2124</v>
      </c>
      <c r="J68" s="17">
        <v>2452</v>
      </c>
      <c r="K68" s="17">
        <v>2637</v>
      </c>
      <c r="L68" s="17">
        <v>3185</v>
      </c>
      <c r="M68" s="17">
        <v>3697</v>
      </c>
      <c r="N68" s="17">
        <v>4170</v>
      </c>
      <c r="O68" s="17">
        <v>5514</v>
      </c>
      <c r="P68" s="17">
        <v>6680</v>
      </c>
      <c r="Q68" s="17">
        <v>6482</v>
      </c>
      <c r="R68" s="17">
        <v>5990</v>
      </c>
      <c r="S68" s="17">
        <v>5264</v>
      </c>
      <c r="T68" s="1">
        <f t="shared" si="8"/>
        <v>994.8</v>
      </c>
      <c r="U68" s="1">
        <f t="shared" si="9"/>
        <v>2882</v>
      </c>
      <c r="V68" s="1">
        <f t="shared" si="10"/>
        <v>4059</v>
      </c>
      <c r="W68" s="1">
        <f t="shared" si="11"/>
        <v>8274</v>
      </c>
      <c r="X68" s="1">
        <f t="shared" si="12"/>
        <v>26543</v>
      </c>
      <c r="Y68" s="1">
        <f t="shared" si="13"/>
        <v>42752.800000000003</v>
      </c>
    </row>
    <row r="69" spans="1:25">
      <c r="A69" s="1">
        <v>1988</v>
      </c>
      <c r="B69" s="1" t="s">
        <v>10</v>
      </c>
      <c r="C69" s="17">
        <v>933</v>
      </c>
      <c r="D69" s="17">
        <f t="shared" si="7"/>
        <v>186.6</v>
      </c>
      <c r="E69" s="17">
        <v>692</v>
      </c>
      <c r="F69" s="17">
        <v>1188</v>
      </c>
      <c r="G69" s="17">
        <v>1647</v>
      </c>
      <c r="H69" s="17">
        <v>1991</v>
      </c>
      <c r="I69" s="17">
        <v>2198</v>
      </c>
      <c r="J69" s="17">
        <v>2582</v>
      </c>
      <c r="K69" s="17">
        <v>2801</v>
      </c>
      <c r="L69" s="17">
        <v>3325</v>
      </c>
      <c r="M69" s="17">
        <v>3932</v>
      </c>
      <c r="N69" s="17">
        <v>4484</v>
      </c>
      <c r="O69" s="17">
        <v>5773</v>
      </c>
      <c r="P69" s="17">
        <v>6692</v>
      </c>
      <c r="Q69" s="17">
        <v>7191</v>
      </c>
      <c r="R69" s="17">
        <v>6489</v>
      </c>
      <c r="S69" s="17">
        <v>5552</v>
      </c>
      <c r="T69" s="1">
        <f t="shared" si="8"/>
        <v>878.6</v>
      </c>
      <c r="U69" s="1">
        <f t="shared" si="9"/>
        <v>2835</v>
      </c>
      <c r="V69" s="1">
        <f t="shared" si="10"/>
        <v>4189</v>
      </c>
      <c r="W69" s="1">
        <f t="shared" si="11"/>
        <v>8708</v>
      </c>
      <c r="X69" s="1">
        <f t="shared" si="12"/>
        <v>28072</v>
      </c>
      <c r="Y69" s="1">
        <f t="shared" si="13"/>
        <v>44682.6</v>
      </c>
    </row>
    <row r="70" spans="1:25">
      <c r="A70" s="1">
        <v>1989</v>
      </c>
      <c r="B70" s="1" t="s">
        <v>10</v>
      </c>
      <c r="C70" s="17">
        <v>754</v>
      </c>
      <c r="D70" s="17">
        <f t="shared" si="7"/>
        <v>150.80000000000001</v>
      </c>
      <c r="E70" s="17">
        <v>634</v>
      </c>
      <c r="F70" s="17">
        <v>1020</v>
      </c>
      <c r="G70" s="17">
        <v>1536</v>
      </c>
      <c r="H70" s="17">
        <v>1858</v>
      </c>
      <c r="I70" s="17">
        <v>2097</v>
      </c>
      <c r="J70" s="17">
        <v>2389</v>
      </c>
      <c r="K70" s="17">
        <v>2704</v>
      </c>
      <c r="L70" s="17">
        <v>3067</v>
      </c>
      <c r="M70" s="17">
        <v>3828</v>
      </c>
      <c r="N70" s="17">
        <v>4258</v>
      </c>
      <c r="O70" s="17">
        <v>5439</v>
      </c>
      <c r="P70" s="17">
        <v>5771</v>
      </c>
      <c r="Q70" s="17">
        <v>6655</v>
      </c>
      <c r="R70" s="17">
        <v>6326</v>
      </c>
      <c r="S70" s="17">
        <v>5004</v>
      </c>
      <c r="T70" s="1">
        <f t="shared" si="8"/>
        <v>784.8</v>
      </c>
      <c r="U70" s="1">
        <f t="shared" si="9"/>
        <v>2556</v>
      </c>
      <c r="V70" s="1">
        <f t="shared" si="10"/>
        <v>3955</v>
      </c>
      <c r="W70" s="1">
        <f t="shared" si="11"/>
        <v>8160</v>
      </c>
      <c r="X70" s="1">
        <f t="shared" si="12"/>
        <v>25951</v>
      </c>
      <c r="Y70" s="1">
        <f t="shared" si="13"/>
        <v>41406.800000000003</v>
      </c>
    </row>
    <row r="71" spans="1:25">
      <c r="A71" s="1">
        <v>1990</v>
      </c>
      <c r="B71" s="1" t="s">
        <v>10</v>
      </c>
      <c r="C71" s="17">
        <v>577</v>
      </c>
      <c r="D71" s="17">
        <f t="shared" si="7"/>
        <v>115.4</v>
      </c>
      <c r="E71" s="17">
        <v>564</v>
      </c>
      <c r="F71" s="17">
        <v>899</v>
      </c>
      <c r="G71" s="17">
        <v>1341</v>
      </c>
      <c r="H71" s="17">
        <v>1607</v>
      </c>
      <c r="I71" s="17">
        <v>1948</v>
      </c>
      <c r="J71" s="17">
        <v>2056</v>
      </c>
      <c r="K71" s="17">
        <v>2332</v>
      </c>
      <c r="L71" s="17">
        <v>2542</v>
      </c>
      <c r="M71" s="17">
        <v>3513</v>
      </c>
      <c r="N71" s="17">
        <v>3817</v>
      </c>
      <c r="O71" s="17">
        <v>5149</v>
      </c>
      <c r="P71" s="17">
        <v>5114</v>
      </c>
      <c r="Q71" s="17">
        <v>6512</v>
      </c>
      <c r="R71" s="17">
        <v>5813</v>
      </c>
      <c r="S71" s="17">
        <v>5084</v>
      </c>
      <c r="T71" s="1">
        <f t="shared" si="8"/>
        <v>679.4</v>
      </c>
      <c r="U71" s="1">
        <f t="shared" si="9"/>
        <v>2240</v>
      </c>
      <c r="V71" s="1">
        <f t="shared" si="10"/>
        <v>3555</v>
      </c>
      <c r="W71" s="1">
        <f t="shared" si="11"/>
        <v>6930</v>
      </c>
      <c r="X71" s="1">
        <f t="shared" si="12"/>
        <v>24105</v>
      </c>
      <c r="Y71" s="1">
        <f t="shared" si="13"/>
        <v>37509.4</v>
      </c>
    </row>
    <row r="72" spans="1:25">
      <c r="A72" s="1">
        <v>1991</v>
      </c>
      <c r="B72" s="1" t="s">
        <v>10</v>
      </c>
      <c r="C72" s="17">
        <v>639</v>
      </c>
      <c r="D72" s="17">
        <f t="shared" si="7"/>
        <v>127.8</v>
      </c>
      <c r="E72" s="17">
        <v>616</v>
      </c>
      <c r="F72" s="17">
        <v>1006</v>
      </c>
      <c r="G72" s="17">
        <v>1571</v>
      </c>
      <c r="H72" s="17">
        <v>1862</v>
      </c>
      <c r="I72" s="17">
        <v>2148</v>
      </c>
      <c r="J72" s="17">
        <v>2462</v>
      </c>
      <c r="K72" s="17">
        <v>2656</v>
      </c>
      <c r="L72" s="17">
        <v>2859</v>
      </c>
      <c r="M72" s="17">
        <v>4030</v>
      </c>
      <c r="N72" s="17">
        <v>4438</v>
      </c>
      <c r="O72" s="17">
        <v>5873</v>
      </c>
      <c r="P72" s="17">
        <v>5665</v>
      </c>
      <c r="Q72" s="17">
        <v>7326</v>
      </c>
      <c r="R72" s="17">
        <v>6061</v>
      </c>
      <c r="S72" s="17">
        <v>5785</v>
      </c>
      <c r="T72" s="1">
        <f t="shared" si="8"/>
        <v>743.8</v>
      </c>
      <c r="U72" s="1">
        <f t="shared" si="9"/>
        <v>2577</v>
      </c>
      <c r="V72" s="1">
        <f t="shared" si="10"/>
        <v>4010</v>
      </c>
      <c r="W72" s="1">
        <f t="shared" si="11"/>
        <v>7977</v>
      </c>
      <c r="X72" s="1">
        <f t="shared" si="12"/>
        <v>27332</v>
      </c>
      <c r="Y72" s="1">
        <f t="shared" si="13"/>
        <v>42639.8</v>
      </c>
    </row>
    <row r="73" spans="1:25">
      <c r="A73" s="1">
        <v>1992</v>
      </c>
      <c r="B73" s="1" t="s">
        <v>10</v>
      </c>
      <c r="C73" s="17">
        <v>579</v>
      </c>
      <c r="D73" s="17">
        <f t="shared" si="7"/>
        <v>115.8</v>
      </c>
      <c r="E73" s="17">
        <v>587</v>
      </c>
      <c r="F73" s="17">
        <v>981</v>
      </c>
      <c r="G73" s="17">
        <v>1469</v>
      </c>
      <c r="H73" s="17">
        <v>1808</v>
      </c>
      <c r="I73" s="17">
        <v>2177</v>
      </c>
      <c r="J73" s="17">
        <v>2432</v>
      </c>
      <c r="K73" s="17">
        <v>2936</v>
      </c>
      <c r="L73" s="17">
        <v>3063</v>
      </c>
      <c r="M73" s="17">
        <v>4035</v>
      </c>
      <c r="N73" s="17">
        <v>4716</v>
      </c>
      <c r="O73" s="17">
        <v>6306</v>
      </c>
      <c r="P73" s="17">
        <v>6316</v>
      </c>
      <c r="Q73" s="17">
        <v>8285</v>
      </c>
      <c r="R73" s="17">
        <v>6758</v>
      </c>
      <c r="S73" s="17">
        <v>6588</v>
      </c>
      <c r="T73" s="1">
        <f t="shared" si="8"/>
        <v>702.8</v>
      </c>
      <c r="U73" s="1">
        <f t="shared" si="9"/>
        <v>2450</v>
      </c>
      <c r="V73" s="1">
        <f t="shared" si="10"/>
        <v>3985</v>
      </c>
      <c r="W73" s="1">
        <f t="shared" si="11"/>
        <v>8431</v>
      </c>
      <c r="X73" s="1">
        <f t="shared" si="12"/>
        <v>29658</v>
      </c>
      <c r="Y73" s="1">
        <f t="shared" si="13"/>
        <v>45226.8</v>
      </c>
    </row>
    <row r="74" spans="1:25">
      <c r="A74" s="1">
        <v>1993</v>
      </c>
      <c r="B74" s="1" t="s">
        <v>10</v>
      </c>
      <c r="C74" s="17">
        <v>775</v>
      </c>
      <c r="D74" s="17">
        <f t="shared" si="7"/>
        <v>155</v>
      </c>
      <c r="E74" s="17">
        <v>716</v>
      </c>
      <c r="F74" s="17">
        <v>1517</v>
      </c>
      <c r="G74" s="17">
        <v>2025</v>
      </c>
      <c r="H74" s="17">
        <v>2482</v>
      </c>
      <c r="I74" s="17">
        <v>2787</v>
      </c>
      <c r="J74" s="17">
        <v>2975</v>
      </c>
      <c r="K74" s="17">
        <v>3329</v>
      </c>
      <c r="L74" s="17">
        <v>3449</v>
      </c>
      <c r="M74" s="17">
        <v>4432</v>
      </c>
      <c r="N74" s="17">
        <v>4921</v>
      </c>
      <c r="O74" s="17">
        <v>6499</v>
      </c>
      <c r="P74" s="17">
        <v>6459</v>
      </c>
      <c r="Q74" s="17">
        <v>7491</v>
      </c>
      <c r="R74" s="17">
        <v>7379</v>
      </c>
      <c r="S74" s="17">
        <v>6446</v>
      </c>
      <c r="T74" s="1">
        <f t="shared" si="8"/>
        <v>871</v>
      </c>
      <c r="U74" s="1">
        <f t="shared" si="9"/>
        <v>3542</v>
      </c>
      <c r="V74" s="1">
        <f t="shared" si="10"/>
        <v>5269</v>
      </c>
      <c r="W74" s="1">
        <f t="shared" si="11"/>
        <v>9753</v>
      </c>
      <c r="X74" s="1">
        <f t="shared" si="12"/>
        <v>29802</v>
      </c>
      <c r="Y74" s="1">
        <f t="shared" si="13"/>
        <v>49237</v>
      </c>
    </row>
    <row r="75" spans="1:25">
      <c r="A75" s="1">
        <v>1994</v>
      </c>
      <c r="B75" s="1" t="s">
        <v>10</v>
      </c>
      <c r="C75" s="17">
        <v>938</v>
      </c>
      <c r="D75" s="17">
        <f t="shared" si="7"/>
        <v>187.6</v>
      </c>
      <c r="E75" s="17">
        <v>862</v>
      </c>
      <c r="F75" s="17">
        <v>1730</v>
      </c>
      <c r="G75" s="17">
        <v>2789</v>
      </c>
      <c r="H75" s="17">
        <v>3410</v>
      </c>
      <c r="I75" s="17">
        <v>3683</v>
      </c>
      <c r="J75" s="17">
        <v>3907</v>
      </c>
      <c r="K75" s="17">
        <v>4376</v>
      </c>
      <c r="L75" s="17">
        <v>4398</v>
      </c>
      <c r="M75" s="17">
        <v>5265</v>
      </c>
      <c r="N75" s="17">
        <v>5742</v>
      </c>
      <c r="O75" s="17">
        <v>7556</v>
      </c>
      <c r="P75" s="17">
        <v>8158</v>
      </c>
      <c r="Q75" s="17">
        <v>8241</v>
      </c>
      <c r="R75" s="17">
        <v>8942</v>
      </c>
      <c r="S75" s="17">
        <v>7855</v>
      </c>
      <c r="T75" s="1">
        <f t="shared" si="8"/>
        <v>1049.5999999999999</v>
      </c>
      <c r="U75" s="1">
        <f t="shared" si="9"/>
        <v>4519</v>
      </c>
      <c r="V75" s="1">
        <f t="shared" si="10"/>
        <v>7093</v>
      </c>
      <c r="W75" s="1">
        <f t="shared" si="11"/>
        <v>12681</v>
      </c>
      <c r="X75" s="1">
        <f t="shared" si="12"/>
        <v>34962</v>
      </c>
      <c r="Y75" s="1">
        <f t="shared" si="13"/>
        <v>60304.6</v>
      </c>
    </row>
    <row r="76" spans="1:25">
      <c r="A76" s="1">
        <v>1995</v>
      </c>
      <c r="B76" s="1" t="s">
        <v>10</v>
      </c>
      <c r="C76" s="17">
        <v>1101</v>
      </c>
      <c r="D76" s="17">
        <f t="shared" si="7"/>
        <v>220.2</v>
      </c>
      <c r="E76" s="17">
        <v>1003</v>
      </c>
      <c r="F76" s="17">
        <v>1987</v>
      </c>
      <c r="G76" s="17">
        <v>3626</v>
      </c>
      <c r="H76" s="17">
        <v>4392</v>
      </c>
      <c r="I76" s="17">
        <v>4777</v>
      </c>
      <c r="J76" s="17">
        <v>4660</v>
      </c>
      <c r="K76" s="17">
        <v>4855</v>
      </c>
      <c r="L76" s="17">
        <v>5183</v>
      </c>
      <c r="M76" s="17">
        <v>5409</v>
      </c>
      <c r="N76" s="17">
        <v>6924</v>
      </c>
      <c r="O76" s="17">
        <v>8051</v>
      </c>
      <c r="P76" s="17">
        <v>9766</v>
      </c>
      <c r="Q76" s="17">
        <v>8796</v>
      </c>
      <c r="R76" s="17">
        <v>10140</v>
      </c>
      <c r="S76" s="17">
        <v>8265</v>
      </c>
      <c r="T76" s="1">
        <f t="shared" si="8"/>
        <v>1223.2</v>
      </c>
      <c r="U76" s="1">
        <f t="shared" si="9"/>
        <v>5613</v>
      </c>
      <c r="V76" s="1">
        <f t="shared" si="10"/>
        <v>9169</v>
      </c>
      <c r="W76" s="1">
        <f t="shared" si="11"/>
        <v>14698</v>
      </c>
      <c r="X76" s="1">
        <f t="shared" si="12"/>
        <v>38946</v>
      </c>
      <c r="Y76" s="1">
        <f t="shared" si="13"/>
        <v>69649.2</v>
      </c>
    </row>
    <row r="77" spans="1:25">
      <c r="A77" s="1">
        <v>1996</v>
      </c>
      <c r="B77" s="1" t="s">
        <v>10</v>
      </c>
      <c r="C77" s="17">
        <v>1134</v>
      </c>
      <c r="D77" s="17">
        <f t="shared" si="7"/>
        <v>226.8</v>
      </c>
      <c r="E77" s="17">
        <v>1044</v>
      </c>
      <c r="F77" s="17">
        <v>2199</v>
      </c>
      <c r="G77" s="17">
        <v>4444</v>
      </c>
      <c r="H77" s="17">
        <v>5629</v>
      </c>
      <c r="I77" s="17">
        <v>5935</v>
      </c>
      <c r="J77" s="17">
        <v>5655</v>
      </c>
      <c r="K77" s="17">
        <v>5623</v>
      </c>
      <c r="L77" s="17">
        <v>5762</v>
      </c>
      <c r="M77" s="17">
        <v>5808</v>
      </c>
      <c r="N77" s="17">
        <v>7693</v>
      </c>
      <c r="O77" s="17">
        <v>8969</v>
      </c>
      <c r="P77" s="17">
        <v>10893</v>
      </c>
      <c r="Q77" s="17">
        <v>9525</v>
      </c>
      <c r="R77" s="17">
        <v>12195</v>
      </c>
      <c r="S77" s="17">
        <v>8909</v>
      </c>
      <c r="T77" s="1">
        <f t="shared" si="8"/>
        <v>1270.8</v>
      </c>
      <c r="U77" s="1">
        <f t="shared" si="9"/>
        <v>6643</v>
      </c>
      <c r="V77" s="1">
        <f t="shared" si="10"/>
        <v>11564</v>
      </c>
      <c r="W77" s="1">
        <f t="shared" si="11"/>
        <v>17040</v>
      </c>
      <c r="X77" s="1">
        <f t="shared" si="12"/>
        <v>42888</v>
      </c>
      <c r="Y77" s="1">
        <f t="shared" si="13"/>
        <v>79405.8</v>
      </c>
    </row>
    <row r="78" spans="1:25">
      <c r="A78" s="1">
        <v>1997</v>
      </c>
      <c r="B78" s="1" t="s">
        <v>10</v>
      </c>
      <c r="C78" s="1">
        <v>1255</v>
      </c>
      <c r="D78" s="17">
        <f t="shared" si="7"/>
        <v>251</v>
      </c>
      <c r="E78" s="1">
        <v>1195</v>
      </c>
      <c r="F78" s="1">
        <v>2480</v>
      </c>
      <c r="G78" s="1">
        <v>5470</v>
      </c>
      <c r="H78" s="1">
        <v>7468</v>
      </c>
      <c r="I78" s="1">
        <v>7213</v>
      </c>
      <c r="J78" s="1">
        <v>6891</v>
      </c>
      <c r="K78" s="1">
        <v>6427</v>
      </c>
      <c r="L78" s="1">
        <v>6388</v>
      </c>
      <c r="M78" s="1">
        <v>6258</v>
      </c>
      <c r="N78" s="1">
        <v>7939</v>
      </c>
      <c r="O78" s="1">
        <v>9299</v>
      </c>
      <c r="P78" s="1">
        <v>11054</v>
      </c>
      <c r="Q78" s="1">
        <v>10067</v>
      </c>
      <c r="R78" s="1">
        <v>12345</v>
      </c>
      <c r="S78" s="1">
        <v>8786</v>
      </c>
      <c r="T78" s="1">
        <f t="shared" si="8"/>
        <v>1446</v>
      </c>
      <c r="U78" s="1">
        <f t="shared" si="9"/>
        <v>7950</v>
      </c>
      <c r="V78" s="1">
        <f t="shared" si="10"/>
        <v>14681</v>
      </c>
      <c r="W78" s="1">
        <f t="shared" si="11"/>
        <v>19706</v>
      </c>
      <c r="X78" s="1">
        <f t="shared" si="12"/>
        <v>44617</v>
      </c>
      <c r="Y78" s="1">
        <f t="shared" si="13"/>
        <v>88400</v>
      </c>
    </row>
    <row r="79" spans="1:25">
      <c r="A79" s="1">
        <v>1998</v>
      </c>
      <c r="B79" s="1" t="s">
        <v>10</v>
      </c>
      <c r="C79" s="1">
        <v>1435</v>
      </c>
      <c r="D79" s="17">
        <f t="shared" si="7"/>
        <v>287</v>
      </c>
      <c r="E79" s="1">
        <v>1288</v>
      </c>
      <c r="F79" s="1">
        <v>2912</v>
      </c>
      <c r="G79" s="1">
        <v>6930</v>
      </c>
      <c r="H79" s="1">
        <v>9895</v>
      </c>
      <c r="I79" s="1">
        <v>9756</v>
      </c>
      <c r="J79" s="1">
        <v>8954</v>
      </c>
      <c r="K79" s="1">
        <v>7956</v>
      </c>
      <c r="L79" s="1">
        <v>7699</v>
      </c>
      <c r="M79" s="1">
        <v>7223</v>
      </c>
      <c r="N79" s="1">
        <v>8890</v>
      </c>
      <c r="O79" s="1">
        <v>10002</v>
      </c>
      <c r="P79" s="1">
        <v>12464</v>
      </c>
      <c r="Q79" s="1">
        <v>11801</v>
      </c>
      <c r="R79" s="1">
        <v>12487</v>
      </c>
      <c r="S79" s="1">
        <v>11045</v>
      </c>
      <c r="T79" s="1">
        <f t="shared" si="8"/>
        <v>1575</v>
      </c>
      <c r="U79" s="1">
        <f t="shared" si="9"/>
        <v>9842</v>
      </c>
      <c r="V79" s="1">
        <f t="shared" si="10"/>
        <v>19651</v>
      </c>
      <c r="W79" s="1">
        <f t="shared" si="11"/>
        <v>24609</v>
      </c>
      <c r="X79" s="1">
        <f t="shared" si="12"/>
        <v>50380</v>
      </c>
      <c r="Y79" s="1">
        <f t="shared" si="13"/>
        <v>106057</v>
      </c>
    </row>
    <row r="80" spans="1:25">
      <c r="A80" s="1">
        <v>1999</v>
      </c>
      <c r="B80" s="1" t="s">
        <v>10</v>
      </c>
      <c r="C80" s="1">
        <v>1510</v>
      </c>
      <c r="D80" s="17">
        <f t="shared" si="7"/>
        <v>302</v>
      </c>
      <c r="E80" s="1">
        <v>1306</v>
      </c>
      <c r="F80" s="1">
        <v>3336</v>
      </c>
      <c r="G80" s="1">
        <v>8311</v>
      </c>
      <c r="H80" s="1">
        <v>12678</v>
      </c>
      <c r="I80" s="1">
        <v>12310</v>
      </c>
      <c r="J80" s="1">
        <v>10852</v>
      </c>
      <c r="K80" s="1">
        <v>8949</v>
      </c>
      <c r="L80" s="1">
        <v>8541</v>
      </c>
      <c r="M80" s="1">
        <v>7779</v>
      </c>
      <c r="N80" s="1">
        <v>8692</v>
      </c>
      <c r="O80" s="1">
        <v>10057</v>
      </c>
      <c r="P80" s="1">
        <v>12325</v>
      </c>
      <c r="Q80" s="1">
        <v>12260</v>
      </c>
      <c r="R80" s="1">
        <v>11588</v>
      </c>
      <c r="S80" s="1">
        <v>11324</v>
      </c>
      <c r="T80" s="1">
        <f t="shared" si="8"/>
        <v>1608</v>
      </c>
      <c r="U80" s="1">
        <f t="shared" si="9"/>
        <v>11647</v>
      </c>
      <c r="V80" s="1">
        <f t="shared" si="10"/>
        <v>24988</v>
      </c>
      <c r="W80" s="1">
        <f t="shared" si="11"/>
        <v>28342</v>
      </c>
      <c r="X80" s="1">
        <f t="shared" si="12"/>
        <v>51113</v>
      </c>
      <c r="Y80" s="1">
        <f t="shared" si="13"/>
        <v>117698</v>
      </c>
    </row>
    <row r="81" spans="1:25">
      <c r="A81" s="1">
        <v>2000</v>
      </c>
      <c r="B81" s="1" t="s">
        <v>10</v>
      </c>
      <c r="C81" s="1">
        <v>1600</v>
      </c>
      <c r="D81" s="17">
        <f t="shared" si="7"/>
        <v>320</v>
      </c>
      <c r="E81" s="1">
        <v>1338</v>
      </c>
      <c r="F81" s="1">
        <v>3495</v>
      </c>
      <c r="G81" s="1">
        <v>9916</v>
      </c>
      <c r="H81" s="1">
        <v>15770</v>
      </c>
      <c r="I81" s="1">
        <v>15853</v>
      </c>
      <c r="J81" s="1">
        <v>13654</v>
      </c>
      <c r="K81" s="1">
        <v>11053</v>
      </c>
      <c r="L81" s="1">
        <v>9587</v>
      </c>
      <c r="M81" s="1">
        <v>9119</v>
      </c>
      <c r="N81" s="1">
        <v>8882</v>
      </c>
      <c r="O81" s="1">
        <v>11266</v>
      </c>
      <c r="P81" s="1">
        <v>12077</v>
      </c>
      <c r="Q81" s="1">
        <v>14152</v>
      </c>
      <c r="R81" s="1">
        <v>11544</v>
      </c>
      <c r="S81" s="1">
        <v>12649</v>
      </c>
      <c r="T81" s="1">
        <f t="shared" si="8"/>
        <v>1658</v>
      </c>
      <c r="U81" s="1">
        <f t="shared" si="9"/>
        <v>13411</v>
      </c>
      <c r="V81" s="1">
        <f t="shared" si="10"/>
        <v>31623</v>
      </c>
      <c r="W81" s="1">
        <f t="shared" si="11"/>
        <v>34294</v>
      </c>
      <c r="X81" s="1">
        <f t="shared" si="12"/>
        <v>55496</v>
      </c>
      <c r="Y81" s="1">
        <f t="shared" si="13"/>
        <v>136482</v>
      </c>
    </row>
    <row r="82" spans="1:25">
      <c r="A82" s="1">
        <v>2001</v>
      </c>
      <c r="B82" s="1" t="s">
        <v>10</v>
      </c>
      <c r="C82" s="1">
        <v>1709</v>
      </c>
      <c r="D82" s="17">
        <f t="shared" si="7"/>
        <v>341.8</v>
      </c>
      <c r="E82" s="1">
        <v>1467</v>
      </c>
      <c r="F82" s="1">
        <v>3917</v>
      </c>
      <c r="G82" s="1">
        <v>10970</v>
      </c>
      <c r="H82" s="1">
        <v>19364</v>
      </c>
      <c r="I82" s="1">
        <v>18796</v>
      </c>
      <c r="J82" s="1">
        <v>15914</v>
      </c>
      <c r="K82" s="1">
        <v>12919</v>
      </c>
      <c r="L82" s="1">
        <v>10971</v>
      </c>
      <c r="M82" s="1">
        <v>10169</v>
      </c>
      <c r="N82" s="1">
        <v>9139</v>
      </c>
      <c r="O82" s="1">
        <v>12083</v>
      </c>
      <c r="P82" s="1">
        <v>12826</v>
      </c>
      <c r="Q82" s="1">
        <v>15140</v>
      </c>
      <c r="R82" s="1">
        <v>12058</v>
      </c>
      <c r="S82" s="1">
        <v>13932</v>
      </c>
      <c r="T82" s="1">
        <f t="shared" si="8"/>
        <v>1808.8</v>
      </c>
      <c r="U82" s="1">
        <f t="shared" si="9"/>
        <v>14887</v>
      </c>
      <c r="V82" s="1">
        <f t="shared" si="10"/>
        <v>38160</v>
      </c>
      <c r="W82" s="1">
        <f t="shared" si="11"/>
        <v>39804</v>
      </c>
      <c r="X82" s="1">
        <f t="shared" si="12"/>
        <v>59357</v>
      </c>
      <c r="Y82" s="1">
        <f t="shared" si="13"/>
        <v>154016.79999999999</v>
      </c>
    </row>
    <row r="83" spans="1:25">
      <c r="A83" s="1">
        <v>2002</v>
      </c>
      <c r="B83" s="1" t="s">
        <v>10</v>
      </c>
      <c r="C83" s="1">
        <v>1964</v>
      </c>
      <c r="D83" s="17">
        <f t="shared" si="7"/>
        <v>392.8</v>
      </c>
      <c r="E83" s="1">
        <v>1490</v>
      </c>
      <c r="F83" s="1">
        <v>4294</v>
      </c>
      <c r="G83" s="1">
        <v>12531</v>
      </c>
      <c r="H83" s="1">
        <v>23403</v>
      </c>
      <c r="I83" s="1">
        <v>23602</v>
      </c>
      <c r="J83" s="1">
        <v>19503</v>
      </c>
      <c r="K83" s="1">
        <v>15545</v>
      </c>
      <c r="L83" s="1">
        <v>12698</v>
      </c>
      <c r="M83" s="1">
        <v>11268</v>
      </c>
      <c r="N83" s="1">
        <v>10021</v>
      </c>
      <c r="O83" s="1">
        <v>12716</v>
      </c>
      <c r="P83" s="1">
        <v>13298</v>
      </c>
      <c r="Q83" s="1">
        <v>15483</v>
      </c>
      <c r="R83" s="1">
        <v>12842</v>
      </c>
      <c r="S83" s="1">
        <v>14208</v>
      </c>
      <c r="T83" s="1">
        <f t="shared" si="8"/>
        <v>1882.8</v>
      </c>
      <c r="U83" s="1">
        <f t="shared" si="9"/>
        <v>16825</v>
      </c>
      <c r="V83" s="1">
        <f t="shared" si="10"/>
        <v>47005</v>
      </c>
      <c r="W83" s="1">
        <f t="shared" si="11"/>
        <v>47746</v>
      </c>
      <c r="X83" s="1">
        <f t="shared" si="12"/>
        <v>62786</v>
      </c>
      <c r="Y83" s="1">
        <f t="shared" si="13"/>
        <v>176244.8</v>
      </c>
    </row>
    <row r="84" spans="1:25">
      <c r="A84" s="1">
        <v>2003</v>
      </c>
      <c r="B84" s="1" t="s">
        <v>10</v>
      </c>
      <c r="C84" s="1">
        <v>2206</v>
      </c>
      <c r="D84" s="17">
        <f t="shared" si="7"/>
        <v>441.2</v>
      </c>
      <c r="E84" s="1">
        <v>1643</v>
      </c>
      <c r="F84" s="1">
        <v>4566</v>
      </c>
      <c r="G84" s="1">
        <v>14221</v>
      </c>
      <c r="H84" s="1">
        <v>26309</v>
      </c>
      <c r="I84" s="1">
        <v>28199</v>
      </c>
      <c r="J84" s="1">
        <v>22713</v>
      </c>
      <c r="K84" s="1">
        <v>18476</v>
      </c>
      <c r="L84" s="1">
        <v>14502</v>
      </c>
      <c r="M84" s="1">
        <v>12900</v>
      </c>
      <c r="N84" s="1">
        <v>11004</v>
      </c>
      <c r="O84" s="1">
        <v>13321</v>
      </c>
      <c r="P84" s="1">
        <v>13897</v>
      </c>
      <c r="Q84" s="1">
        <v>16401</v>
      </c>
      <c r="R84" s="1">
        <v>14134</v>
      </c>
      <c r="S84" s="1">
        <v>13709</v>
      </c>
      <c r="T84" s="1">
        <f t="shared" si="8"/>
        <v>2084.1999999999998</v>
      </c>
      <c r="U84" s="1">
        <f t="shared" si="9"/>
        <v>18787</v>
      </c>
      <c r="V84" s="1">
        <f t="shared" si="10"/>
        <v>54508</v>
      </c>
      <c r="W84" s="1">
        <f t="shared" si="11"/>
        <v>55691</v>
      </c>
      <c r="X84" s="1">
        <f t="shared" si="12"/>
        <v>67523</v>
      </c>
      <c r="Y84" s="1">
        <f t="shared" si="13"/>
        <v>198593.2</v>
      </c>
    </row>
    <row r="85" spans="1:25">
      <c r="A85" s="1">
        <v>2004</v>
      </c>
      <c r="B85" s="1" t="s">
        <v>10</v>
      </c>
      <c r="C85" s="1">
        <v>2804</v>
      </c>
      <c r="D85" s="17">
        <f t="shared" si="7"/>
        <v>560.79999999999995</v>
      </c>
      <c r="E85" s="1">
        <v>1781</v>
      </c>
      <c r="F85" s="1">
        <v>4626</v>
      </c>
      <c r="G85" s="1">
        <v>15118</v>
      </c>
      <c r="H85" s="1">
        <v>27633</v>
      </c>
      <c r="I85" s="1">
        <v>30710</v>
      </c>
      <c r="J85" s="1">
        <v>25212</v>
      </c>
      <c r="K85" s="1">
        <v>20612</v>
      </c>
      <c r="L85" s="1">
        <v>16282</v>
      </c>
      <c r="M85" s="1">
        <v>14120</v>
      </c>
      <c r="N85" s="1">
        <v>12041</v>
      </c>
      <c r="O85" s="1">
        <v>13412</v>
      </c>
      <c r="P85" s="1">
        <v>13814</v>
      </c>
      <c r="Q85" s="1">
        <v>15433</v>
      </c>
      <c r="R85" s="1">
        <v>14090</v>
      </c>
      <c r="S85" s="1">
        <v>11967</v>
      </c>
      <c r="T85" s="1">
        <f t="shared" si="8"/>
        <v>2341.8000000000002</v>
      </c>
      <c r="U85" s="1">
        <f t="shared" si="9"/>
        <v>19744</v>
      </c>
      <c r="V85" s="1">
        <f t="shared" si="10"/>
        <v>58343</v>
      </c>
      <c r="W85" s="1">
        <f t="shared" si="11"/>
        <v>62106</v>
      </c>
      <c r="X85" s="1">
        <f t="shared" si="12"/>
        <v>68820</v>
      </c>
      <c r="Y85" s="1">
        <f t="shared" si="13"/>
        <v>211354.8</v>
      </c>
    </row>
    <row r="86" spans="1:25">
      <c r="A86" s="1">
        <v>2005</v>
      </c>
      <c r="B86" s="1" t="s">
        <v>10</v>
      </c>
      <c r="C86" s="1">
        <v>2805</v>
      </c>
      <c r="D86" s="17">
        <f t="shared" si="7"/>
        <v>561</v>
      </c>
      <c r="E86" s="1">
        <v>1863</v>
      </c>
      <c r="F86" s="1">
        <v>4554</v>
      </c>
      <c r="G86" s="1">
        <v>14911</v>
      </c>
      <c r="H86" s="1">
        <v>27319</v>
      </c>
      <c r="I86" s="1">
        <v>31341</v>
      </c>
      <c r="J86" s="1">
        <v>26315</v>
      </c>
      <c r="K86" s="1">
        <v>21509</v>
      </c>
      <c r="L86" s="1">
        <v>17416</v>
      </c>
      <c r="M86" s="1">
        <v>14983</v>
      </c>
      <c r="N86" s="1">
        <v>13326</v>
      </c>
      <c r="O86" s="1">
        <v>13257</v>
      </c>
      <c r="P86" s="1">
        <v>15203</v>
      </c>
      <c r="Q86" s="1">
        <v>15098</v>
      </c>
      <c r="R86" s="1">
        <v>15934</v>
      </c>
      <c r="S86" s="1">
        <v>11847</v>
      </c>
      <c r="T86" s="1">
        <f t="shared" si="8"/>
        <v>2424</v>
      </c>
      <c r="U86" s="1">
        <f t="shared" si="9"/>
        <v>19465</v>
      </c>
      <c r="V86" s="1">
        <f t="shared" si="10"/>
        <v>58660</v>
      </c>
      <c r="W86" s="1">
        <f t="shared" si="11"/>
        <v>65240</v>
      </c>
      <c r="X86" s="1">
        <f t="shared" si="12"/>
        <v>71867</v>
      </c>
      <c r="Y86" s="1">
        <f t="shared" si="13"/>
        <v>217656</v>
      </c>
    </row>
    <row r="87" spans="1:25">
      <c r="A87" s="1">
        <v>2006</v>
      </c>
      <c r="B87" s="1" t="s">
        <v>10</v>
      </c>
      <c r="C87" s="1">
        <v>2554</v>
      </c>
      <c r="D87" s="17">
        <f t="shared" si="7"/>
        <v>510.8</v>
      </c>
      <c r="E87" s="1">
        <v>1921</v>
      </c>
      <c r="F87" s="1">
        <v>4606</v>
      </c>
      <c r="G87" s="1">
        <v>14844</v>
      </c>
      <c r="H87" s="1">
        <v>26241</v>
      </c>
      <c r="I87" s="1">
        <v>31097</v>
      </c>
      <c r="J87" s="1">
        <v>26164</v>
      </c>
      <c r="K87" s="1">
        <v>21912</v>
      </c>
      <c r="L87" s="1">
        <v>17991</v>
      </c>
      <c r="M87" s="1">
        <v>15642</v>
      </c>
      <c r="N87" s="1">
        <v>14206</v>
      </c>
      <c r="O87" s="1">
        <v>13360</v>
      </c>
      <c r="P87" s="1">
        <v>15833</v>
      </c>
      <c r="Q87" s="1">
        <v>15616</v>
      </c>
      <c r="R87" s="1">
        <v>17034</v>
      </c>
      <c r="S87" s="1">
        <v>12358</v>
      </c>
      <c r="T87" s="1">
        <f t="shared" si="8"/>
        <v>2431.8000000000002</v>
      </c>
      <c r="U87" s="1">
        <f t="shared" si="9"/>
        <v>19450</v>
      </c>
      <c r="V87" s="1">
        <f t="shared" si="10"/>
        <v>57338</v>
      </c>
      <c r="W87" s="1">
        <f t="shared" si="11"/>
        <v>66067</v>
      </c>
      <c r="X87" s="1">
        <f t="shared" si="12"/>
        <v>74657</v>
      </c>
      <c r="Y87" s="1">
        <f t="shared" si="13"/>
        <v>219943.8</v>
      </c>
    </row>
    <row r="88" spans="1:25">
      <c r="A88" s="1">
        <v>2007</v>
      </c>
      <c r="B88" s="1" t="s">
        <v>10</v>
      </c>
      <c r="C88" s="1">
        <v>2508</v>
      </c>
      <c r="D88" s="17">
        <f t="shared" si="7"/>
        <v>501.6</v>
      </c>
      <c r="E88" s="1">
        <v>1913</v>
      </c>
      <c r="F88" s="1">
        <v>4223</v>
      </c>
      <c r="G88" s="1">
        <v>13812</v>
      </c>
      <c r="H88" s="1">
        <v>24682</v>
      </c>
      <c r="I88" s="1">
        <v>29247</v>
      </c>
      <c r="J88" s="1">
        <v>24972</v>
      </c>
      <c r="K88" s="1">
        <v>21288</v>
      </c>
      <c r="L88" s="1">
        <v>17972</v>
      </c>
      <c r="M88" s="1">
        <v>15693</v>
      </c>
      <c r="N88" s="1">
        <v>14666</v>
      </c>
      <c r="O88" s="1">
        <v>13517</v>
      </c>
      <c r="P88" s="1">
        <v>15884</v>
      </c>
      <c r="Q88" s="1">
        <v>15878</v>
      </c>
      <c r="R88" s="1">
        <v>17109</v>
      </c>
      <c r="S88" s="1">
        <v>12951</v>
      </c>
      <c r="T88" s="1">
        <f t="shared" si="8"/>
        <v>2414.6</v>
      </c>
      <c r="U88" s="1">
        <f t="shared" si="9"/>
        <v>18035</v>
      </c>
      <c r="V88" s="1">
        <f t="shared" si="10"/>
        <v>53929</v>
      </c>
      <c r="W88" s="1">
        <f t="shared" si="11"/>
        <v>64232</v>
      </c>
      <c r="X88" s="1">
        <f t="shared" si="12"/>
        <v>75638</v>
      </c>
      <c r="Y88" s="1">
        <f t="shared" si="13"/>
        <v>214248.6</v>
      </c>
    </row>
    <row r="89" spans="1:25">
      <c r="A89" s="1">
        <v>2008</v>
      </c>
      <c r="B89" s="1" t="s">
        <v>10</v>
      </c>
      <c r="C89" s="1">
        <v>2311</v>
      </c>
      <c r="D89" s="17">
        <f t="shared" si="7"/>
        <v>462.2</v>
      </c>
      <c r="E89" s="1">
        <v>1894</v>
      </c>
      <c r="F89" s="1">
        <v>4144</v>
      </c>
      <c r="G89" s="1">
        <v>12963</v>
      </c>
      <c r="H89" s="1">
        <v>23648</v>
      </c>
      <c r="I89" s="1">
        <v>27391</v>
      </c>
      <c r="J89" s="1">
        <v>24497</v>
      </c>
      <c r="K89" s="1">
        <v>20321</v>
      </c>
      <c r="L89" s="1">
        <v>17638</v>
      </c>
      <c r="M89" s="1">
        <v>15634</v>
      </c>
      <c r="N89" s="1">
        <v>15012</v>
      </c>
      <c r="O89" s="1">
        <v>13959</v>
      </c>
      <c r="P89" s="1">
        <v>15667</v>
      </c>
      <c r="Q89" s="1">
        <v>15369</v>
      </c>
      <c r="R89" s="1">
        <v>17255</v>
      </c>
      <c r="S89" s="1">
        <v>13898</v>
      </c>
      <c r="T89" s="1">
        <f t="shared" si="8"/>
        <v>2356.1999999999998</v>
      </c>
      <c r="U89" s="1">
        <f t="shared" si="9"/>
        <v>17107</v>
      </c>
      <c r="V89" s="1">
        <f t="shared" si="10"/>
        <v>51039</v>
      </c>
      <c r="W89" s="1">
        <f t="shared" si="11"/>
        <v>62456</v>
      </c>
      <c r="X89" s="1">
        <f t="shared" si="12"/>
        <v>75641</v>
      </c>
      <c r="Y89" s="1">
        <f t="shared" si="13"/>
        <v>208599.2</v>
      </c>
    </row>
    <row r="90" spans="1:25">
      <c r="A90" s="1">
        <v>2009</v>
      </c>
      <c r="B90" s="1" t="s">
        <v>10</v>
      </c>
      <c r="C90" s="1">
        <v>2048</v>
      </c>
      <c r="D90" s="17">
        <f t="shared" si="7"/>
        <v>409.6</v>
      </c>
      <c r="E90" s="1">
        <v>2077</v>
      </c>
      <c r="F90" s="1">
        <v>4151</v>
      </c>
      <c r="G90" s="1">
        <v>11870</v>
      </c>
      <c r="H90" s="1">
        <v>21767</v>
      </c>
      <c r="I90" s="1">
        <v>24277</v>
      </c>
      <c r="J90" s="1">
        <v>22449</v>
      </c>
      <c r="K90" s="1">
        <v>19243</v>
      </c>
      <c r="L90" s="1">
        <v>17402</v>
      </c>
      <c r="M90" s="1">
        <v>15630</v>
      </c>
      <c r="N90" s="1">
        <v>15160</v>
      </c>
      <c r="O90" s="1">
        <v>14435</v>
      </c>
      <c r="P90" s="1">
        <v>15764</v>
      </c>
      <c r="Q90" s="1">
        <v>15993</v>
      </c>
      <c r="R90" s="1">
        <v>17833</v>
      </c>
      <c r="S90" s="1">
        <v>15173</v>
      </c>
      <c r="T90" s="1">
        <f t="shared" si="8"/>
        <v>2486.6</v>
      </c>
      <c r="U90" s="1">
        <f t="shared" si="9"/>
        <v>16021</v>
      </c>
      <c r="V90" s="1">
        <f t="shared" si="10"/>
        <v>46044</v>
      </c>
      <c r="W90" s="1">
        <f t="shared" si="11"/>
        <v>59094</v>
      </c>
      <c r="X90" s="1">
        <f t="shared" si="12"/>
        <v>76982</v>
      </c>
      <c r="Y90" s="1">
        <f t="shared" si="13"/>
        <v>200627.6</v>
      </c>
    </row>
    <row r="91" spans="1:25">
      <c r="A91" s="1">
        <v>2010</v>
      </c>
      <c r="B91" s="1" t="s">
        <v>10</v>
      </c>
      <c r="C91" s="1">
        <v>2127</v>
      </c>
      <c r="D91" s="17">
        <f t="shared" si="7"/>
        <v>425.4</v>
      </c>
      <c r="E91" s="1">
        <v>2134</v>
      </c>
      <c r="F91" s="1">
        <v>3984</v>
      </c>
      <c r="G91" s="1">
        <v>10743</v>
      </c>
      <c r="H91" s="1">
        <v>19559</v>
      </c>
      <c r="I91" s="1">
        <v>21491</v>
      </c>
      <c r="J91" s="1">
        <v>20448</v>
      </c>
      <c r="K91" s="1">
        <v>17709</v>
      </c>
      <c r="L91" s="1">
        <v>16416</v>
      </c>
      <c r="M91" s="1">
        <v>15265</v>
      </c>
      <c r="N91" s="1">
        <v>14366</v>
      </c>
      <c r="O91" s="1">
        <v>14840</v>
      </c>
      <c r="P91" s="1">
        <v>14636</v>
      </c>
      <c r="Q91" s="1">
        <v>16742</v>
      </c>
      <c r="R91" s="1">
        <v>16167</v>
      </c>
      <c r="S91" s="1">
        <v>16259</v>
      </c>
      <c r="T91" s="1">
        <f t="shared" si="8"/>
        <v>2559.4</v>
      </c>
      <c r="U91" s="1">
        <f t="shared" si="9"/>
        <v>14727</v>
      </c>
      <c r="V91" s="1">
        <f t="shared" si="10"/>
        <v>41050</v>
      </c>
      <c r="W91" s="1">
        <f t="shared" si="11"/>
        <v>54573</v>
      </c>
      <c r="X91" s="1">
        <f t="shared" si="12"/>
        <v>75849</v>
      </c>
      <c r="Y91" s="1">
        <f t="shared" si="13"/>
        <v>188758.39999999999</v>
      </c>
    </row>
    <row r="92" spans="1:25">
      <c r="A92" s="1">
        <v>2011</v>
      </c>
      <c r="B92" s="1" t="s">
        <v>10</v>
      </c>
      <c r="C92" s="1">
        <v>2053</v>
      </c>
      <c r="D92" s="17">
        <f t="shared" si="7"/>
        <v>410.6</v>
      </c>
      <c r="E92" s="1">
        <v>1816</v>
      </c>
      <c r="F92" s="1">
        <v>3576</v>
      </c>
      <c r="G92" s="1">
        <v>8959</v>
      </c>
      <c r="H92" s="1">
        <v>16244</v>
      </c>
      <c r="I92" s="1">
        <v>17907</v>
      </c>
      <c r="J92" s="1">
        <v>17579</v>
      </c>
      <c r="K92" s="1">
        <v>15592</v>
      </c>
      <c r="L92" s="1">
        <v>15027</v>
      </c>
      <c r="M92" s="1">
        <v>14460</v>
      </c>
      <c r="N92" s="1">
        <v>14333</v>
      </c>
      <c r="O92" s="1">
        <v>15082</v>
      </c>
      <c r="P92" s="1">
        <v>14360</v>
      </c>
      <c r="Q92" s="1">
        <v>16943</v>
      </c>
      <c r="R92" s="1">
        <v>16578</v>
      </c>
      <c r="S92" s="1">
        <v>16815</v>
      </c>
      <c r="T92" s="1">
        <f t="shared" si="8"/>
        <v>2226.6</v>
      </c>
      <c r="U92" s="1">
        <f t="shared" si="9"/>
        <v>12535</v>
      </c>
      <c r="V92" s="1">
        <f t="shared" si="10"/>
        <v>34151</v>
      </c>
      <c r="W92" s="1">
        <f t="shared" si="11"/>
        <v>48198</v>
      </c>
      <c r="X92" s="1">
        <f t="shared" si="12"/>
        <v>75178</v>
      </c>
      <c r="Y92" s="1">
        <f t="shared" si="13"/>
        <v>172288.6</v>
      </c>
    </row>
    <row r="93" spans="1:25">
      <c r="A93" s="1">
        <v>2012</v>
      </c>
      <c r="B93" s="1" t="s">
        <v>10</v>
      </c>
      <c r="C93" s="1">
        <v>2255</v>
      </c>
      <c r="D93" s="17">
        <f t="shared" si="7"/>
        <v>451</v>
      </c>
      <c r="E93" s="1">
        <v>1910</v>
      </c>
      <c r="F93" s="1">
        <v>3431</v>
      </c>
      <c r="G93" s="1">
        <v>7863</v>
      </c>
      <c r="H93" s="1">
        <v>14285</v>
      </c>
      <c r="I93" s="1">
        <v>16180</v>
      </c>
      <c r="J93" s="1">
        <v>15770</v>
      </c>
      <c r="K93" s="1">
        <v>14139</v>
      </c>
      <c r="L93" s="1">
        <v>13719</v>
      </c>
      <c r="M93" s="1">
        <v>13790</v>
      </c>
      <c r="N93" s="1">
        <v>13571</v>
      </c>
      <c r="O93" s="1">
        <v>14493</v>
      </c>
      <c r="P93" s="1">
        <v>13945</v>
      </c>
      <c r="Q93" s="1">
        <v>16451</v>
      </c>
      <c r="R93" s="1">
        <v>16391</v>
      </c>
      <c r="S93" s="1">
        <v>16790</v>
      </c>
      <c r="T93" s="1">
        <f t="shared" si="8"/>
        <v>2361</v>
      </c>
      <c r="U93" s="1">
        <f t="shared" si="9"/>
        <v>11294</v>
      </c>
      <c r="V93" s="1">
        <f t="shared" si="10"/>
        <v>30465</v>
      </c>
      <c r="W93" s="1">
        <f t="shared" si="11"/>
        <v>43628</v>
      </c>
      <c r="X93" s="1">
        <f t="shared" si="12"/>
        <v>72250</v>
      </c>
      <c r="Y93" s="1">
        <f t="shared" si="13"/>
        <v>159998</v>
      </c>
    </row>
    <row r="94" spans="1:25">
      <c r="A94" s="1">
        <v>2013</v>
      </c>
      <c r="B94" s="1" t="s">
        <v>10</v>
      </c>
      <c r="C94" s="1">
        <v>1590</v>
      </c>
      <c r="D94" s="17">
        <f t="shared" si="7"/>
        <v>318</v>
      </c>
      <c r="E94" s="1">
        <v>1533</v>
      </c>
      <c r="F94" s="1">
        <v>3105</v>
      </c>
      <c r="G94" s="1">
        <v>7103</v>
      </c>
      <c r="H94" s="1">
        <v>12348</v>
      </c>
      <c r="I94" s="1">
        <v>14450</v>
      </c>
      <c r="J94" s="1">
        <v>14061</v>
      </c>
      <c r="K94" s="1">
        <v>13416</v>
      </c>
      <c r="L94" s="1">
        <v>13004</v>
      </c>
      <c r="M94" s="1">
        <v>13486</v>
      </c>
      <c r="N94" s="1">
        <v>13527</v>
      </c>
      <c r="O94" s="1">
        <v>14765</v>
      </c>
      <c r="P94" s="1">
        <v>14162</v>
      </c>
      <c r="Q94" s="1">
        <v>16574</v>
      </c>
      <c r="R94" s="1">
        <v>16055</v>
      </c>
      <c r="S94" s="1">
        <v>16859</v>
      </c>
      <c r="T94" s="1">
        <f t="shared" si="8"/>
        <v>1851</v>
      </c>
      <c r="U94" s="1">
        <f t="shared" si="9"/>
        <v>10208</v>
      </c>
      <c r="V94" s="1">
        <f t="shared" si="10"/>
        <v>26798</v>
      </c>
      <c r="W94" s="1">
        <f t="shared" si="11"/>
        <v>40481</v>
      </c>
      <c r="X94" s="1">
        <f t="shared" si="12"/>
        <v>72514</v>
      </c>
      <c r="Y94" s="1">
        <f t="shared" si="13"/>
        <v>151852</v>
      </c>
    </row>
    <row r="95" spans="1:25">
      <c r="A95" s="1">
        <v>2014</v>
      </c>
      <c r="B95" s="1" t="s">
        <v>10</v>
      </c>
      <c r="C95" s="1">
        <v>1436</v>
      </c>
      <c r="D95" s="17">
        <f t="shared" si="7"/>
        <v>287.2</v>
      </c>
      <c r="E95" s="1">
        <v>1429</v>
      </c>
      <c r="F95" s="1">
        <v>3149</v>
      </c>
      <c r="G95" s="1">
        <v>6256</v>
      </c>
      <c r="H95" s="1">
        <v>11051</v>
      </c>
      <c r="I95" s="1">
        <v>13748</v>
      </c>
      <c r="J95" s="1">
        <v>13099</v>
      </c>
      <c r="K95" s="1">
        <v>12771</v>
      </c>
      <c r="L95" s="1">
        <v>12614</v>
      </c>
      <c r="M95" s="1">
        <v>13484</v>
      </c>
      <c r="N95" s="1">
        <v>13966</v>
      </c>
      <c r="O95" s="1">
        <v>15498</v>
      </c>
      <c r="P95" s="1">
        <v>15127</v>
      </c>
      <c r="Q95" s="1">
        <v>16755</v>
      </c>
      <c r="R95" s="1">
        <v>16578</v>
      </c>
      <c r="S95" s="1">
        <v>17212</v>
      </c>
      <c r="T95" s="1">
        <f t="shared" si="8"/>
        <v>1716.2</v>
      </c>
      <c r="U95" s="1">
        <f t="shared" si="9"/>
        <v>9405</v>
      </c>
      <c r="V95" s="1">
        <f t="shared" si="10"/>
        <v>24799</v>
      </c>
      <c r="W95" s="1">
        <f t="shared" si="11"/>
        <v>38484</v>
      </c>
      <c r="X95" s="1">
        <f t="shared" si="12"/>
        <v>74830</v>
      </c>
      <c r="Y95" s="1">
        <f t="shared" si="13"/>
        <v>149234.20000000001</v>
      </c>
    </row>
    <row r="96" spans="1:25">
      <c r="A96" s="1">
        <v>2015</v>
      </c>
      <c r="B96" s="1" t="s">
        <v>10</v>
      </c>
      <c r="C96" s="1">
        <v>1369</v>
      </c>
      <c r="D96" s="17">
        <f t="shared" si="7"/>
        <v>273.8</v>
      </c>
      <c r="E96" s="1">
        <v>1404</v>
      </c>
      <c r="F96" s="1">
        <v>2900</v>
      </c>
      <c r="G96" s="1">
        <v>5846</v>
      </c>
      <c r="H96" s="1">
        <v>10143</v>
      </c>
      <c r="I96" s="1">
        <v>12762</v>
      </c>
      <c r="J96" s="1">
        <v>12491</v>
      </c>
      <c r="K96" s="1">
        <v>12332</v>
      </c>
      <c r="L96" s="1">
        <v>12355</v>
      </c>
      <c r="M96" s="1">
        <v>13372</v>
      </c>
      <c r="N96" s="1">
        <v>14303</v>
      </c>
      <c r="O96" s="1">
        <v>15611</v>
      </c>
      <c r="P96" s="1">
        <v>16015</v>
      </c>
      <c r="Q96" s="1">
        <v>16017</v>
      </c>
      <c r="R96" s="1">
        <v>18000</v>
      </c>
      <c r="S96" s="1">
        <v>16377</v>
      </c>
      <c r="T96" s="1">
        <f t="shared" si="8"/>
        <v>1677.8</v>
      </c>
      <c r="U96" s="1">
        <f t="shared" si="9"/>
        <v>8746</v>
      </c>
      <c r="V96" s="1">
        <f t="shared" si="10"/>
        <v>22905</v>
      </c>
      <c r="W96" s="1">
        <f t="shared" si="11"/>
        <v>37178</v>
      </c>
      <c r="X96" s="1">
        <f t="shared" si="12"/>
        <v>75318</v>
      </c>
      <c r="Y96" s="1">
        <f t="shared" si="13"/>
        <v>145824.79999999999</v>
      </c>
    </row>
    <row r="97" spans="1:25">
      <c r="A97" s="1">
        <v>2016</v>
      </c>
      <c r="B97" s="1" t="s">
        <v>10</v>
      </c>
      <c r="C97" s="1">
        <v>1287</v>
      </c>
      <c r="D97" s="17">
        <f t="shared" si="7"/>
        <v>257.39999999999998</v>
      </c>
      <c r="E97" s="1">
        <v>1298</v>
      </c>
      <c r="F97" s="1">
        <v>2781</v>
      </c>
      <c r="G97" s="1">
        <v>5375</v>
      </c>
      <c r="H97" s="1">
        <v>9238</v>
      </c>
      <c r="I97" s="1">
        <v>11769</v>
      </c>
      <c r="J97" s="1">
        <v>11558</v>
      </c>
      <c r="K97" s="1">
        <v>11898</v>
      </c>
      <c r="L97" s="1">
        <v>11656</v>
      </c>
      <c r="M97" s="1">
        <v>13093</v>
      </c>
      <c r="N97" s="1">
        <v>14055</v>
      </c>
      <c r="O97" s="1">
        <v>15633</v>
      </c>
      <c r="P97" s="1">
        <v>16168</v>
      </c>
      <c r="Q97" s="1">
        <v>15632</v>
      </c>
      <c r="R97" s="1">
        <v>17829</v>
      </c>
      <c r="S97" s="1">
        <v>16031</v>
      </c>
      <c r="T97" s="1">
        <f t="shared" si="8"/>
        <v>1555.4</v>
      </c>
      <c r="U97" s="1">
        <f t="shared" si="9"/>
        <v>8156</v>
      </c>
      <c r="V97" s="1">
        <f t="shared" si="10"/>
        <v>21007</v>
      </c>
      <c r="W97" s="1">
        <f t="shared" si="11"/>
        <v>35112</v>
      </c>
      <c r="X97" s="1">
        <f t="shared" si="12"/>
        <v>74581</v>
      </c>
      <c r="Y97" s="1">
        <f t="shared" si="13"/>
        <v>140411.4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2CF9B4-A3A7-CF46-83C7-3CA4E027C9AF}">
  <dimension ref="A1:G34"/>
  <sheetViews>
    <sheetView workbookViewId="0">
      <selection activeCell="F22" sqref="F22"/>
    </sheetView>
  </sheetViews>
  <sheetFormatPr baseColWidth="10" defaultRowHeight="16"/>
  <cols>
    <col min="2" max="2" width="16.6640625" customWidth="1"/>
    <col min="3" max="3" width="18.1640625" customWidth="1"/>
  </cols>
  <sheetData>
    <row r="1" spans="1:7">
      <c r="A1" s="27" t="s">
        <v>12</v>
      </c>
      <c r="B1" s="28" t="s">
        <v>126</v>
      </c>
      <c r="C1" s="55" t="s">
        <v>127</v>
      </c>
      <c r="D1" t="s">
        <v>42</v>
      </c>
      <c r="E1" s="28" t="s">
        <v>128</v>
      </c>
      <c r="F1" t="s">
        <v>129</v>
      </c>
      <c r="G1" t="s">
        <v>8</v>
      </c>
    </row>
    <row r="2" spans="1:7" ht="20">
      <c r="A2" s="2">
        <v>1985</v>
      </c>
      <c r="B2" s="2" t="s">
        <v>11</v>
      </c>
      <c r="C2" s="32">
        <v>0.6</v>
      </c>
      <c r="D2" s="51" t="s">
        <v>199</v>
      </c>
      <c r="E2" s="52">
        <v>0.87</v>
      </c>
      <c r="F2" s="18">
        <f>E2</f>
        <v>0.87</v>
      </c>
      <c r="G2" t="s">
        <v>130</v>
      </c>
    </row>
    <row r="3" spans="1:7" ht="20">
      <c r="A3" s="2">
        <v>1986</v>
      </c>
      <c r="B3" s="2" t="s">
        <v>11</v>
      </c>
      <c r="C3" s="32">
        <v>0.6</v>
      </c>
      <c r="D3" s="51" t="s">
        <v>200</v>
      </c>
      <c r="E3" s="52">
        <v>0.87</v>
      </c>
      <c r="F3" s="18">
        <f>E3</f>
        <v>0.87</v>
      </c>
      <c r="G3" t="s">
        <v>174</v>
      </c>
    </row>
    <row r="4" spans="1:7" ht="37">
      <c r="A4" s="2">
        <v>1987</v>
      </c>
      <c r="B4" s="2" t="s">
        <v>11</v>
      </c>
      <c r="C4" s="32">
        <v>0.6</v>
      </c>
      <c r="D4" s="51" t="s">
        <v>201</v>
      </c>
      <c r="E4" s="52">
        <v>0.89</v>
      </c>
      <c r="F4" s="18">
        <f>E4</f>
        <v>0.89</v>
      </c>
    </row>
    <row r="5" spans="1:7">
      <c r="A5" s="2">
        <v>1988</v>
      </c>
      <c r="B5" s="2" t="s">
        <v>11</v>
      </c>
      <c r="C5" s="32">
        <v>0.6</v>
      </c>
      <c r="D5" s="2"/>
      <c r="E5" s="2"/>
      <c r="F5" s="2"/>
    </row>
    <row r="6" spans="1:7">
      <c r="A6" s="53">
        <v>1989</v>
      </c>
      <c r="B6" s="52">
        <v>0.6</v>
      </c>
      <c r="C6" s="56">
        <f t="shared" ref="C6:C13" si="0">B6</f>
        <v>0.6</v>
      </c>
      <c r="D6" s="2"/>
      <c r="E6" s="2"/>
      <c r="F6" s="2"/>
    </row>
    <row r="7" spans="1:7">
      <c r="A7" s="54">
        <v>1990</v>
      </c>
      <c r="B7" s="52">
        <v>0.54</v>
      </c>
      <c r="C7" s="56">
        <f t="shared" si="0"/>
        <v>0.54</v>
      </c>
      <c r="D7" s="2"/>
      <c r="E7" s="2"/>
      <c r="F7" s="2"/>
    </row>
    <row r="8" spans="1:7">
      <c r="A8" s="54">
        <v>1991</v>
      </c>
      <c r="B8" s="52">
        <v>0.59</v>
      </c>
      <c r="C8" s="56">
        <f t="shared" si="0"/>
        <v>0.59</v>
      </c>
      <c r="D8" s="2"/>
      <c r="E8" s="2"/>
      <c r="F8" s="2"/>
    </row>
    <row r="9" spans="1:7">
      <c r="A9" s="54">
        <v>1992</v>
      </c>
      <c r="B9" s="52">
        <v>0.61</v>
      </c>
      <c r="C9" s="56">
        <f t="shared" si="0"/>
        <v>0.61</v>
      </c>
      <c r="D9" s="2"/>
      <c r="E9" s="2"/>
      <c r="F9" s="2"/>
    </row>
    <row r="10" spans="1:7">
      <c r="A10" s="54">
        <v>1993</v>
      </c>
      <c r="B10" s="52">
        <v>0.56999999999999995</v>
      </c>
      <c r="C10" s="56">
        <f t="shared" si="0"/>
        <v>0.56999999999999995</v>
      </c>
      <c r="D10" s="2"/>
      <c r="E10" s="2"/>
      <c r="F10" s="2"/>
    </row>
    <row r="11" spans="1:7">
      <c r="A11" s="54">
        <v>1994</v>
      </c>
      <c r="B11" s="52">
        <v>0.73</v>
      </c>
      <c r="C11" s="56">
        <f t="shared" si="0"/>
        <v>0.73</v>
      </c>
      <c r="D11" s="2"/>
      <c r="E11" s="2"/>
      <c r="F11" s="2"/>
    </row>
    <row r="12" spans="1:7">
      <c r="A12" s="54">
        <v>1995</v>
      </c>
      <c r="B12" s="52">
        <v>0.79</v>
      </c>
      <c r="C12" s="56">
        <f t="shared" si="0"/>
        <v>0.79</v>
      </c>
      <c r="D12" s="2"/>
      <c r="E12" s="2"/>
      <c r="F12" s="2"/>
    </row>
    <row r="13" spans="1:7">
      <c r="A13" s="54">
        <v>1996</v>
      </c>
      <c r="B13" s="52">
        <v>0.85</v>
      </c>
      <c r="C13" s="56">
        <f t="shared" si="0"/>
        <v>0.85</v>
      </c>
      <c r="D13" s="2"/>
      <c r="E13" s="2"/>
      <c r="F13" s="2"/>
    </row>
    <row r="14" spans="1:7">
      <c r="A14" s="2">
        <v>1997</v>
      </c>
      <c r="B14" s="2" t="s">
        <v>11</v>
      </c>
      <c r="C14" s="32">
        <v>0.85</v>
      </c>
      <c r="D14" s="2"/>
      <c r="E14" s="2"/>
      <c r="F14" s="2"/>
    </row>
    <row r="15" spans="1:7">
      <c r="A15" s="2">
        <v>1998</v>
      </c>
      <c r="B15" s="2" t="s">
        <v>11</v>
      </c>
      <c r="C15" s="32">
        <v>0.85</v>
      </c>
      <c r="D15" s="2"/>
      <c r="E15" s="2"/>
      <c r="F15" s="2"/>
    </row>
    <row r="16" spans="1:7">
      <c r="A16" s="2">
        <v>1999</v>
      </c>
      <c r="B16" s="2" t="s">
        <v>11</v>
      </c>
      <c r="C16" s="32">
        <v>0.85</v>
      </c>
      <c r="D16" s="2"/>
      <c r="E16" s="2"/>
      <c r="F16" s="2"/>
    </row>
    <row r="17" spans="1:6">
      <c r="A17" s="2">
        <v>2000</v>
      </c>
      <c r="B17" s="2" t="s">
        <v>11</v>
      </c>
      <c r="C17" s="32">
        <v>0.9</v>
      </c>
      <c r="D17" s="2"/>
      <c r="E17" s="2"/>
      <c r="F17" s="2"/>
    </row>
    <row r="18" spans="1:6">
      <c r="A18" s="2">
        <v>2001</v>
      </c>
      <c r="B18" s="2" t="s">
        <v>11</v>
      </c>
      <c r="C18" s="32">
        <v>0.9</v>
      </c>
      <c r="D18" s="2"/>
      <c r="E18" s="2"/>
      <c r="F18" s="2"/>
    </row>
    <row r="19" spans="1:6">
      <c r="A19" s="2">
        <v>2002</v>
      </c>
      <c r="B19" s="2" t="s">
        <v>11</v>
      </c>
      <c r="C19" s="32">
        <v>0.9</v>
      </c>
      <c r="D19" s="2"/>
      <c r="E19" s="2"/>
      <c r="F19" s="2"/>
    </row>
    <row r="20" spans="1:6">
      <c r="A20" s="2">
        <v>2003</v>
      </c>
      <c r="B20" s="2" t="s">
        <v>11</v>
      </c>
      <c r="C20" s="32">
        <v>0.9</v>
      </c>
      <c r="D20" s="2"/>
      <c r="E20" s="2"/>
      <c r="F20" s="2"/>
    </row>
    <row r="21" spans="1:6">
      <c r="A21" s="2">
        <v>2004</v>
      </c>
      <c r="B21" s="2" t="s">
        <v>11</v>
      </c>
      <c r="C21" s="32">
        <v>0.9</v>
      </c>
      <c r="D21" s="2"/>
      <c r="E21" s="2"/>
      <c r="F21" s="2"/>
    </row>
    <row r="22" spans="1:6">
      <c r="A22" s="2">
        <v>2005</v>
      </c>
      <c r="B22" s="2" t="s">
        <v>11</v>
      </c>
      <c r="C22" s="32">
        <v>0.95</v>
      </c>
      <c r="D22" s="2"/>
      <c r="E22" s="2"/>
      <c r="F22" s="2"/>
    </row>
    <row r="23" spans="1:6">
      <c r="A23" s="2">
        <v>2006</v>
      </c>
      <c r="B23" s="2" t="s">
        <v>11</v>
      </c>
      <c r="C23" s="32">
        <v>0.95</v>
      </c>
      <c r="D23" s="2"/>
      <c r="E23" s="2"/>
      <c r="F23" s="2"/>
    </row>
    <row r="24" spans="1:6">
      <c r="A24" s="2">
        <v>2007</v>
      </c>
      <c r="B24" s="2" t="s">
        <v>11</v>
      </c>
      <c r="C24" s="32">
        <v>0.95</v>
      </c>
      <c r="D24" s="2"/>
      <c r="E24" s="2"/>
      <c r="F24" s="2"/>
    </row>
    <row r="25" spans="1:6">
      <c r="A25" s="2">
        <v>2008</v>
      </c>
      <c r="B25" s="2" t="s">
        <v>11</v>
      </c>
      <c r="C25" s="32">
        <v>0.95</v>
      </c>
      <c r="D25" s="2"/>
      <c r="E25" s="2"/>
      <c r="F25" s="2"/>
    </row>
    <row r="26" spans="1:6">
      <c r="A26" s="2">
        <v>2009</v>
      </c>
      <c r="B26" s="2" t="s">
        <v>11</v>
      </c>
      <c r="C26" s="32">
        <v>0.95</v>
      </c>
      <c r="D26" s="2"/>
      <c r="E26" s="2"/>
      <c r="F26" s="2"/>
    </row>
    <row r="27" spans="1:6">
      <c r="A27" s="2">
        <v>2010</v>
      </c>
      <c r="B27" s="2" t="s">
        <v>11</v>
      </c>
      <c r="C27" s="32">
        <v>0.97</v>
      </c>
      <c r="D27" s="2"/>
      <c r="E27" s="2"/>
      <c r="F27" s="2"/>
    </row>
    <row r="28" spans="1:6">
      <c r="A28" s="2">
        <v>2011</v>
      </c>
      <c r="B28" s="2" t="s">
        <v>11</v>
      </c>
      <c r="C28" s="32">
        <v>0.97</v>
      </c>
      <c r="D28" s="2"/>
      <c r="E28" s="2"/>
      <c r="F28" s="2"/>
    </row>
    <row r="29" spans="1:6">
      <c r="A29" s="2">
        <v>2012</v>
      </c>
      <c r="B29" s="2" t="s">
        <v>11</v>
      </c>
      <c r="C29" s="32">
        <v>0.97</v>
      </c>
      <c r="D29" s="2"/>
      <c r="E29" s="2"/>
      <c r="F29" s="2"/>
    </row>
    <row r="30" spans="1:6">
      <c r="A30" s="2">
        <v>2013</v>
      </c>
      <c r="B30" s="2" t="s">
        <v>11</v>
      </c>
      <c r="C30" s="32">
        <v>0.97</v>
      </c>
      <c r="D30" s="2"/>
      <c r="E30" s="2"/>
      <c r="F30" s="2"/>
    </row>
    <row r="31" spans="1:6">
      <c r="A31" s="2">
        <v>2014</v>
      </c>
      <c r="B31" s="2" t="s">
        <v>11</v>
      </c>
      <c r="C31" s="32">
        <v>0.97</v>
      </c>
      <c r="D31" s="2"/>
      <c r="E31" s="2"/>
      <c r="F31" s="2"/>
    </row>
    <row r="32" spans="1:6">
      <c r="A32" s="2">
        <v>2015</v>
      </c>
      <c r="B32" s="2" t="s">
        <v>11</v>
      </c>
      <c r="C32" s="32">
        <v>0.97</v>
      </c>
      <c r="D32" s="2"/>
      <c r="E32" s="2"/>
      <c r="F32" s="2"/>
    </row>
    <row r="33" spans="1:6">
      <c r="A33" s="2">
        <v>2016</v>
      </c>
      <c r="B33" s="2" t="s">
        <v>11</v>
      </c>
      <c r="C33" s="32">
        <v>0.97</v>
      </c>
      <c r="D33" s="2"/>
      <c r="E33" s="2"/>
      <c r="F33" s="2"/>
    </row>
    <row r="34" spans="1:6">
      <c r="A34" s="2"/>
      <c r="B34" s="2"/>
      <c r="C34" s="2"/>
      <c r="D34" s="2"/>
      <c r="E34" s="2"/>
      <c r="F34" s="2"/>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D405CB-F0FC-134F-AC24-D5434087482D}">
  <dimension ref="A1:W71"/>
  <sheetViews>
    <sheetView workbookViewId="0">
      <pane xSplit="2" ySplit="1" topLeftCell="C18" activePane="bottomRight" state="frozen"/>
      <selection pane="topRight" activeCell="C1" sqref="C1"/>
      <selection pane="bottomLeft" activeCell="A2" sqref="A2"/>
      <selection pane="bottomRight" activeCell="O23" sqref="O23"/>
    </sheetView>
  </sheetViews>
  <sheetFormatPr baseColWidth="10" defaultRowHeight="16"/>
  <cols>
    <col min="1" max="1" width="10.83203125" style="2"/>
    <col min="2" max="3" width="10" style="2" customWidth="1"/>
    <col min="4" max="11" width="15.83203125" style="2" customWidth="1"/>
    <col min="12" max="12" width="15.6640625" style="2" customWidth="1"/>
    <col min="13" max="13" width="10" style="2" customWidth="1"/>
    <col min="14" max="21" width="16.1640625" style="2" customWidth="1"/>
    <col min="22" max="23" width="12" style="2" customWidth="1"/>
    <col min="24" max="81" width="7" style="2" customWidth="1"/>
    <col min="82" max="16384" width="10.83203125" style="2"/>
  </cols>
  <sheetData>
    <row r="1" spans="1:23">
      <c r="A1" s="24" t="s">
        <v>1</v>
      </c>
      <c r="B1" s="24" t="s">
        <v>2</v>
      </c>
      <c r="C1" s="24" t="s">
        <v>147</v>
      </c>
      <c r="D1" s="24" t="s">
        <v>148</v>
      </c>
      <c r="E1" s="24" t="s">
        <v>149</v>
      </c>
      <c r="F1" s="24" t="s">
        <v>150</v>
      </c>
      <c r="G1" s="24" t="s">
        <v>151</v>
      </c>
      <c r="H1" s="24" t="s">
        <v>152</v>
      </c>
      <c r="I1" s="24" t="s">
        <v>153</v>
      </c>
      <c r="J1" s="24" t="s">
        <v>154</v>
      </c>
      <c r="K1" s="24" t="s">
        <v>155</v>
      </c>
      <c r="L1" s="60" t="s">
        <v>193</v>
      </c>
      <c r="M1" s="60" t="s">
        <v>194</v>
      </c>
      <c r="N1" s="2" t="s">
        <v>8</v>
      </c>
      <c r="O1" s="20" t="s">
        <v>195</v>
      </c>
      <c r="P1" s="20" t="s">
        <v>196</v>
      </c>
      <c r="U1" s="24"/>
      <c r="V1" s="24"/>
      <c r="W1" s="24"/>
    </row>
    <row r="2" spans="1:23">
      <c r="A2" s="4" t="s">
        <v>49</v>
      </c>
      <c r="B2" s="2" t="s">
        <v>10</v>
      </c>
      <c r="C2" s="45" t="s">
        <v>80</v>
      </c>
      <c r="D2" s="45" t="s">
        <v>80</v>
      </c>
      <c r="E2" s="45" t="s">
        <v>51</v>
      </c>
      <c r="F2" s="45" t="s">
        <v>80</v>
      </c>
      <c r="G2" s="45" t="s">
        <v>80</v>
      </c>
      <c r="H2" s="45" t="s">
        <v>50</v>
      </c>
      <c r="I2" s="45" t="s">
        <v>50</v>
      </c>
      <c r="J2" s="45" t="s">
        <v>51</v>
      </c>
      <c r="K2" s="45" t="s">
        <v>50</v>
      </c>
      <c r="L2" s="2">
        <v>0</v>
      </c>
      <c r="M2" s="2">
        <v>499</v>
      </c>
      <c r="N2" s="2" t="s">
        <v>85</v>
      </c>
      <c r="O2" s="2">
        <v>0</v>
      </c>
      <c r="P2" s="2">
        <v>1500</v>
      </c>
    </row>
    <row r="3" spans="1:23">
      <c r="A3" s="4" t="s">
        <v>53</v>
      </c>
      <c r="B3" s="2" t="s">
        <v>10</v>
      </c>
      <c r="C3" s="45" t="s">
        <v>80</v>
      </c>
      <c r="D3" s="45" t="s">
        <v>80</v>
      </c>
      <c r="E3" s="45" t="s">
        <v>50</v>
      </c>
      <c r="F3" s="45" t="s">
        <v>51</v>
      </c>
      <c r="G3" s="45" t="s">
        <v>80</v>
      </c>
      <c r="H3" s="45" t="s">
        <v>50</v>
      </c>
      <c r="I3" s="45" t="s">
        <v>52</v>
      </c>
      <c r="J3" s="45" t="s">
        <v>50</v>
      </c>
      <c r="K3" s="45" t="s">
        <v>52</v>
      </c>
      <c r="L3" s="2">
        <v>0</v>
      </c>
      <c r="M3" s="2">
        <v>999</v>
      </c>
      <c r="N3" s="2" t="s">
        <v>197</v>
      </c>
      <c r="O3" s="2">
        <v>0</v>
      </c>
      <c r="P3" s="2">
        <v>1900</v>
      </c>
    </row>
    <row r="4" spans="1:23">
      <c r="A4" s="4" t="s">
        <v>54</v>
      </c>
      <c r="B4" s="2" t="s">
        <v>10</v>
      </c>
      <c r="C4" s="45" t="s">
        <v>80</v>
      </c>
      <c r="D4" s="45" t="s">
        <v>80</v>
      </c>
      <c r="E4" s="45" t="s">
        <v>50</v>
      </c>
      <c r="F4" s="45" t="s">
        <v>50</v>
      </c>
      <c r="G4" s="45" t="s">
        <v>80</v>
      </c>
      <c r="H4" s="45" t="s">
        <v>52</v>
      </c>
      <c r="I4" s="45">
        <v>1000</v>
      </c>
      <c r="J4" s="45" t="s">
        <v>50</v>
      </c>
      <c r="K4" s="45">
        <v>1700</v>
      </c>
      <c r="L4" s="2">
        <v>0</v>
      </c>
      <c r="M4" s="2">
        <f t="shared" ref="M4:M30" si="0">K4</f>
        <v>1700</v>
      </c>
      <c r="N4" s="2" t="s">
        <v>198</v>
      </c>
      <c r="O4" s="2">
        <v>0</v>
      </c>
      <c r="P4" s="2">
        <v>3600</v>
      </c>
    </row>
    <row r="5" spans="1:23">
      <c r="A5" s="4" t="s">
        <v>55</v>
      </c>
      <c r="B5" s="2" t="s">
        <v>10</v>
      </c>
      <c r="C5" s="45" t="s">
        <v>51</v>
      </c>
      <c r="D5" s="45" t="s">
        <v>80</v>
      </c>
      <c r="E5" s="45" t="s">
        <v>52</v>
      </c>
      <c r="F5" s="45" t="s">
        <v>52</v>
      </c>
      <c r="G5" s="45" t="s">
        <v>51</v>
      </c>
      <c r="H5" s="45">
        <v>1600</v>
      </c>
      <c r="I5" s="45">
        <v>1900</v>
      </c>
      <c r="J5" s="45" t="s">
        <v>52</v>
      </c>
      <c r="K5" s="45">
        <v>3200</v>
      </c>
      <c r="L5" s="2">
        <v>0</v>
      </c>
      <c r="M5" s="2">
        <f>K5</f>
        <v>3200</v>
      </c>
      <c r="O5" s="2">
        <v>1400</v>
      </c>
      <c r="P5" s="2">
        <v>5900</v>
      </c>
    </row>
    <row r="6" spans="1:23">
      <c r="A6" s="4" t="s">
        <v>56</v>
      </c>
      <c r="B6" s="2" t="s">
        <v>10</v>
      </c>
      <c r="C6" s="45" t="s">
        <v>50</v>
      </c>
      <c r="D6" s="45" t="s">
        <v>80</v>
      </c>
      <c r="E6" s="45">
        <v>1200</v>
      </c>
      <c r="F6" s="45" t="s">
        <v>52</v>
      </c>
      <c r="G6" s="45" t="s">
        <v>50</v>
      </c>
      <c r="H6" s="45">
        <v>2700</v>
      </c>
      <c r="I6" s="45">
        <v>3400</v>
      </c>
      <c r="J6" s="45">
        <v>1700</v>
      </c>
      <c r="K6" s="45">
        <v>5700</v>
      </c>
      <c r="L6" s="2">
        <f t="shared" ref="L6:L30" si="1">J6</f>
        <v>1700</v>
      </c>
      <c r="M6" s="2">
        <f t="shared" si="0"/>
        <v>5700</v>
      </c>
      <c r="O6" s="2">
        <v>2600</v>
      </c>
      <c r="P6" s="2">
        <v>10100</v>
      </c>
    </row>
    <row r="7" spans="1:23">
      <c r="A7" s="4" t="s">
        <v>57</v>
      </c>
      <c r="B7" s="2" t="s">
        <v>10</v>
      </c>
      <c r="C7" s="45" t="s">
        <v>50</v>
      </c>
      <c r="D7" s="45" t="s">
        <v>80</v>
      </c>
      <c r="E7" s="45">
        <v>1800</v>
      </c>
      <c r="F7" s="45">
        <v>1600</v>
      </c>
      <c r="G7" s="45" t="s">
        <v>50</v>
      </c>
      <c r="H7" s="45">
        <v>4400</v>
      </c>
      <c r="I7" s="45">
        <v>5900</v>
      </c>
      <c r="J7" s="45">
        <v>2900</v>
      </c>
      <c r="K7" s="45">
        <v>9800</v>
      </c>
      <c r="L7" s="2">
        <f t="shared" si="1"/>
        <v>2900</v>
      </c>
      <c r="M7" s="2">
        <f t="shared" si="0"/>
        <v>9800</v>
      </c>
      <c r="O7" s="2">
        <v>4500</v>
      </c>
      <c r="P7" s="2">
        <v>15800</v>
      </c>
    </row>
    <row r="8" spans="1:23">
      <c r="A8" s="4" t="s">
        <v>58</v>
      </c>
      <c r="B8" s="2" t="s">
        <v>10</v>
      </c>
      <c r="C8" s="45" t="s">
        <v>52</v>
      </c>
      <c r="D8" s="45" t="s">
        <v>80</v>
      </c>
      <c r="E8" s="45">
        <v>2600</v>
      </c>
      <c r="F8" s="45">
        <v>2400</v>
      </c>
      <c r="G8" s="45" t="s">
        <v>52</v>
      </c>
      <c r="H8" s="45">
        <v>6500</v>
      </c>
      <c r="I8" s="45">
        <v>9600</v>
      </c>
      <c r="J8" s="45">
        <v>4900</v>
      </c>
      <c r="K8" s="45">
        <v>16000</v>
      </c>
      <c r="L8" s="2">
        <f t="shared" si="1"/>
        <v>4900</v>
      </c>
      <c r="M8" s="2">
        <f t="shared" si="0"/>
        <v>16000</v>
      </c>
      <c r="O8" s="2">
        <v>7600</v>
      </c>
      <c r="P8" s="2">
        <v>23700</v>
      </c>
    </row>
    <row r="9" spans="1:23">
      <c r="A9" s="4" t="s">
        <v>59</v>
      </c>
      <c r="B9" s="2" t="s">
        <v>10</v>
      </c>
      <c r="C9" s="45" t="s">
        <v>52</v>
      </c>
      <c r="D9" s="45" t="s">
        <v>80</v>
      </c>
      <c r="E9" s="45">
        <v>3400</v>
      </c>
      <c r="F9" s="45">
        <v>3400</v>
      </c>
      <c r="G9" s="45" t="s">
        <v>52</v>
      </c>
      <c r="H9" s="45">
        <v>9000</v>
      </c>
      <c r="I9" s="45">
        <v>15000</v>
      </c>
      <c r="J9" s="45">
        <v>8000</v>
      </c>
      <c r="K9" s="45">
        <v>23000</v>
      </c>
      <c r="L9" s="2">
        <f t="shared" si="1"/>
        <v>8000</v>
      </c>
      <c r="M9" s="2">
        <f t="shared" si="0"/>
        <v>23000</v>
      </c>
      <c r="O9" s="2">
        <v>12200</v>
      </c>
      <c r="P9" s="2">
        <v>34500</v>
      </c>
    </row>
    <row r="10" spans="1:23">
      <c r="A10" s="4" t="s">
        <v>60</v>
      </c>
      <c r="B10" s="2" t="s">
        <v>10</v>
      </c>
      <c r="C10" s="45">
        <v>1000</v>
      </c>
      <c r="D10" s="45" t="s">
        <v>80</v>
      </c>
      <c r="E10" s="45">
        <v>4000</v>
      </c>
      <c r="F10" s="45">
        <v>4500</v>
      </c>
      <c r="G10" s="45">
        <v>1200</v>
      </c>
      <c r="H10" s="45">
        <v>12000</v>
      </c>
      <c r="I10" s="45">
        <v>22000</v>
      </c>
      <c r="J10" s="45">
        <v>12000</v>
      </c>
      <c r="K10" s="45">
        <v>33000</v>
      </c>
      <c r="L10" s="2">
        <f t="shared" si="1"/>
        <v>12000</v>
      </c>
      <c r="M10" s="2">
        <f t="shared" si="0"/>
        <v>33000</v>
      </c>
      <c r="O10" s="2">
        <v>18200</v>
      </c>
      <c r="P10" s="2">
        <v>46000</v>
      </c>
    </row>
    <row r="11" spans="1:23">
      <c r="A11" s="4" t="s">
        <v>61</v>
      </c>
      <c r="B11" s="2" t="s">
        <v>10</v>
      </c>
      <c r="C11" s="45">
        <v>1200</v>
      </c>
      <c r="D11" s="45" t="s">
        <v>80</v>
      </c>
      <c r="E11" s="45">
        <v>4600</v>
      </c>
      <c r="F11" s="45">
        <v>5700</v>
      </c>
      <c r="G11" s="45">
        <v>1400</v>
      </c>
      <c r="H11" s="45">
        <v>14000</v>
      </c>
      <c r="I11" s="45">
        <v>31000</v>
      </c>
      <c r="J11" s="45">
        <v>18000</v>
      </c>
      <c r="K11" s="45">
        <v>47000</v>
      </c>
      <c r="L11" s="2">
        <f t="shared" si="1"/>
        <v>18000</v>
      </c>
      <c r="M11" s="2">
        <f t="shared" si="0"/>
        <v>47000</v>
      </c>
      <c r="O11" s="2">
        <v>25500</v>
      </c>
      <c r="P11" s="2">
        <v>59200</v>
      </c>
    </row>
    <row r="12" spans="1:23">
      <c r="A12" s="4" t="s">
        <v>62</v>
      </c>
      <c r="B12" s="2" t="s">
        <v>10</v>
      </c>
      <c r="C12" s="45">
        <v>1300</v>
      </c>
      <c r="D12" s="45" t="s">
        <v>80</v>
      </c>
      <c r="E12" s="45">
        <v>5000</v>
      </c>
      <c r="F12" s="45">
        <v>6800</v>
      </c>
      <c r="G12" s="45">
        <v>1600</v>
      </c>
      <c r="H12" s="45">
        <v>17000</v>
      </c>
      <c r="I12" s="45">
        <v>42000</v>
      </c>
      <c r="J12" s="45">
        <v>25000</v>
      </c>
      <c r="K12" s="45">
        <v>62000</v>
      </c>
      <c r="L12" s="2">
        <f t="shared" si="1"/>
        <v>25000</v>
      </c>
      <c r="M12" s="2">
        <f t="shared" si="0"/>
        <v>62000</v>
      </c>
      <c r="O12" s="2">
        <v>34500</v>
      </c>
      <c r="P12" s="2">
        <v>73000</v>
      </c>
    </row>
    <row r="13" spans="1:23">
      <c r="A13" s="4" t="s">
        <v>63</v>
      </c>
      <c r="B13" s="2" t="s">
        <v>10</v>
      </c>
      <c r="C13" s="45">
        <v>1400</v>
      </c>
      <c r="D13" s="45" t="s">
        <v>51</v>
      </c>
      <c r="E13" s="45">
        <v>5100</v>
      </c>
      <c r="F13" s="45">
        <v>7700</v>
      </c>
      <c r="G13" s="45">
        <v>1700</v>
      </c>
      <c r="H13" s="45">
        <v>18000</v>
      </c>
      <c r="I13" s="45">
        <v>55000</v>
      </c>
      <c r="J13" s="45">
        <v>33000</v>
      </c>
      <c r="K13" s="45">
        <v>77000</v>
      </c>
      <c r="L13" s="2">
        <f t="shared" si="1"/>
        <v>33000</v>
      </c>
      <c r="M13" s="2">
        <f t="shared" si="0"/>
        <v>77000</v>
      </c>
      <c r="O13" s="2">
        <v>45000</v>
      </c>
      <c r="P13" s="2">
        <v>89700</v>
      </c>
    </row>
    <row r="14" spans="1:23">
      <c r="A14" s="4" t="s">
        <v>64</v>
      </c>
      <c r="B14" s="2" t="s">
        <v>10</v>
      </c>
      <c r="C14" s="45">
        <v>1500</v>
      </c>
      <c r="D14" s="45" t="s">
        <v>51</v>
      </c>
      <c r="E14" s="45">
        <v>5200</v>
      </c>
      <c r="F14" s="45">
        <v>8500</v>
      </c>
      <c r="G14" s="45">
        <v>1700</v>
      </c>
      <c r="H14" s="45">
        <v>20000</v>
      </c>
      <c r="I14" s="45">
        <v>68000</v>
      </c>
      <c r="J14" s="45">
        <v>44000</v>
      </c>
      <c r="K14" s="45">
        <v>94000</v>
      </c>
      <c r="L14" s="2">
        <f t="shared" si="1"/>
        <v>44000</v>
      </c>
      <c r="M14" s="2">
        <f t="shared" si="0"/>
        <v>94000</v>
      </c>
      <c r="O14" s="2">
        <v>57000</v>
      </c>
      <c r="P14" s="2">
        <v>104400</v>
      </c>
    </row>
    <row r="15" spans="1:23">
      <c r="A15" s="4" t="s">
        <v>65</v>
      </c>
      <c r="B15" s="2" t="s">
        <v>10</v>
      </c>
      <c r="C15" s="45">
        <v>1600</v>
      </c>
      <c r="D15" s="45" t="s">
        <v>50</v>
      </c>
      <c r="E15" s="45">
        <v>5000</v>
      </c>
      <c r="F15" s="45">
        <v>9100</v>
      </c>
      <c r="G15" s="45">
        <v>1800</v>
      </c>
      <c r="H15" s="45">
        <v>21000</v>
      </c>
      <c r="I15" s="45">
        <v>82000</v>
      </c>
      <c r="J15" s="45">
        <v>56000</v>
      </c>
      <c r="K15" s="45">
        <v>110000</v>
      </c>
      <c r="L15" s="2">
        <f t="shared" si="1"/>
        <v>56000</v>
      </c>
      <c r="M15" s="2">
        <f t="shared" si="0"/>
        <v>110000</v>
      </c>
      <c r="O15" s="2">
        <v>72000</v>
      </c>
      <c r="P15" s="2">
        <v>124100</v>
      </c>
    </row>
    <row r="16" spans="1:23">
      <c r="A16" s="4" t="s">
        <v>66</v>
      </c>
      <c r="B16" s="2" t="s">
        <v>10</v>
      </c>
      <c r="C16" s="45">
        <v>1600</v>
      </c>
      <c r="D16" s="45" t="s">
        <v>50</v>
      </c>
      <c r="E16" s="45">
        <v>4900</v>
      </c>
      <c r="F16" s="45">
        <v>9400</v>
      </c>
      <c r="G16" s="45">
        <v>1700</v>
      </c>
      <c r="H16" s="45">
        <v>21000</v>
      </c>
      <c r="I16" s="45">
        <v>95000</v>
      </c>
      <c r="J16" s="45">
        <v>67000</v>
      </c>
      <c r="K16" s="45">
        <v>120000</v>
      </c>
      <c r="L16" s="2">
        <f t="shared" si="1"/>
        <v>67000</v>
      </c>
      <c r="M16" s="2">
        <f t="shared" si="0"/>
        <v>120000</v>
      </c>
      <c r="O16" s="2">
        <v>88000</v>
      </c>
      <c r="P16" s="2">
        <v>134000</v>
      </c>
    </row>
    <row r="17" spans="1:16">
      <c r="A17" s="4" t="s">
        <v>67</v>
      </c>
      <c r="B17" s="2" t="s">
        <v>10</v>
      </c>
      <c r="C17" s="45">
        <v>1700</v>
      </c>
      <c r="D17" s="45" t="s">
        <v>52</v>
      </c>
      <c r="E17" s="45">
        <v>4800</v>
      </c>
      <c r="F17" s="45">
        <v>9500</v>
      </c>
      <c r="G17" s="45">
        <v>1700</v>
      </c>
      <c r="H17" s="45">
        <v>21000</v>
      </c>
      <c r="I17" s="45">
        <v>99000</v>
      </c>
      <c r="J17" s="45">
        <v>73000</v>
      </c>
      <c r="K17" s="45">
        <v>120000</v>
      </c>
      <c r="L17" s="2">
        <f t="shared" si="1"/>
        <v>73000</v>
      </c>
      <c r="M17" s="2">
        <f t="shared" si="0"/>
        <v>120000</v>
      </c>
      <c r="O17" s="2">
        <v>97000</v>
      </c>
      <c r="P17" s="2">
        <v>143900</v>
      </c>
    </row>
    <row r="18" spans="1:16">
      <c r="A18" s="4" t="s">
        <v>68</v>
      </c>
      <c r="B18" s="2" t="s">
        <v>10</v>
      </c>
      <c r="C18" s="45">
        <v>1800</v>
      </c>
      <c r="D18" s="45" t="s">
        <v>52</v>
      </c>
      <c r="E18" s="45">
        <v>4700</v>
      </c>
      <c r="F18" s="45">
        <v>9300</v>
      </c>
      <c r="G18" s="45">
        <v>1700</v>
      </c>
      <c r="H18" s="45">
        <v>21000</v>
      </c>
      <c r="I18" s="45">
        <v>98000</v>
      </c>
      <c r="J18" s="45">
        <v>74000</v>
      </c>
      <c r="K18" s="45">
        <v>120000</v>
      </c>
      <c r="L18" s="2">
        <f t="shared" si="1"/>
        <v>74000</v>
      </c>
      <c r="M18" s="2">
        <f t="shared" si="0"/>
        <v>120000</v>
      </c>
      <c r="O18" s="2">
        <v>100000</v>
      </c>
      <c r="P18" s="2">
        <v>143800</v>
      </c>
    </row>
    <row r="19" spans="1:16">
      <c r="A19" s="4" t="s">
        <v>69</v>
      </c>
      <c r="B19" s="2" t="s">
        <v>10</v>
      </c>
      <c r="C19" s="45">
        <v>2000</v>
      </c>
      <c r="D19" s="45" t="s">
        <v>52</v>
      </c>
      <c r="E19" s="45">
        <v>4700</v>
      </c>
      <c r="F19" s="45">
        <v>8900</v>
      </c>
      <c r="G19" s="45">
        <v>1600</v>
      </c>
      <c r="H19" s="45">
        <v>20000</v>
      </c>
      <c r="I19" s="45">
        <v>93000</v>
      </c>
      <c r="J19" s="45">
        <v>69000</v>
      </c>
      <c r="K19" s="45">
        <v>110000</v>
      </c>
      <c r="L19" s="2">
        <f t="shared" si="1"/>
        <v>69000</v>
      </c>
      <c r="M19" s="2">
        <f t="shared" si="0"/>
        <v>110000</v>
      </c>
      <c r="O19" s="2">
        <v>100000</v>
      </c>
      <c r="P19" s="2">
        <v>143800</v>
      </c>
    </row>
    <row r="20" spans="1:16">
      <c r="A20" s="4" t="s">
        <v>70</v>
      </c>
      <c r="B20" s="2" t="s">
        <v>10</v>
      </c>
      <c r="C20" s="45">
        <v>2100</v>
      </c>
      <c r="D20" s="45">
        <v>1100</v>
      </c>
      <c r="E20" s="45">
        <v>4700</v>
      </c>
      <c r="F20" s="45">
        <v>8300</v>
      </c>
      <c r="G20" s="45">
        <v>1600</v>
      </c>
      <c r="H20" s="45">
        <v>19000</v>
      </c>
      <c r="I20" s="45">
        <v>84000</v>
      </c>
      <c r="J20" s="45">
        <v>62000</v>
      </c>
      <c r="K20" s="45">
        <v>100000</v>
      </c>
      <c r="L20" s="2">
        <f t="shared" si="1"/>
        <v>62000</v>
      </c>
      <c r="M20" s="2">
        <f t="shared" si="0"/>
        <v>100000</v>
      </c>
      <c r="O20" s="2">
        <v>98000</v>
      </c>
      <c r="P20" s="2">
        <v>123800</v>
      </c>
    </row>
    <row r="21" spans="1:16">
      <c r="A21" s="4" t="s">
        <v>71</v>
      </c>
      <c r="B21" s="2" t="s">
        <v>10</v>
      </c>
      <c r="C21" s="45">
        <v>2200</v>
      </c>
      <c r="D21" s="45">
        <v>1200</v>
      </c>
      <c r="E21" s="45">
        <v>4700</v>
      </c>
      <c r="F21" s="45">
        <v>7800</v>
      </c>
      <c r="G21" s="45">
        <v>1500</v>
      </c>
      <c r="H21" s="45">
        <v>18000</v>
      </c>
      <c r="I21" s="45">
        <v>75000</v>
      </c>
      <c r="J21" s="45">
        <v>55000</v>
      </c>
      <c r="K21" s="45">
        <v>91000</v>
      </c>
      <c r="L21" s="2">
        <f t="shared" si="1"/>
        <v>55000</v>
      </c>
      <c r="M21" s="2">
        <f t="shared" si="0"/>
        <v>91000</v>
      </c>
      <c r="O21" s="2">
        <v>88000</v>
      </c>
      <c r="P21" s="2">
        <v>113800</v>
      </c>
    </row>
    <row r="22" spans="1:16">
      <c r="A22" s="4" t="s">
        <v>72</v>
      </c>
      <c r="B22" s="2" t="s">
        <v>10</v>
      </c>
      <c r="C22" s="45">
        <v>2300</v>
      </c>
      <c r="D22" s="45">
        <v>1300</v>
      </c>
      <c r="E22" s="45">
        <v>4700</v>
      </c>
      <c r="F22" s="45">
        <v>7400</v>
      </c>
      <c r="G22" s="45">
        <v>1500</v>
      </c>
      <c r="H22" s="45">
        <v>18000</v>
      </c>
      <c r="I22" s="45">
        <v>69000</v>
      </c>
      <c r="J22" s="45">
        <v>53000</v>
      </c>
      <c r="K22" s="45">
        <v>84000</v>
      </c>
      <c r="L22" s="2">
        <f t="shared" si="1"/>
        <v>53000</v>
      </c>
      <c r="M22" s="2">
        <f t="shared" si="0"/>
        <v>84000</v>
      </c>
      <c r="O22" s="2">
        <v>82000</v>
      </c>
      <c r="P22" s="2">
        <v>114200</v>
      </c>
    </row>
    <row r="23" spans="1:16">
      <c r="A23" s="4" t="s">
        <v>73</v>
      </c>
      <c r="B23" s="2" t="s">
        <v>10</v>
      </c>
      <c r="C23" s="45">
        <v>2300</v>
      </c>
      <c r="D23" s="45">
        <v>1400</v>
      </c>
      <c r="E23" s="45">
        <v>4600</v>
      </c>
      <c r="F23" s="45">
        <v>6600</v>
      </c>
      <c r="G23" s="45">
        <v>1400</v>
      </c>
      <c r="H23" s="45">
        <v>16000</v>
      </c>
      <c r="I23" s="45">
        <v>58000</v>
      </c>
      <c r="J23" s="45">
        <v>45000</v>
      </c>
      <c r="K23" s="45">
        <v>71000</v>
      </c>
      <c r="L23" s="2">
        <f t="shared" si="1"/>
        <v>45000</v>
      </c>
      <c r="M23" s="2">
        <f t="shared" si="0"/>
        <v>71000</v>
      </c>
      <c r="O23" s="2">
        <v>63000</v>
      </c>
      <c r="P23" s="2">
        <v>96000</v>
      </c>
    </row>
    <row r="24" spans="1:16">
      <c r="A24" s="4" t="s">
        <v>74</v>
      </c>
      <c r="B24" s="2" t="s">
        <v>10</v>
      </c>
      <c r="C24" s="45">
        <v>2300</v>
      </c>
      <c r="D24" s="45">
        <v>1400</v>
      </c>
      <c r="E24" s="45">
        <v>4400</v>
      </c>
      <c r="F24" s="45">
        <v>5800</v>
      </c>
      <c r="G24" s="45">
        <v>1300</v>
      </c>
      <c r="H24" s="45">
        <v>14000</v>
      </c>
      <c r="I24" s="45">
        <v>47000</v>
      </c>
      <c r="J24" s="45">
        <v>37000</v>
      </c>
      <c r="K24" s="45">
        <v>59000</v>
      </c>
      <c r="L24" s="2">
        <f t="shared" si="1"/>
        <v>37000</v>
      </c>
      <c r="M24" s="2">
        <f t="shared" si="0"/>
        <v>59000</v>
      </c>
      <c r="O24" s="2">
        <v>41000</v>
      </c>
      <c r="P24" s="2">
        <v>73800</v>
      </c>
    </row>
    <row r="25" spans="1:16">
      <c r="A25" s="4" t="s">
        <v>75</v>
      </c>
      <c r="B25" s="2" t="s">
        <v>10</v>
      </c>
      <c r="C25" s="45">
        <v>2300</v>
      </c>
      <c r="D25" s="45">
        <v>1400</v>
      </c>
      <c r="E25" s="45">
        <v>4300</v>
      </c>
      <c r="F25" s="45">
        <v>5400</v>
      </c>
      <c r="G25" s="45">
        <v>1200</v>
      </c>
      <c r="H25" s="45">
        <v>13000</v>
      </c>
      <c r="I25" s="45">
        <v>42000</v>
      </c>
      <c r="J25" s="45">
        <v>32000</v>
      </c>
      <c r="K25" s="45">
        <v>54000</v>
      </c>
      <c r="L25" s="2">
        <f t="shared" si="1"/>
        <v>32000</v>
      </c>
      <c r="M25" s="2">
        <f t="shared" si="0"/>
        <v>54000</v>
      </c>
      <c r="O25" s="2">
        <v>35000</v>
      </c>
      <c r="P25" s="2">
        <v>68800</v>
      </c>
    </row>
    <row r="26" spans="1:16">
      <c r="A26" s="4" t="s">
        <v>76</v>
      </c>
      <c r="B26" s="2" t="s">
        <v>10</v>
      </c>
      <c r="C26" s="45">
        <v>2200</v>
      </c>
      <c r="D26" s="45">
        <v>1400</v>
      </c>
      <c r="E26" s="45">
        <v>4100</v>
      </c>
      <c r="F26" s="45">
        <v>5000</v>
      </c>
      <c r="G26" s="45">
        <v>1200</v>
      </c>
      <c r="H26" s="45">
        <v>11000</v>
      </c>
      <c r="I26" s="45">
        <v>39000</v>
      </c>
      <c r="J26" s="45">
        <v>28000</v>
      </c>
      <c r="K26" s="45">
        <v>50000</v>
      </c>
      <c r="L26" s="2">
        <f t="shared" si="1"/>
        <v>28000</v>
      </c>
      <c r="M26" s="2">
        <f t="shared" si="0"/>
        <v>50000</v>
      </c>
      <c r="O26" s="2">
        <v>35000</v>
      </c>
      <c r="P26" s="2">
        <v>68800</v>
      </c>
    </row>
    <row r="27" spans="1:16">
      <c r="A27" s="4" t="s">
        <v>77</v>
      </c>
      <c r="B27" s="2" t="s">
        <v>10</v>
      </c>
      <c r="C27" s="45">
        <v>2200</v>
      </c>
      <c r="D27" s="45">
        <v>1300</v>
      </c>
      <c r="E27" s="45">
        <v>3900</v>
      </c>
      <c r="F27" s="45">
        <v>4600</v>
      </c>
      <c r="G27" s="45">
        <v>1200</v>
      </c>
      <c r="H27" s="45">
        <v>10000</v>
      </c>
      <c r="I27" s="45">
        <v>37000</v>
      </c>
      <c r="J27" s="45">
        <v>27000</v>
      </c>
      <c r="K27" s="45">
        <v>48000</v>
      </c>
      <c r="L27" s="2">
        <f t="shared" si="1"/>
        <v>27000</v>
      </c>
      <c r="M27" s="2">
        <f t="shared" si="0"/>
        <v>48000</v>
      </c>
      <c r="O27" s="2">
        <v>37000</v>
      </c>
      <c r="P27" s="2">
        <v>70000</v>
      </c>
    </row>
    <row r="28" spans="1:16">
      <c r="A28" s="4" t="s">
        <v>78</v>
      </c>
      <c r="B28" s="2" t="s">
        <v>10</v>
      </c>
      <c r="C28" s="45">
        <v>2200</v>
      </c>
      <c r="D28" s="45">
        <v>1300</v>
      </c>
      <c r="E28" s="45">
        <v>3700</v>
      </c>
      <c r="F28" s="45">
        <v>4500</v>
      </c>
      <c r="G28" s="45">
        <v>1300</v>
      </c>
      <c r="H28" s="45">
        <v>9700</v>
      </c>
      <c r="I28" s="45">
        <v>36000</v>
      </c>
      <c r="J28" s="45">
        <v>26000</v>
      </c>
      <c r="K28" s="45">
        <v>48000</v>
      </c>
      <c r="L28" s="2">
        <f t="shared" si="1"/>
        <v>26000</v>
      </c>
      <c r="M28" s="2">
        <f t="shared" si="0"/>
        <v>48000</v>
      </c>
      <c r="O28" s="2">
        <v>40000</v>
      </c>
      <c r="P28" s="2">
        <v>71100</v>
      </c>
    </row>
    <row r="29" spans="1:16">
      <c r="A29" s="4" t="s">
        <v>79</v>
      </c>
      <c r="B29" s="2" t="s">
        <v>10</v>
      </c>
      <c r="C29" s="45">
        <v>1800</v>
      </c>
      <c r="D29" s="45" t="s">
        <v>52</v>
      </c>
      <c r="E29" s="45">
        <v>3300</v>
      </c>
      <c r="F29" s="45">
        <v>4200</v>
      </c>
      <c r="G29" s="45">
        <v>1400</v>
      </c>
      <c r="H29" s="45">
        <v>9000</v>
      </c>
      <c r="I29" s="45">
        <v>34000</v>
      </c>
      <c r="J29" s="45">
        <v>24000</v>
      </c>
      <c r="K29" s="45">
        <v>46000</v>
      </c>
      <c r="L29" s="2">
        <f t="shared" si="1"/>
        <v>24000</v>
      </c>
      <c r="M29" s="2">
        <f t="shared" si="0"/>
        <v>46000</v>
      </c>
      <c r="O29" s="2">
        <v>42000</v>
      </c>
      <c r="P29" s="2">
        <v>73500</v>
      </c>
    </row>
    <row r="30" spans="1:16">
      <c r="A30" s="4">
        <v>2018</v>
      </c>
      <c r="B30" s="2" t="s">
        <v>10</v>
      </c>
      <c r="C30" s="45">
        <v>1400</v>
      </c>
      <c r="D30" s="45" t="s">
        <v>52</v>
      </c>
      <c r="E30" s="45">
        <v>2600</v>
      </c>
      <c r="F30" s="45">
        <v>3900</v>
      </c>
      <c r="G30" s="45">
        <v>1400</v>
      </c>
      <c r="H30" s="45">
        <v>7900</v>
      </c>
      <c r="I30" s="45">
        <v>33000</v>
      </c>
      <c r="J30" s="45">
        <v>23000</v>
      </c>
      <c r="K30" s="45">
        <v>45000</v>
      </c>
      <c r="L30" s="2">
        <f t="shared" si="1"/>
        <v>23000</v>
      </c>
      <c r="M30" s="2">
        <f t="shared" si="0"/>
        <v>45000</v>
      </c>
      <c r="O30" s="2" t="s">
        <v>11</v>
      </c>
      <c r="P30" s="2" t="s">
        <v>11</v>
      </c>
    </row>
    <row r="31" spans="1:16">
      <c r="A31" s="4" t="s">
        <v>49</v>
      </c>
      <c r="B31" s="2" t="s">
        <v>9</v>
      </c>
      <c r="C31" s="2" t="s">
        <v>80</v>
      </c>
      <c r="D31" s="2" t="s">
        <v>80</v>
      </c>
      <c r="E31" s="2" t="s">
        <v>80</v>
      </c>
      <c r="F31" s="45" t="s">
        <v>80</v>
      </c>
      <c r="G31" s="45" t="s">
        <v>80</v>
      </c>
      <c r="H31" s="45" t="s">
        <v>80</v>
      </c>
      <c r="I31" s="45" t="s">
        <v>50</v>
      </c>
      <c r="J31" s="45" t="s">
        <v>80</v>
      </c>
      <c r="K31" s="45" t="s">
        <v>50</v>
      </c>
      <c r="L31" s="2">
        <v>0</v>
      </c>
      <c r="M31" s="2">
        <v>499</v>
      </c>
      <c r="O31" s="2">
        <v>0</v>
      </c>
      <c r="P31" s="2">
        <v>1100</v>
      </c>
    </row>
    <row r="32" spans="1:16">
      <c r="A32" s="4" t="s">
        <v>53</v>
      </c>
      <c r="B32" s="2" t="s">
        <v>9</v>
      </c>
      <c r="C32" s="2" t="s">
        <v>80</v>
      </c>
      <c r="D32" s="2" t="s">
        <v>80</v>
      </c>
      <c r="E32" s="2" t="s">
        <v>80</v>
      </c>
      <c r="F32" s="45" t="s">
        <v>80</v>
      </c>
      <c r="G32" s="45" t="s">
        <v>80</v>
      </c>
      <c r="H32" s="45" t="s">
        <v>51</v>
      </c>
      <c r="I32" s="45" t="s">
        <v>50</v>
      </c>
      <c r="J32" s="45" t="s">
        <v>51</v>
      </c>
      <c r="K32" s="45" t="s">
        <v>52</v>
      </c>
      <c r="L32" s="2">
        <v>0</v>
      </c>
      <c r="M32" s="2">
        <v>999</v>
      </c>
      <c r="O32" s="2">
        <v>0</v>
      </c>
      <c r="P32" s="2">
        <v>1800</v>
      </c>
    </row>
    <row r="33" spans="1:16">
      <c r="A33" s="4" t="s">
        <v>54</v>
      </c>
      <c r="B33" s="2" t="s">
        <v>9</v>
      </c>
      <c r="C33" s="2" t="s">
        <v>80</v>
      </c>
      <c r="D33" s="2" t="s">
        <v>80</v>
      </c>
      <c r="E33" s="2" t="s">
        <v>80</v>
      </c>
      <c r="F33" s="45" t="s">
        <v>80</v>
      </c>
      <c r="G33" s="45" t="s">
        <v>80</v>
      </c>
      <c r="H33" s="45" t="s">
        <v>50</v>
      </c>
      <c r="I33" s="45" t="s">
        <v>52</v>
      </c>
      <c r="J33" s="45" t="s">
        <v>50</v>
      </c>
      <c r="K33" s="45">
        <v>1400</v>
      </c>
      <c r="L33" s="2">
        <v>0</v>
      </c>
      <c r="M33" s="2">
        <f t="shared" ref="M33:M58" si="2">K33</f>
        <v>1400</v>
      </c>
      <c r="O33" s="2">
        <v>0</v>
      </c>
      <c r="P33" s="2">
        <v>3400</v>
      </c>
    </row>
    <row r="34" spans="1:16">
      <c r="A34" s="4" t="s">
        <v>55</v>
      </c>
      <c r="B34" s="2" t="s">
        <v>9</v>
      </c>
      <c r="C34" s="45" t="s">
        <v>80</v>
      </c>
      <c r="D34" s="45" t="s">
        <v>80</v>
      </c>
      <c r="E34" s="45" t="s">
        <v>80</v>
      </c>
      <c r="F34" s="45" t="s">
        <v>51</v>
      </c>
      <c r="G34" s="45" t="s">
        <v>80</v>
      </c>
      <c r="H34" s="45" t="s">
        <v>52</v>
      </c>
      <c r="I34" s="45">
        <v>1500</v>
      </c>
      <c r="J34" s="45" t="s">
        <v>52</v>
      </c>
      <c r="K34" s="45">
        <v>2600</v>
      </c>
      <c r="L34" s="2">
        <v>0</v>
      </c>
      <c r="M34" s="2">
        <f t="shared" si="2"/>
        <v>2600</v>
      </c>
      <c r="O34" s="2">
        <v>1600</v>
      </c>
      <c r="P34" s="2">
        <v>5500</v>
      </c>
    </row>
    <row r="35" spans="1:16">
      <c r="A35" s="4" t="s">
        <v>56</v>
      </c>
      <c r="B35" s="2" t="s">
        <v>9</v>
      </c>
      <c r="C35" s="45" t="s">
        <v>80</v>
      </c>
      <c r="D35" s="45" t="s">
        <v>80</v>
      </c>
      <c r="E35" s="45" t="s">
        <v>51</v>
      </c>
      <c r="F35" s="45" t="s">
        <v>50</v>
      </c>
      <c r="G35" s="45" t="s">
        <v>80</v>
      </c>
      <c r="H35" s="45" t="s">
        <v>52</v>
      </c>
      <c r="I35" s="45">
        <v>2700</v>
      </c>
      <c r="J35" s="45">
        <v>1400</v>
      </c>
      <c r="K35" s="45">
        <v>4800</v>
      </c>
      <c r="L35" s="2">
        <f t="shared" ref="L35:L58" si="3">J35</f>
        <v>1400</v>
      </c>
      <c r="M35" s="2">
        <f t="shared" si="2"/>
        <v>4800</v>
      </c>
      <c r="O35" s="2">
        <v>2800</v>
      </c>
      <c r="P35" s="2">
        <v>9300</v>
      </c>
    </row>
    <row r="36" spans="1:16">
      <c r="A36" s="4" t="s">
        <v>57</v>
      </c>
      <c r="B36" s="2" t="s">
        <v>9</v>
      </c>
      <c r="C36" s="45" t="s">
        <v>80</v>
      </c>
      <c r="D36" s="45" t="s">
        <v>80</v>
      </c>
      <c r="E36" s="45" t="s">
        <v>50</v>
      </c>
      <c r="F36" s="45" t="s">
        <v>50</v>
      </c>
      <c r="G36" s="45" t="s">
        <v>80</v>
      </c>
      <c r="H36" s="45">
        <v>1300</v>
      </c>
      <c r="I36" s="45">
        <v>4600</v>
      </c>
      <c r="J36" s="45">
        <v>2400</v>
      </c>
      <c r="K36" s="45">
        <v>8000</v>
      </c>
      <c r="L36" s="2">
        <f t="shared" si="3"/>
        <v>2400</v>
      </c>
      <c r="M36" s="2">
        <f t="shared" si="2"/>
        <v>8000</v>
      </c>
      <c r="O36" s="2">
        <v>4700</v>
      </c>
      <c r="P36" s="2">
        <v>14000</v>
      </c>
    </row>
    <row r="37" spans="1:16">
      <c r="A37" s="4" t="s">
        <v>58</v>
      </c>
      <c r="B37" s="2" t="s">
        <v>9</v>
      </c>
      <c r="C37" s="45" t="s">
        <v>80</v>
      </c>
      <c r="D37" s="45" t="s">
        <v>80</v>
      </c>
      <c r="E37" s="45" t="s">
        <v>50</v>
      </c>
      <c r="F37" s="45" t="s">
        <v>52</v>
      </c>
      <c r="G37" s="45" t="s">
        <v>80</v>
      </c>
      <c r="H37" s="45">
        <v>1900</v>
      </c>
      <c r="I37" s="45">
        <v>7500</v>
      </c>
      <c r="J37" s="45">
        <v>3800</v>
      </c>
      <c r="K37" s="45">
        <v>13000</v>
      </c>
      <c r="L37" s="2">
        <f t="shared" si="3"/>
        <v>3800</v>
      </c>
      <c r="M37" s="2">
        <f t="shared" si="2"/>
        <v>13000</v>
      </c>
      <c r="O37" s="2">
        <v>7600</v>
      </c>
      <c r="P37" s="2">
        <v>21300</v>
      </c>
    </row>
    <row r="38" spans="1:16">
      <c r="A38" s="4" t="s">
        <v>59</v>
      </c>
      <c r="B38" s="2" t="s">
        <v>9</v>
      </c>
      <c r="C38" s="45" t="s">
        <v>80</v>
      </c>
      <c r="D38" s="45" t="s">
        <v>80</v>
      </c>
      <c r="E38" s="45" t="s">
        <v>50</v>
      </c>
      <c r="F38" s="45" t="s">
        <v>52</v>
      </c>
      <c r="G38" s="45" t="s">
        <v>80</v>
      </c>
      <c r="H38" s="45">
        <v>2600</v>
      </c>
      <c r="I38" s="45">
        <v>12000</v>
      </c>
      <c r="J38" s="45">
        <v>6100</v>
      </c>
      <c r="K38" s="45">
        <v>20000</v>
      </c>
      <c r="L38" s="2">
        <f t="shared" si="3"/>
        <v>6100</v>
      </c>
      <c r="M38" s="2">
        <f t="shared" si="2"/>
        <v>20000</v>
      </c>
      <c r="O38" s="2">
        <v>11200</v>
      </c>
      <c r="P38" s="2">
        <v>29500</v>
      </c>
    </row>
    <row r="39" spans="1:16">
      <c r="A39" s="4" t="s">
        <v>60</v>
      </c>
      <c r="B39" s="2" t="s">
        <v>9</v>
      </c>
      <c r="C39" s="45" t="s">
        <v>80</v>
      </c>
      <c r="D39" s="45" t="s">
        <v>80</v>
      </c>
      <c r="E39" s="45" t="s">
        <v>52</v>
      </c>
      <c r="F39" s="45">
        <v>1200</v>
      </c>
      <c r="G39" s="45" t="s">
        <v>80</v>
      </c>
      <c r="H39" s="45">
        <v>3200</v>
      </c>
      <c r="I39" s="45">
        <v>17000</v>
      </c>
      <c r="J39" s="45">
        <v>9300</v>
      </c>
      <c r="K39" s="45">
        <v>28000</v>
      </c>
      <c r="L39" s="2">
        <f t="shared" si="3"/>
        <v>9300</v>
      </c>
      <c r="M39" s="2">
        <f t="shared" si="2"/>
        <v>28000</v>
      </c>
      <c r="O39" s="2">
        <v>17200</v>
      </c>
      <c r="P39" s="2">
        <v>40700</v>
      </c>
    </row>
    <row r="40" spans="1:16">
      <c r="A40" s="4" t="s">
        <v>61</v>
      </c>
      <c r="B40" s="2" t="s">
        <v>9</v>
      </c>
      <c r="C40" s="45" t="s">
        <v>51</v>
      </c>
      <c r="D40" s="45" t="s">
        <v>80</v>
      </c>
      <c r="E40" s="45" t="s">
        <v>52</v>
      </c>
      <c r="F40" s="45">
        <v>1400</v>
      </c>
      <c r="G40" s="45" t="s">
        <v>80</v>
      </c>
      <c r="H40" s="45">
        <v>3800</v>
      </c>
      <c r="I40" s="45">
        <v>24000</v>
      </c>
      <c r="J40" s="45">
        <v>14000</v>
      </c>
      <c r="K40" s="45">
        <v>38000</v>
      </c>
      <c r="L40" s="2">
        <f t="shared" si="3"/>
        <v>14000</v>
      </c>
      <c r="M40" s="2">
        <f t="shared" si="2"/>
        <v>38000</v>
      </c>
      <c r="O40" s="2">
        <v>22500</v>
      </c>
      <c r="P40" s="2">
        <v>52800</v>
      </c>
    </row>
    <row r="41" spans="1:16">
      <c r="A41" s="4" t="s">
        <v>62</v>
      </c>
      <c r="B41" s="2" t="s">
        <v>9</v>
      </c>
      <c r="C41" s="45" t="s">
        <v>51</v>
      </c>
      <c r="D41" s="45" t="s">
        <v>80</v>
      </c>
      <c r="E41" s="45" t="s">
        <v>52</v>
      </c>
      <c r="F41" s="45">
        <v>1600</v>
      </c>
      <c r="G41" s="45" t="s">
        <v>80</v>
      </c>
      <c r="H41" s="45">
        <v>4400</v>
      </c>
      <c r="I41" s="45">
        <v>32000</v>
      </c>
      <c r="J41" s="45">
        <v>19000</v>
      </c>
      <c r="K41" s="45">
        <v>49000</v>
      </c>
      <c r="L41" s="2">
        <f t="shared" si="3"/>
        <v>19000</v>
      </c>
      <c r="M41" s="2">
        <f t="shared" si="2"/>
        <v>49000</v>
      </c>
      <c r="O41" s="2">
        <v>30000</v>
      </c>
      <c r="P41" s="2">
        <v>65800</v>
      </c>
    </row>
    <row r="42" spans="1:16">
      <c r="A42" s="4" t="s">
        <v>63</v>
      </c>
      <c r="B42" s="2" t="s">
        <v>9</v>
      </c>
      <c r="C42" s="45" t="s">
        <v>51</v>
      </c>
      <c r="D42" s="45" t="s">
        <v>80</v>
      </c>
      <c r="E42" s="45" t="s">
        <v>52</v>
      </c>
      <c r="F42" s="45">
        <v>1800</v>
      </c>
      <c r="G42" s="45" t="s">
        <v>80</v>
      </c>
      <c r="H42" s="45">
        <v>4800</v>
      </c>
      <c r="I42" s="45">
        <v>41000</v>
      </c>
      <c r="J42" s="45">
        <v>26000</v>
      </c>
      <c r="K42" s="45">
        <v>61000</v>
      </c>
      <c r="L42" s="2">
        <f t="shared" si="3"/>
        <v>26000</v>
      </c>
      <c r="M42" s="2">
        <f t="shared" si="2"/>
        <v>61000</v>
      </c>
      <c r="O42" s="2">
        <v>41000</v>
      </c>
      <c r="P42" s="2">
        <v>78800</v>
      </c>
    </row>
    <row r="43" spans="1:16">
      <c r="A43" s="4" t="s">
        <v>64</v>
      </c>
      <c r="B43" s="2" t="s">
        <v>9</v>
      </c>
      <c r="C43" s="45" t="s">
        <v>50</v>
      </c>
      <c r="D43" s="45" t="s">
        <v>80</v>
      </c>
      <c r="E43" s="45" t="s">
        <v>52</v>
      </c>
      <c r="F43" s="45">
        <v>1900</v>
      </c>
      <c r="G43" s="45" t="s">
        <v>80</v>
      </c>
      <c r="H43" s="45">
        <v>5100</v>
      </c>
      <c r="I43" s="45">
        <v>50000</v>
      </c>
      <c r="J43" s="45">
        <v>33000</v>
      </c>
      <c r="K43" s="45">
        <v>74000</v>
      </c>
      <c r="L43" s="2">
        <f t="shared" si="3"/>
        <v>33000</v>
      </c>
      <c r="M43" s="2">
        <f t="shared" si="2"/>
        <v>74000</v>
      </c>
      <c r="O43" s="2">
        <v>51000</v>
      </c>
      <c r="P43" s="2">
        <v>90800</v>
      </c>
    </row>
    <row r="44" spans="1:16">
      <c r="A44" s="4" t="s">
        <v>65</v>
      </c>
      <c r="B44" s="2" t="s">
        <v>9</v>
      </c>
      <c r="C44" s="45" t="s">
        <v>50</v>
      </c>
      <c r="D44" s="45" t="s">
        <v>51</v>
      </c>
      <c r="E44" s="45" t="s">
        <v>52</v>
      </c>
      <c r="F44" s="45">
        <v>1900</v>
      </c>
      <c r="G44" s="45" t="s">
        <v>80</v>
      </c>
      <c r="H44" s="45">
        <v>5300</v>
      </c>
      <c r="I44" s="45">
        <v>60000</v>
      </c>
      <c r="J44" s="45">
        <v>41000</v>
      </c>
      <c r="K44" s="45">
        <v>84000</v>
      </c>
      <c r="L44" s="2">
        <f t="shared" si="3"/>
        <v>41000</v>
      </c>
      <c r="M44" s="2">
        <f t="shared" si="2"/>
        <v>84000</v>
      </c>
      <c r="O44" s="2">
        <v>62000</v>
      </c>
      <c r="P44" s="2">
        <v>101700</v>
      </c>
    </row>
    <row r="45" spans="1:16">
      <c r="A45" s="4" t="s">
        <v>66</v>
      </c>
      <c r="B45" s="2" t="s">
        <v>9</v>
      </c>
      <c r="C45" s="45" t="s">
        <v>50</v>
      </c>
      <c r="D45" s="45" t="s">
        <v>50</v>
      </c>
      <c r="E45" s="45">
        <v>1000</v>
      </c>
      <c r="F45" s="45">
        <v>1900</v>
      </c>
      <c r="G45" s="45" t="s">
        <v>80</v>
      </c>
      <c r="H45" s="45">
        <v>5400</v>
      </c>
      <c r="I45" s="45">
        <v>69000</v>
      </c>
      <c r="J45" s="45">
        <v>49000</v>
      </c>
      <c r="K45" s="45">
        <v>94000</v>
      </c>
      <c r="L45" s="2">
        <f t="shared" si="3"/>
        <v>49000</v>
      </c>
      <c r="M45" s="2">
        <f t="shared" si="2"/>
        <v>94000</v>
      </c>
      <c r="O45" s="2">
        <v>73000</v>
      </c>
      <c r="P45" s="2">
        <v>111700</v>
      </c>
    </row>
    <row r="46" spans="1:16">
      <c r="A46" s="4" t="s">
        <v>67</v>
      </c>
      <c r="B46" s="2" t="s">
        <v>9</v>
      </c>
      <c r="C46" s="45" t="s">
        <v>52</v>
      </c>
      <c r="D46" s="45" t="s">
        <v>50</v>
      </c>
      <c r="E46" s="45">
        <v>1100</v>
      </c>
      <c r="F46" s="45">
        <v>1900</v>
      </c>
      <c r="G46" s="45" t="s">
        <v>80</v>
      </c>
      <c r="H46" s="45">
        <v>5400</v>
      </c>
      <c r="I46" s="45">
        <v>73000</v>
      </c>
      <c r="J46" s="45">
        <v>54000</v>
      </c>
      <c r="K46" s="45">
        <v>100000</v>
      </c>
      <c r="L46" s="2">
        <f t="shared" si="3"/>
        <v>54000</v>
      </c>
      <c r="M46" s="2">
        <f t="shared" si="2"/>
        <v>100000</v>
      </c>
      <c r="O46" s="2">
        <v>81000</v>
      </c>
      <c r="P46" s="2">
        <v>121800</v>
      </c>
    </row>
    <row r="47" spans="1:16">
      <c r="A47" s="4" t="s">
        <v>68</v>
      </c>
      <c r="B47" s="2" t="s">
        <v>9</v>
      </c>
      <c r="C47" s="45" t="s">
        <v>52</v>
      </c>
      <c r="D47" s="45" t="s">
        <v>50</v>
      </c>
      <c r="E47" s="45">
        <v>1300</v>
      </c>
      <c r="F47" s="45">
        <v>1900</v>
      </c>
      <c r="G47" s="45" t="s">
        <v>80</v>
      </c>
      <c r="H47" s="45">
        <v>5300</v>
      </c>
      <c r="I47" s="45">
        <v>75000</v>
      </c>
      <c r="J47" s="45">
        <v>57000</v>
      </c>
      <c r="K47" s="45">
        <v>100000</v>
      </c>
      <c r="L47" s="2">
        <f t="shared" si="3"/>
        <v>57000</v>
      </c>
      <c r="M47" s="2">
        <f t="shared" si="2"/>
        <v>100000</v>
      </c>
      <c r="O47" s="2">
        <v>87000</v>
      </c>
      <c r="P47" s="2">
        <v>121900</v>
      </c>
    </row>
    <row r="48" spans="1:16">
      <c r="A48" s="4" t="s">
        <v>69</v>
      </c>
      <c r="B48" s="2" t="s">
        <v>9</v>
      </c>
      <c r="C48" s="45" t="s">
        <v>52</v>
      </c>
      <c r="D48" s="45" t="s">
        <v>52</v>
      </c>
      <c r="E48" s="45">
        <v>1400</v>
      </c>
      <c r="F48" s="45">
        <v>1900</v>
      </c>
      <c r="G48" s="45" t="s">
        <v>51</v>
      </c>
      <c r="H48" s="45">
        <v>5200</v>
      </c>
      <c r="I48" s="45">
        <v>74000</v>
      </c>
      <c r="J48" s="45">
        <v>58000</v>
      </c>
      <c r="K48" s="45">
        <v>100000</v>
      </c>
      <c r="L48" s="2">
        <f t="shared" si="3"/>
        <v>58000</v>
      </c>
      <c r="M48" s="2">
        <f t="shared" si="2"/>
        <v>100000</v>
      </c>
      <c r="O48" s="2">
        <v>90000</v>
      </c>
      <c r="P48" s="2">
        <v>122000</v>
      </c>
    </row>
    <row r="49" spans="1:16">
      <c r="A49" s="4" t="s">
        <v>70</v>
      </c>
      <c r="B49" s="2" t="s">
        <v>9</v>
      </c>
      <c r="C49" s="45">
        <v>1000</v>
      </c>
      <c r="D49" s="45" t="s">
        <v>52</v>
      </c>
      <c r="E49" s="45">
        <v>1600</v>
      </c>
      <c r="F49" s="45">
        <v>1800</v>
      </c>
      <c r="G49" s="45" t="s">
        <v>51</v>
      </c>
      <c r="H49" s="45">
        <v>5000</v>
      </c>
      <c r="I49" s="45">
        <v>69000</v>
      </c>
      <c r="J49" s="45">
        <v>55000</v>
      </c>
      <c r="K49" s="45">
        <v>93000</v>
      </c>
      <c r="L49" s="2">
        <f t="shared" si="3"/>
        <v>55000</v>
      </c>
      <c r="M49" s="2">
        <f t="shared" si="2"/>
        <v>93000</v>
      </c>
      <c r="O49" s="2">
        <v>89000</v>
      </c>
      <c r="P49" s="2">
        <v>112100</v>
      </c>
    </row>
    <row r="50" spans="1:16">
      <c r="A50" s="4" t="s">
        <v>71</v>
      </c>
      <c r="B50" s="2" t="s">
        <v>9</v>
      </c>
      <c r="C50" s="45">
        <v>1200</v>
      </c>
      <c r="D50" s="45" t="s">
        <v>52</v>
      </c>
      <c r="E50" s="45">
        <v>1700</v>
      </c>
      <c r="F50" s="45">
        <v>1800</v>
      </c>
      <c r="G50" s="45" t="s">
        <v>51</v>
      </c>
      <c r="H50" s="45">
        <v>4700</v>
      </c>
      <c r="I50" s="45">
        <v>63000</v>
      </c>
      <c r="J50" s="45">
        <v>50000</v>
      </c>
      <c r="K50" s="45">
        <v>84000</v>
      </c>
      <c r="L50" s="2">
        <f t="shared" si="3"/>
        <v>50000</v>
      </c>
      <c r="M50" s="2">
        <f t="shared" si="2"/>
        <v>84000</v>
      </c>
      <c r="O50" s="2">
        <v>82000</v>
      </c>
      <c r="P50" s="2">
        <v>102200</v>
      </c>
    </row>
    <row r="51" spans="1:16">
      <c r="A51" s="4" t="s">
        <v>72</v>
      </c>
      <c r="B51" s="2" t="s">
        <v>9</v>
      </c>
      <c r="C51" s="45">
        <v>1400</v>
      </c>
      <c r="D51" s="45" t="s">
        <v>52</v>
      </c>
      <c r="E51" s="45">
        <v>1900</v>
      </c>
      <c r="F51" s="45">
        <v>1700</v>
      </c>
      <c r="G51" s="45" t="s">
        <v>51</v>
      </c>
      <c r="H51" s="45">
        <v>4500</v>
      </c>
      <c r="I51" s="45">
        <v>56000</v>
      </c>
      <c r="J51" s="45">
        <v>45000</v>
      </c>
      <c r="K51" s="45">
        <v>75000</v>
      </c>
      <c r="L51" s="2">
        <f t="shared" si="3"/>
        <v>45000</v>
      </c>
      <c r="M51" s="2">
        <f t="shared" si="2"/>
        <v>75000</v>
      </c>
      <c r="O51" s="2">
        <v>70000</v>
      </c>
      <c r="P51" s="2">
        <v>90700</v>
      </c>
    </row>
    <row r="52" spans="1:16">
      <c r="A52" s="4" t="s">
        <v>73</v>
      </c>
      <c r="B52" s="2" t="s">
        <v>9</v>
      </c>
      <c r="C52" s="45">
        <v>1500</v>
      </c>
      <c r="D52" s="45">
        <v>1100</v>
      </c>
      <c r="E52" s="45">
        <v>2000</v>
      </c>
      <c r="F52" s="45">
        <v>1600</v>
      </c>
      <c r="G52" s="45" t="s">
        <v>50</v>
      </c>
      <c r="H52" s="45">
        <v>4200</v>
      </c>
      <c r="I52" s="45">
        <v>50000</v>
      </c>
      <c r="J52" s="45">
        <v>40000</v>
      </c>
      <c r="K52" s="45">
        <v>66000</v>
      </c>
      <c r="L52" s="2">
        <f t="shared" si="3"/>
        <v>40000</v>
      </c>
      <c r="M52" s="2">
        <f t="shared" si="2"/>
        <v>66000</v>
      </c>
      <c r="O52" s="2">
        <v>61000</v>
      </c>
      <c r="P52" s="2">
        <v>83700</v>
      </c>
    </row>
    <row r="53" spans="1:16">
      <c r="A53" s="4" t="s">
        <v>74</v>
      </c>
      <c r="B53" s="2" t="s">
        <v>9</v>
      </c>
      <c r="C53" s="45">
        <v>1500</v>
      </c>
      <c r="D53" s="45">
        <v>1100</v>
      </c>
      <c r="E53" s="45">
        <v>2000</v>
      </c>
      <c r="F53" s="45">
        <v>1500</v>
      </c>
      <c r="G53" s="45" t="s">
        <v>50</v>
      </c>
      <c r="H53" s="45">
        <v>3800</v>
      </c>
      <c r="I53" s="45">
        <v>43000</v>
      </c>
      <c r="J53" s="45">
        <v>33000</v>
      </c>
      <c r="K53" s="45">
        <v>58000</v>
      </c>
      <c r="L53" s="2">
        <f t="shared" si="3"/>
        <v>33000</v>
      </c>
      <c r="M53" s="2">
        <f t="shared" si="2"/>
        <v>58000</v>
      </c>
      <c r="O53" s="2">
        <v>48000</v>
      </c>
      <c r="P53" s="2">
        <v>73600</v>
      </c>
    </row>
    <row r="54" spans="1:16">
      <c r="A54" s="4" t="s">
        <v>75</v>
      </c>
      <c r="B54" s="2" t="s">
        <v>9</v>
      </c>
      <c r="C54" s="45">
        <v>1600</v>
      </c>
      <c r="D54" s="45">
        <v>1200</v>
      </c>
      <c r="E54" s="45">
        <v>2100</v>
      </c>
      <c r="F54" s="45">
        <v>1500</v>
      </c>
      <c r="G54" s="45" t="s">
        <v>50</v>
      </c>
      <c r="H54" s="45">
        <v>3500</v>
      </c>
      <c r="I54" s="45">
        <v>37000</v>
      </c>
      <c r="J54" s="45">
        <v>29000</v>
      </c>
      <c r="K54" s="45">
        <v>51000</v>
      </c>
      <c r="L54" s="2">
        <f t="shared" si="3"/>
        <v>29000</v>
      </c>
      <c r="M54" s="2">
        <f t="shared" si="2"/>
        <v>51000</v>
      </c>
      <c r="O54" s="2">
        <v>40000</v>
      </c>
      <c r="P54" s="2">
        <v>67700</v>
      </c>
    </row>
    <row r="55" spans="1:16">
      <c r="A55" s="4" t="s">
        <v>76</v>
      </c>
      <c r="B55" s="2" t="s">
        <v>9</v>
      </c>
      <c r="C55" s="45">
        <v>1600</v>
      </c>
      <c r="D55" s="45">
        <v>1200</v>
      </c>
      <c r="E55" s="45">
        <v>2100</v>
      </c>
      <c r="F55" s="45">
        <v>1400</v>
      </c>
      <c r="G55" s="45" t="s">
        <v>50</v>
      </c>
      <c r="H55" s="45">
        <v>3300</v>
      </c>
      <c r="I55" s="45">
        <v>33000</v>
      </c>
      <c r="J55" s="45">
        <v>26000</v>
      </c>
      <c r="K55" s="45">
        <v>46000</v>
      </c>
      <c r="L55" s="2">
        <f t="shared" si="3"/>
        <v>26000</v>
      </c>
      <c r="M55" s="2">
        <f t="shared" si="2"/>
        <v>46000</v>
      </c>
      <c r="O55" s="2">
        <v>38000</v>
      </c>
      <c r="P55" s="2">
        <v>64800</v>
      </c>
    </row>
    <row r="56" spans="1:16">
      <c r="A56" s="4" t="s">
        <v>77</v>
      </c>
      <c r="B56" s="2" t="s">
        <v>9</v>
      </c>
      <c r="C56" s="45">
        <v>1600</v>
      </c>
      <c r="D56" s="45">
        <v>1200</v>
      </c>
      <c r="E56" s="45">
        <v>2100</v>
      </c>
      <c r="F56" s="45">
        <v>1400</v>
      </c>
      <c r="G56" s="45" t="s">
        <v>50</v>
      </c>
      <c r="H56" s="45">
        <v>3100</v>
      </c>
      <c r="I56" s="45">
        <v>31000</v>
      </c>
      <c r="J56" s="45">
        <v>24000</v>
      </c>
      <c r="K56" s="45">
        <v>44000</v>
      </c>
      <c r="L56" s="2">
        <f t="shared" si="3"/>
        <v>24000</v>
      </c>
      <c r="M56" s="2">
        <f t="shared" si="2"/>
        <v>44000</v>
      </c>
      <c r="O56" s="2">
        <v>36000</v>
      </c>
      <c r="P56" s="2">
        <v>61900</v>
      </c>
    </row>
    <row r="57" spans="1:16">
      <c r="A57" s="4" t="s">
        <v>78</v>
      </c>
      <c r="B57" s="2" t="s">
        <v>9</v>
      </c>
      <c r="C57" s="45">
        <v>1600</v>
      </c>
      <c r="D57" s="45">
        <v>1200</v>
      </c>
      <c r="E57" s="45">
        <v>2100</v>
      </c>
      <c r="F57" s="45">
        <v>1400</v>
      </c>
      <c r="G57" s="45" t="s">
        <v>52</v>
      </c>
      <c r="H57" s="45">
        <v>2900</v>
      </c>
      <c r="I57" s="45">
        <v>31000</v>
      </c>
      <c r="J57" s="45">
        <v>24000</v>
      </c>
      <c r="K57" s="45">
        <v>44000</v>
      </c>
      <c r="L57" s="2">
        <f t="shared" si="3"/>
        <v>24000</v>
      </c>
      <c r="M57" s="2">
        <f t="shared" si="2"/>
        <v>44000</v>
      </c>
      <c r="O57" s="2">
        <v>35000</v>
      </c>
      <c r="P57" s="2">
        <v>61100</v>
      </c>
    </row>
    <row r="58" spans="1:16">
      <c r="A58" s="4" t="s">
        <v>79</v>
      </c>
      <c r="B58" s="2" t="s">
        <v>9</v>
      </c>
      <c r="C58" s="45">
        <v>1300</v>
      </c>
      <c r="D58" s="45" t="s">
        <v>52</v>
      </c>
      <c r="E58" s="45">
        <v>1900</v>
      </c>
      <c r="F58" s="45">
        <v>1500</v>
      </c>
      <c r="G58" s="45" t="s">
        <v>52</v>
      </c>
      <c r="H58" s="45">
        <v>2700</v>
      </c>
      <c r="I58" s="45">
        <v>31000</v>
      </c>
      <c r="J58" s="45">
        <v>24000</v>
      </c>
      <c r="K58" s="45">
        <v>45000</v>
      </c>
      <c r="L58" s="2">
        <f t="shared" si="3"/>
        <v>24000</v>
      </c>
      <c r="M58" s="2">
        <f t="shared" si="2"/>
        <v>45000</v>
      </c>
      <c r="O58" s="2">
        <v>41000</v>
      </c>
      <c r="P58" s="2">
        <v>69500</v>
      </c>
    </row>
    <row r="59" spans="1:16">
      <c r="A59" s="4">
        <v>2018</v>
      </c>
      <c r="B59" s="2" t="s">
        <v>9</v>
      </c>
      <c r="C59" s="45" t="s">
        <v>52</v>
      </c>
      <c r="D59" s="45" t="s">
        <v>52</v>
      </c>
      <c r="E59" s="45">
        <v>1400</v>
      </c>
      <c r="F59" s="45">
        <v>1500</v>
      </c>
      <c r="G59" s="45" t="s">
        <v>52</v>
      </c>
      <c r="H59" s="45">
        <v>2400</v>
      </c>
      <c r="I59" s="45">
        <v>33000</v>
      </c>
      <c r="J59" s="45">
        <v>26000</v>
      </c>
      <c r="K59" s="45">
        <v>46000</v>
      </c>
      <c r="L59" s="2">
        <f>J59</f>
        <v>26000</v>
      </c>
      <c r="M59" s="2">
        <f>K59</f>
        <v>46000</v>
      </c>
      <c r="O59" s="2" t="s">
        <v>11</v>
      </c>
      <c r="P59" s="2" t="s">
        <v>11</v>
      </c>
    </row>
    <row r="65" spans="1:11">
      <c r="A65" s="43"/>
      <c r="B65" s="44"/>
      <c r="C65" s="44"/>
      <c r="D65" s="44"/>
      <c r="E65" s="44"/>
      <c r="F65" s="44"/>
      <c r="G65" s="44"/>
      <c r="H65" s="44"/>
      <c r="I65" s="44"/>
      <c r="J65" s="44"/>
      <c r="K65" s="44"/>
    </row>
    <row r="66" spans="1:11">
      <c r="A66" s="43"/>
      <c r="B66" s="44"/>
      <c r="C66" s="44"/>
      <c r="D66" s="44"/>
      <c r="E66" s="44"/>
      <c r="F66" s="44"/>
      <c r="G66" s="44"/>
      <c r="H66" s="44"/>
      <c r="I66" s="44"/>
      <c r="J66" s="44"/>
      <c r="K66" s="44"/>
    </row>
    <row r="67" spans="1:11">
      <c r="A67" s="43"/>
      <c r="B67" s="44"/>
      <c r="C67" s="44"/>
      <c r="D67" s="44"/>
      <c r="E67" s="44"/>
      <c r="F67" s="44"/>
      <c r="G67" s="44"/>
      <c r="H67" s="44"/>
      <c r="I67" s="44"/>
      <c r="J67" s="44"/>
      <c r="K67" s="44"/>
    </row>
    <row r="68" spans="1:11">
      <c r="A68" s="43"/>
      <c r="B68" s="44"/>
      <c r="C68" s="44"/>
      <c r="D68" s="44"/>
    </row>
    <row r="71" spans="1:11">
      <c r="A71" s="43"/>
    </row>
  </sheetData>
  <phoneticPr fontId="17" type="noConversion"/>
  <pageMargins left="0.7" right="0.7" top="0.75" bottom="0.75" header="0.3" footer="0.3"/>
  <pageSetup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443CDE-CFDD-4647-8813-ED787D8B79A5}">
  <dimension ref="A1:Z129"/>
  <sheetViews>
    <sheetView zoomScale="89" zoomScaleNormal="89" workbookViewId="0">
      <pane xSplit="2" ySplit="1" topLeftCell="C2" activePane="bottomRight" state="frozen"/>
      <selection activeCell="I76" sqref="I76"/>
      <selection pane="topRight" activeCell="I76" sqref="I76"/>
      <selection pane="bottomLeft" activeCell="I76" sqref="I76"/>
      <selection pane="bottomRight" activeCell="N109" sqref="N109"/>
    </sheetView>
  </sheetViews>
  <sheetFormatPr baseColWidth="10" defaultRowHeight="16"/>
  <cols>
    <col min="1" max="1" width="11.6640625" style="2" customWidth="1"/>
    <col min="2" max="2" width="5.83203125" style="2" customWidth="1"/>
    <col min="3" max="3" width="15.83203125" style="2" customWidth="1"/>
    <col min="4" max="4" width="14.5" style="2" customWidth="1"/>
    <col min="5" max="11" width="14.83203125" style="2" customWidth="1"/>
    <col min="12" max="12" width="13" style="2" bestFit="1" customWidth="1"/>
    <col min="13" max="17" width="13" style="2" customWidth="1"/>
    <col min="18" max="18" width="10.5" style="2" customWidth="1"/>
    <col min="19" max="19" width="10.83203125" style="2" customWidth="1"/>
    <col min="20" max="20" width="10" style="2" customWidth="1"/>
    <col min="21" max="21" width="11" style="2" customWidth="1"/>
    <col min="22" max="22" width="10.83203125" style="2" customWidth="1"/>
    <col min="23" max="23" width="14.33203125" style="2" customWidth="1"/>
    <col min="24" max="24" width="14.6640625" style="2" customWidth="1"/>
    <col min="25" max="36" width="10.83203125" style="2"/>
    <col min="37" max="37" width="13" style="2" bestFit="1" customWidth="1"/>
    <col min="38" max="16384" width="10.83203125" style="2"/>
  </cols>
  <sheetData>
    <row r="1" spans="1:25">
      <c r="A1" s="4" t="s">
        <v>1</v>
      </c>
      <c r="B1" s="4" t="s">
        <v>2</v>
      </c>
      <c r="C1" s="20" t="s">
        <v>208</v>
      </c>
      <c r="D1" s="20" t="s">
        <v>209</v>
      </c>
      <c r="E1" s="20" t="s">
        <v>210</v>
      </c>
      <c r="F1" s="32" t="s">
        <v>144</v>
      </c>
      <c r="G1" s="32" t="s">
        <v>143</v>
      </c>
      <c r="H1" s="32" t="s">
        <v>142</v>
      </c>
      <c r="I1" s="32" t="s">
        <v>186</v>
      </c>
      <c r="J1" s="32" t="s">
        <v>187</v>
      </c>
      <c r="K1" s="32" t="s">
        <v>188</v>
      </c>
      <c r="L1" s="20" t="s">
        <v>211</v>
      </c>
      <c r="M1" s="20" t="s">
        <v>212</v>
      </c>
      <c r="N1" s="20" t="s">
        <v>213</v>
      </c>
      <c r="O1" s="32" t="s">
        <v>141</v>
      </c>
      <c r="P1" s="32" t="s">
        <v>146</v>
      </c>
      <c r="Q1" s="32" t="s">
        <v>145</v>
      </c>
      <c r="R1" s="2" t="s">
        <v>8</v>
      </c>
      <c r="S1" s="2" t="s">
        <v>156</v>
      </c>
      <c r="T1" s="2" t="s">
        <v>157</v>
      </c>
      <c r="U1" s="2" t="s">
        <v>158</v>
      </c>
      <c r="V1" s="2" t="s">
        <v>159</v>
      </c>
      <c r="W1" s="2" t="s">
        <v>169</v>
      </c>
      <c r="X1" s="2" t="s">
        <v>170</v>
      </c>
      <c r="Y1" s="2" t="s">
        <v>171</v>
      </c>
    </row>
    <row r="2" spans="1:25" ht="17">
      <c r="A2" s="3">
        <v>1990</v>
      </c>
      <c r="B2" s="3" t="s">
        <v>3</v>
      </c>
      <c r="C2" s="2">
        <v>6.0000000000000001E-3</v>
      </c>
      <c r="D2" s="2">
        <v>6.0000000000000001E-3</v>
      </c>
      <c r="E2" s="2">
        <v>6.9999999999999993E-3</v>
      </c>
      <c r="F2" s="39">
        <v>4.0000000000000001E-3</v>
      </c>
      <c r="G2" s="39">
        <v>3.0000000000000001E-3</v>
      </c>
      <c r="H2" s="39">
        <v>5.0000000000000001E-3</v>
      </c>
      <c r="I2" s="39" t="s">
        <v>11</v>
      </c>
      <c r="J2" s="39" t="s">
        <v>11</v>
      </c>
      <c r="K2" s="39" t="s">
        <v>11</v>
      </c>
      <c r="L2" s="2">
        <v>3.13E-3</v>
      </c>
      <c r="M2" s="2">
        <v>2.7699999999999999E-3</v>
      </c>
      <c r="N2" s="2">
        <v>3.49E-3</v>
      </c>
      <c r="O2" s="2">
        <v>2E-3</v>
      </c>
      <c r="P2" s="2">
        <v>1.5E-3</v>
      </c>
      <c r="Q2" s="2">
        <v>2.5000000000000001E-3</v>
      </c>
      <c r="R2" s="33" t="s">
        <v>189</v>
      </c>
      <c r="S2" s="39"/>
      <c r="T2" s="39"/>
      <c r="U2" s="39"/>
    </row>
    <row r="3" spans="1:25" ht="17">
      <c r="A3" s="3">
        <v>1991</v>
      </c>
      <c r="B3" s="3" t="s">
        <v>3</v>
      </c>
      <c r="C3" s="2">
        <v>1.1000000000000001E-2</v>
      </c>
      <c r="D3" s="2">
        <v>0.01</v>
      </c>
      <c r="E3" s="2">
        <v>1.3000000000000001E-2</v>
      </c>
      <c r="F3" s="39">
        <v>6.9999999999999993E-3</v>
      </c>
      <c r="G3" s="39">
        <v>5.0000000000000001E-3</v>
      </c>
      <c r="H3" s="39">
        <v>9.0000000000000011E-3</v>
      </c>
      <c r="I3" s="39" t="s">
        <v>11</v>
      </c>
      <c r="J3" s="39" t="s">
        <v>11</v>
      </c>
      <c r="K3" s="39" t="s">
        <v>11</v>
      </c>
      <c r="L3" s="2">
        <v>5.1999999999999998E-3</v>
      </c>
      <c r="M3" s="2">
        <v>4.6699999999999997E-3</v>
      </c>
      <c r="N3" s="2">
        <v>5.7499999999999999E-3</v>
      </c>
      <c r="O3" s="2">
        <v>3.4000000000000002E-3</v>
      </c>
      <c r="P3" s="2">
        <v>2.3999999999999998E-3</v>
      </c>
      <c r="Q3" s="2">
        <v>4.3E-3</v>
      </c>
      <c r="R3" s="33" t="s">
        <v>86</v>
      </c>
      <c r="S3" s="39"/>
      <c r="T3" s="39"/>
      <c r="U3" s="39"/>
    </row>
    <row r="4" spans="1:25" ht="17">
      <c r="A4" s="3">
        <v>1992</v>
      </c>
      <c r="B4" s="3" t="s">
        <v>3</v>
      </c>
      <c r="C4" s="2">
        <v>1.8000000000000002E-2</v>
      </c>
      <c r="D4" s="2">
        <v>1.6E-2</v>
      </c>
      <c r="E4" s="2">
        <v>0.02</v>
      </c>
      <c r="F4" s="39">
        <v>1.2E-2</v>
      </c>
      <c r="G4" s="39">
        <v>9.0000000000000011E-3</v>
      </c>
      <c r="H4" s="39">
        <v>1.4999999999999999E-2</v>
      </c>
      <c r="I4" s="39" t="s">
        <v>11</v>
      </c>
      <c r="J4" s="39" t="s">
        <v>11</v>
      </c>
      <c r="K4" s="39" t="s">
        <v>11</v>
      </c>
      <c r="L4" s="2">
        <v>8.1400000000000014E-3</v>
      </c>
      <c r="M4" s="2">
        <v>7.4000000000000003E-3</v>
      </c>
      <c r="N4" s="2">
        <v>8.9499999999999996E-3</v>
      </c>
      <c r="O4" s="2">
        <v>5.6000000000000008E-3</v>
      </c>
      <c r="P4" s="2">
        <v>3.9000000000000003E-3</v>
      </c>
      <c r="Q4" s="2">
        <v>7.1999999999999998E-3</v>
      </c>
      <c r="R4" s="33" t="s">
        <v>86</v>
      </c>
      <c r="S4" s="39"/>
      <c r="T4" s="39"/>
      <c r="U4" s="39"/>
    </row>
    <row r="5" spans="1:25" ht="17">
      <c r="A5" s="3">
        <v>1993</v>
      </c>
      <c r="B5" s="3" t="s">
        <v>3</v>
      </c>
      <c r="C5" s="2">
        <v>2.8999999999999998E-2</v>
      </c>
      <c r="D5" s="2">
        <v>2.6000000000000002E-2</v>
      </c>
      <c r="E5" s="2">
        <v>3.2000000000000001E-2</v>
      </c>
      <c r="F5" s="39">
        <v>0.02</v>
      </c>
      <c r="G5" s="39">
        <v>1.3999999999999999E-2</v>
      </c>
      <c r="H5" s="39">
        <v>2.5000000000000001E-2</v>
      </c>
      <c r="I5" s="39" t="s">
        <v>11</v>
      </c>
      <c r="J5" s="39" t="s">
        <v>11</v>
      </c>
      <c r="K5" s="39" t="s">
        <v>11</v>
      </c>
      <c r="L5" s="2">
        <v>1.1859999999999999E-2</v>
      </c>
      <c r="M5" s="2">
        <v>1.09E-2</v>
      </c>
      <c r="N5" s="2">
        <v>1.289E-2</v>
      </c>
      <c r="O5" s="2">
        <v>8.8000000000000005E-3</v>
      </c>
      <c r="P5" s="2">
        <v>6.0999999999999995E-3</v>
      </c>
      <c r="Q5" s="2">
        <v>1.11E-2</v>
      </c>
      <c r="R5" s="33" t="s">
        <v>86</v>
      </c>
      <c r="S5" s="39"/>
      <c r="T5" s="39"/>
      <c r="U5" s="39"/>
    </row>
    <row r="6" spans="1:25" ht="17">
      <c r="A6" s="3">
        <v>1994</v>
      </c>
      <c r="B6" s="3" t="s">
        <v>3</v>
      </c>
      <c r="C6" s="2">
        <v>4.2000000000000003E-2</v>
      </c>
      <c r="D6" s="2">
        <v>3.9E-2</v>
      </c>
      <c r="E6" s="2">
        <v>4.5999999999999999E-2</v>
      </c>
      <c r="F6" s="39">
        <v>3.1E-2</v>
      </c>
      <c r="G6" s="39">
        <v>2.3E-2</v>
      </c>
      <c r="H6" s="39">
        <v>3.9E-2</v>
      </c>
      <c r="I6" s="39" t="s">
        <v>11</v>
      </c>
      <c r="J6" s="39" t="s">
        <v>11</v>
      </c>
      <c r="K6" s="39" t="s">
        <v>11</v>
      </c>
      <c r="L6" s="2">
        <v>1.5859999999999999E-2</v>
      </c>
      <c r="M6" s="2">
        <v>1.4749999999999999E-2</v>
      </c>
      <c r="N6" s="2">
        <v>1.702E-2</v>
      </c>
      <c r="O6" s="2">
        <v>1.2699999999999999E-2</v>
      </c>
      <c r="P6" s="2">
        <v>9.1000000000000004E-3</v>
      </c>
      <c r="Q6" s="2">
        <v>1.5600000000000001E-2</v>
      </c>
      <c r="R6" s="33" t="s">
        <v>86</v>
      </c>
      <c r="S6" s="39"/>
      <c r="T6" s="39"/>
      <c r="U6" s="39"/>
    </row>
    <row r="7" spans="1:25" ht="17">
      <c r="A7" s="3">
        <v>1995</v>
      </c>
      <c r="B7" s="3" t="s">
        <v>3</v>
      </c>
      <c r="C7" s="2">
        <v>5.9000000000000004E-2</v>
      </c>
      <c r="D7" s="2">
        <v>5.4000000000000006E-2</v>
      </c>
      <c r="E7" s="2">
        <v>6.3E-2</v>
      </c>
      <c r="F7" s="39">
        <v>4.4999999999999998E-2</v>
      </c>
      <c r="G7" s="39">
        <v>3.4000000000000002E-2</v>
      </c>
      <c r="H7" s="39">
        <v>5.5E-2</v>
      </c>
      <c r="I7" s="39" t="s">
        <v>11</v>
      </c>
      <c r="J7" s="39" t="s">
        <v>11</v>
      </c>
      <c r="K7" s="39" t="s">
        <v>11</v>
      </c>
      <c r="L7" s="2">
        <v>1.9390000000000001E-2</v>
      </c>
      <c r="M7" s="2">
        <v>1.8179999999999998E-2</v>
      </c>
      <c r="N7" s="2">
        <v>2.0640000000000002E-2</v>
      </c>
      <c r="O7" s="2">
        <v>1.6799999999999999E-2</v>
      </c>
      <c r="P7" s="2">
        <v>1.26E-2</v>
      </c>
      <c r="Q7" s="2">
        <v>1.9799999999999998E-2</v>
      </c>
      <c r="R7" s="33" t="s">
        <v>86</v>
      </c>
      <c r="S7" s="39"/>
      <c r="T7" s="39"/>
      <c r="U7" s="39"/>
    </row>
    <row r="8" spans="1:25" ht="17">
      <c r="A8" s="3">
        <v>1996</v>
      </c>
      <c r="B8" s="3" t="s">
        <v>3</v>
      </c>
      <c r="C8" s="2">
        <v>7.5999999999999998E-2</v>
      </c>
      <c r="D8" s="2">
        <v>7.0000000000000007E-2</v>
      </c>
      <c r="E8" s="2">
        <v>8.1000000000000003E-2</v>
      </c>
      <c r="F8" s="39">
        <v>6.2E-2</v>
      </c>
      <c r="G8" s="39">
        <v>4.7E-2</v>
      </c>
      <c r="H8" s="39">
        <v>7.400000000000001E-2</v>
      </c>
      <c r="I8" s="39" t="s">
        <v>11</v>
      </c>
      <c r="J8" s="39" t="s">
        <v>11</v>
      </c>
      <c r="K8" s="39" t="s">
        <v>11</v>
      </c>
      <c r="L8" s="2">
        <v>2.1850000000000001E-2</v>
      </c>
      <c r="M8" s="2">
        <v>2.0590000000000001E-2</v>
      </c>
      <c r="N8" s="2">
        <v>2.3109999999999999E-2</v>
      </c>
      <c r="O8" s="2">
        <v>2.0299999999999999E-2</v>
      </c>
      <c r="P8" s="2">
        <v>1.6E-2</v>
      </c>
      <c r="Q8" s="2">
        <v>2.29E-2</v>
      </c>
      <c r="R8" s="33" t="s">
        <v>86</v>
      </c>
      <c r="S8" s="39"/>
      <c r="T8" s="39"/>
      <c r="U8" s="39"/>
    </row>
    <row r="9" spans="1:25" ht="17">
      <c r="A9" s="3">
        <v>1997</v>
      </c>
      <c r="B9" s="3" t="s">
        <v>3</v>
      </c>
      <c r="C9" s="2">
        <v>9.3000000000000013E-2</v>
      </c>
      <c r="D9" s="2">
        <v>8.5999999999999993E-2</v>
      </c>
      <c r="E9" s="2">
        <v>9.9000000000000005E-2</v>
      </c>
      <c r="F9" s="39">
        <v>0.08</v>
      </c>
      <c r="G9" s="39">
        <v>6.3E-2</v>
      </c>
      <c r="H9" s="39">
        <v>9.3000000000000013E-2</v>
      </c>
      <c r="I9" s="39" t="s">
        <v>11</v>
      </c>
      <c r="J9" s="39" t="s">
        <v>11</v>
      </c>
      <c r="K9" s="39" t="s">
        <v>11</v>
      </c>
      <c r="L9" s="2">
        <v>2.3019999999999999E-2</v>
      </c>
      <c r="M9" s="2">
        <v>2.188E-2</v>
      </c>
      <c r="N9" s="2">
        <v>2.4160000000000001E-2</v>
      </c>
      <c r="O9" s="2">
        <v>2.2499999999999999E-2</v>
      </c>
      <c r="P9" s="2">
        <v>1.8799999999999997E-2</v>
      </c>
      <c r="Q9" s="2">
        <v>2.4900000000000002E-2</v>
      </c>
      <c r="R9" s="33" t="s">
        <v>86</v>
      </c>
      <c r="S9" s="39"/>
      <c r="T9" s="39"/>
      <c r="U9" s="39"/>
    </row>
    <row r="10" spans="1:25" ht="17">
      <c r="A10" s="3">
        <v>1998</v>
      </c>
      <c r="B10" s="3" t="s">
        <v>3</v>
      </c>
      <c r="C10" s="2">
        <v>0.109</v>
      </c>
      <c r="D10" s="2">
        <v>0.10099999999999999</v>
      </c>
      <c r="E10" s="2">
        <v>0.11599999999999999</v>
      </c>
      <c r="F10" s="39">
        <v>9.6999999999999989E-2</v>
      </c>
      <c r="G10" s="39">
        <v>7.8E-2</v>
      </c>
      <c r="H10" s="39">
        <v>0.111</v>
      </c>
      <c r="I10" s="39" t="s">
        <v>11</v>
      </c>
      <c r="J10" s="39" t="s">
        <v>11</v>
      </c>
      <c r="K10" s="39" t="s">
        <v>11</v>
      </c>
      <c r="L10" s="2">
        <v>2.3179999999999999E-2</v>
      </c>
      <c r="M10" s="2">
        <v>2.2210000000000001E-2</v>
      </c>
      <c r="N10" s="2">
        <v>2.4199999999999999E-2</v>
      </c>
      <c r="O10" s="2">
        <v>2.35E-2</v>
      </c>
      <c r="P10" s="2">
        <v>2.0499999999999997E-2</v>
      </c>
      <c r="Q10" s="2">
        <v>2.52E-2</v>
      </c>
      <c r="R10" s="33" t="s">
        <v>86</v>
      </c>
      <c r="S10" s="39"/>
      <c r="T10" s="39"/>
      <c r="U10" s="39"/>
    </row>
    <row r="11" spans="1:25" ht="17">
      <c r="A11" s="3">
        <v>1999</v>
      </c>
      <c r="B11" s="3" t="s">
        <v>3</v>
      </c>
      <c r="C11" s="2">
        <v>0.122</v>
      </c>
      <c r="D11" s="2">
        <v>0.113</v>
      </c>
      <c r="E11" s="2">
        <v>0.13100000000000001</v>
      </c>
      <c r="F11" s="39">
        <v>0.113</v>
      </c>
      <c r="G11" s="39">
        <v>9.3000000000000013E-2</v>
      </c>
      <c r="H11" s="39">
        <v>0.126</v>
      </c>
      <c r="I11" s="39" t="s">
        <v>11</v>
      </c>
      <c r="J11" s="39" t="s">
        <v>11</v>
      </c>
      <c r="K11" s="39" t="s">
        <v>11</v>
      </c>
      <c r="L11" s="2">
        <v>2.266E-2</v>
      </c>
      <c r="M11" s="2">
        <v>2.1749999999999999E-2</v>
      </c>
      <c r="N11" s="2">
        <v>2.3559999999999998E-2</v>
      </c>
      <c r="O11" s="2">
        <v>2.35E-2</v>
      </c>
      <c r="P11" s="2">
        <v>2.12E-2</v>
      </c>
      <c r="Q11" s="2">
        <v>2.4700000000000003E-2</v>
      </c>
      <c r="R11" s="33" t="s">
        <v>86</v>
      </c>
      <c r="S11" s="39"/>
      <c r="T11" s="39"/>
      <c r="U11" s="39"/>
    </row>
    <row r="12" spans="1:25" ht="17">
      <c r="A12" s="3">
        <v>2000</v>
      </c>
      <c r="B12" s="3" t="s">
        <v>3</v>
      </c>
      <c r="C12" s="2">
        <v>0.13400000000000001</v>
      </c>
      <c r="D12" s="2">
        <v>0.124</v>
      </c>
      <c r="E12" s="2">
        <v>0.14300000000000002</v>
      </c>
      <c r="F12" s="39">
        <v>0.126</v>
      </c>
      <c r="G12" s="39">
        <v>0.107</v>
      </c>
      <c r="H12" s="39">
        <v>0.13900000000000001</v>
      </c>
      <c r="I12" s="39" t="s">
        <v>11</v>
      </c>
      <c r="J12" s="39" t="s">
        <v>11</v>
      </c>
      <c r="K12" s="39" t="s">
        <v>11</v>
      </c>
      <c r="L12" s="2">
        <v>2.18E-2</v>
      </c>
      <c r="M12" s="2">
        <v>2.0840000000000001E-2</v>
      </c>
      <c r="N12" s="2">
        <v>2.2629999999999997E-2</v>
      </c>
      <c r="O12" s="2">
        <v>2.29E-2</v>
      </c>
      <c r="P12" s="2">
        <v>2.1000000000000001E-2</v>
      </c>
      <c r="Q12" s="2">
        <v>2.3799999999999998E-2</v>
      </c>
      <c r="R12" s="33" t="s">
        <v>86</v>
      </c>
      <c r="S12" s="39"/>
      <c r="T12" s="39"/>
      <c r="U12" s="39"/>
    </row>
    <row r="13" spans="1:25" ht="17">
      <c r="A13" s="3">
        <v>2001</v>
      </c>
      <c r="B13" s="3" t="s">
        <v>3</v>
      </c>
      <c r="C13" s="2">
        <v>0.14300000000000002</v>
      </c>
      <c r="D13" s="2">
        <v>0.13100000000000001</v>
      </c>
      <c r="E13" s="2">
        <v>0.154</v>
      </c>
      <c r="F13" s="39">
        <v>0.13800000000000001</v>
      </c>
      <c r="G13" s="39">
        <v>0.11900000000000001</v>
      </c>
      <c r="H13" s="39">
        <v>0.151</v>
      </c>
      <c r="I13" s="39" t="s">
        <v>11</v>
      </c>
      <c r="J13" s="39" t="s">
        <v>11</v>
      </c>
      <c r="K13" s="39" t="s">
        <v>11</v>
      </c>
      <c r="L13" s="2">
        <v>2.0879999999999999E-2</v>
      </c>
      <c r="M13" s="2">
        <v>1.9969999999999998E-2</v>
      </c>
      <c r="N13" s="2">
        <v>2.1749999999999999E-2</v>
      </c>
      <c r="O13" s="2">
        <v>2.1899999999999999E-2</v>
      </c>
      <c r="P13" s="2">
        <v>2.0499999999999997E-2</v>
      </c>
      <c r="Q13" s="2">
        <v>2.2700000000000001E-2</v>
      </c>
      <c r="R13" s="33" t="s">
        <v>86</v>
      </c>
      <c r="S13" s="39"/>
      <c r="T13" s="39"/>
      <c r="U13" s="39"/>
    </row>
    <row r="14" spans="1:25" ht="17">
      <c r="A14" s="3">
        <v>2002</v>
      </c>
      <c r="B14" s="3" t="s">
        <v>3</v>
      </c>
      <c r="C14" s="2">
        <v>0.151</v>
      </c>
      <c r="D14" s="2">
        <v>0.13600000000000001</v>
      </c>
      <c r="E14" s="2">
        <v>0.16200000000000001</v>
      </c>
      <c r="F14" s="39">
        <v>0.14699999999999999</v>
      </c>
      <c r="G14" s="39">
        <v>0.129</v>
      </c>
      <c r="H14" s="39">
        <v>0.16</v>
      </c>
      <c r="I14" s="39" t="s">
        <v>11</v>
      </c>
      <c r="J14" s="39" t="s">
        <v>11</v>
      </c>
      <c r="K14" s="39" t="s">
        <v>11</v>
      </c>
      <c r="L14" s="2">
        <v>2.0149999999999998E-2</v>
      </c>
      <c r="M14" s="2">
        <v>1.9269999999999999E-2</v>
      </c>
      <c r="N14" s="2">
        <v>2.1000000000000001E-2</v>
      </c>
      <c r="O14" s="2">
        <v>2.0899999999999998E-2</v>
      </c>
      <c r="P14" s="2">
        <v>1.9699999999999999E-2</v>
      </c>
      <c r="Q14" s="2">
        <v>2.1600000000000001E-2</v>
      </c>
      <c r="R14" s="33" t="s">
        <v>86</v>
      </c>
      <c r="S14" s="39"/>
      <c r="T14" s="39"/>
      <c r="U14" s="39"/>
    </row>
    <row r="15" spans="1:25" ht="17">
      <c r="A15" s="3">
        <v>2003</v>
      </c>
      <c r="B15" s="3" t="s">
        <v>3</v>
      </c>
      <c r="C15" s="2">
        <v>0.157</v>
      </c>
      <c r="D15" s="2">
        <v>0.157</v>
      </c>
      <c r="E15" s="2">
        <v>0.17</v>
      </c>
      <c r="F15" s="39">
        <v>0.155</v>
      </c>
      <c r="G15" s="39">
        <v>0.13699999999999998</v>
      </c>
      <c r="H15" s="39">
        <v>0.17</v>
      </c>
      <c r="I15" s="39" t="s">
        <v>11</v>
      </c>
      <c r="J15" s="39" t="s">
        <v>11</v>
      </c>
      <c r="K15" s="39" t="s">
        <v>11</v>
      </c>
      <c r="L15" s="2">
        <v>1.9640000000000001E-2</v>
      </c>
      <c r="M15" s="2">
        <v>1.8760000000000002E-2</v>
      </c>
      <c r="N15" s="2">
        <v>2.0539999999999999E-2</v>
      </c>
      <c r="O15" s="2">
        <v>2.0099999999999996E-2</v>
      </c>
      <c r="P15" s="2">
        <v>1.9099999999999999E-2</v>
      </c>
      <c r="Q15" s="2">
        <v>2.07E-2</v>
      </c>
      <c r="R15" s="33" t="s">
        <v>86</v>
      </c>
      <c r="S15" s="39"/>
      <c r="T15" s="39"/>
      <c r="U15" s="39"/>
    </row>
    <row r="16" spans="1:25" ht="17">
      <c r="A16" s="3">
        <v>2004</v>
      </c>
      <c r="B16" s="3" t="s">
        <v>3</v>
      </c>
      <c r="C16" s="2">
        <v>0.16200000000000001</v>
      </c>
      <c r="D16" s="2">
        <v>0.14300000000000002</v>
      </c>
      <c r="E16" s="2">
        <v>0.17699999999999999</v>
      </c>
      <c r="F16" s="39">
        <v>0.16200000000000001</v>
      </c>
      <c r="G16" s="39">
        <v>0.14400000000000002</v>
      </c>
      <c r="H16" s="39">
        <v>0.17699999999999999</v>
      </c>
      <c r="I16" s="39" t="s">
        <v>11</v>
      </c>
      <c r="J16" s="39" t="s">
        <v>11</v>
      </c>
      <c r="K16" s="39" t="s">
        <v>11</v>
      </c>
      <c r="L16" s="2">
        <v>1.9230000000000001E-2</v>
      </c>
      <c r="M16" s="2">
        <v>1.8359999999999998E-2</v>
      </c>
      <c r="N16" s="2">
        <v>2.01E-2</v>
      </c>
      <c r="O16" s="2">
        <v>1.9599999999999999E-2</v>
      </c>
      <c r="P16" s="2">
        <v>1.8600000000000002E-2</v>
      </c>
      <c r="Q16" s="2">
        <v>2.0099999999999996E-2</v>
      </c>
      <c r="R16" s="33" t="s">
        <v>86</v>
      </c>
      <c r="S16" s="39"/>
      <c r="T16" s="39"/>
      <c r="U16" s="39"/>
    </row>
    <row r="17" spans="1:22" ht="17">
      <c r="A17" s="3">
        <v>2005</v>
      </c>
      <c r="B17" s="3" t="s">
        <v>3</v>
      </c>
      <c r="C17" s="2">
        <v>0.16699999999999998</v>
      </c>
      <c r="D17" s="2">
        <v>0.14499999999999999</v>
      </c>
      <c r="E17" s="2">
        <v>0.183</v>
      </c>
      <c r="F17" s="39">
        <v>0.16800000000000001</v>
      </c>
      <c r="G17" s="39">
        <v>0.15</v>
      </c>
      <c r="H17" s="39">
        <v>0.184</v>
      </c>
      <c r="I17" s="39" t="s">
        <v>11</v>
      </c>
      <c r="J17" s="39" t="s">
        <v>11</v>
      </c>
      <c r="K17" s="39" t="s">
        <v>11</v>
      </c>
      <c r="L17" s="2">
        <v>1.8710000000000001E-2</v>
      </c>
      <c r="M17" s="2">
        <v>1.787E-2</v>
      </c>
      <c r="N17" s="2">
        <v>1.9519999999999999E-2</v>
      </c>
      <c r="O17" s="2">
        <v>1.9099999999999999E-2</v>
      </c>
      <c r="P17" s="2">
        <v>1.83E-2</v>
      </c>
      <c r="Q17" s="2">
        <v>1.9599999999999999E-2</v>
      </c>
      <c r="R17" s="33" t="s">
        <v>86</v>
      </c>
      <c r="S17" s="39"/>
      <c r="T17" s="39"/>
      <c r="U17" s="39"/>
    </row>
    <row r="18" spans="1:22" ht="17">
      <c r="A18" s="3">
        <v>2006</v>
      </c>
      <c r="B18" s="3" t="s">
        <v>3</v>
      </c>
      <c r="C18" s="2">
        <v>0.17</v>
      </c>
      <c r="D18" s="2">
        <v>0.14699999999999999</v>
      </c>
      <c r="E18" s="2">
        <v>0.188</v>
      </c>
      <c r="F18" s="39">
        <v>0.17300000000000001</v>
      </c>
      <c r="G18" s="39">
        <v>0.155</v>
      </c>
      <c r="H18" s="39">
        <v>0.19</v>
      </c>
      <c r="I18" s="39" t="s">
        <v>11</v>
      </c>
      <c r="J18" s="39" t="s">
        <v>11</v>
      </c>
      <c r="K18" s="39" t="s">
        <v>11</v>
      </c>
      <c r="L18" s="2">
        <v>1.804E-2</v>
      </c>
      <c r="M18" s="2">
        <v>1.7270000000000001E-2</v>
      </c>
      <c r="N18" s="2">
        <v>1.8870000000000001E-2</v>
      </c>
      <c r="O18" s="2">
        <v>1.84E-2</v>
      </c>
      <c r="P18" s="2">
        <v>1.77E-2</v>
      </c>
      <c r="Q18" s="2">
        <v>1.89E-2</v>
      </c>
      <c r="R18" s="33" t="s">
        <v>86</v>
      </c>
      <c r="S18" s="39"/>
      <c r="T18" s="39"/>
      <c r="U18" s="39"/>
    </row>
    <row r="19" spans="1:22" ht="17">
      <c r="A19" s="3">
        <v>2007</v>
      </c>
      <c r="B19" s="3" t="s">
        <v>3</v>
      </c>
      <c r="C19" s="2">
        <v>0.17300000000000001</v>
      </c>
      <c r="D19" s="2">
        <v>0.14800000000000002</v>
      </c>
      <c r="E19" s="2">
        <v>0.192</v>
      </c>
      <c r="F19" s="39">
        <v>0.17699999999999999</v>
      </c>
      <c r="G19" s="39">
        <v>0.159</v>
      </c>
      <c r="H19" s="39">
        <v>0.19399999999999998</v>
      </c>
      <c r="I19" s="39" t="s">
        <v>11</v>
      </c>
      <c r="J19" s="39" t="s">
        <v>11</v>
      </c>
      <c r="K19" s="39" t="s">
        <v>11</v>
      </c>
      <c r="L19" s="2">
        <v>1.737E-2</v>
      </c>
      <c r="M19" s="2">
        <v>1.6559999999999998E-2</v>
      </c>
      <c r="N19" s="2">
        <v>1.8149999999999999E-2</v>
      </c>
      <c r="O19" s="2">
        <v>1.7600000000000001E-2</v>
      </c>
      <c r="P19" s="2">
        <v>1.6899999999999998E-2</v>
      </c>
      <c r="Q19" s="2">
        <v>1.8200000000000001E-2</v>
      </c>
      <c r="R19" s="33" t="s">
        <v>86</v>
      </c>
      <c r="S19" s="39"/>
      <c r="T19" s="39"/>
      <c r="U19" s="39"/>
    </row>
    <row r="20" spans="1:22" ht="17">
      <c r="A20" s="3">
        <v>2008</v>
      </c>
      <c r="B20" s="3" t="s">
        <v>3</v>
      </c>
      <c r="C20" s="2">
        <v>0.17600000000000002</v>
      </c>
      <c r="D20" s="2">
        <v>0.151</v>
      </c>
      <c r="E20" s="2">
        <v>0.19600000000000001</v>
      </c>
      <c r="F20" s="39">
        <v>0.18100000000000002</v>
      </c>
      <c r="G20" s="39">
        <v>0.161</v>
      </c>
      <c r="H20" s="39">
        <v>0.19800000000000001</v>
      </c>
      <c r="I20" s="39" t="s">
        <v>11</v>
      </c>
      <c r="J20" s="39" t="s">
        <v>11</v>
      </c>
      <c r="K20" s="39" t="s">
        <v>11</v>
      </c>
      <c r="L20" s="2">
        <v>1.6739999999999998E-2</v>
      </c>
      <c r="M20" s="2">
        <v>1.592E-2</v>
      </c>
      <c r="N20" s="2">
        <v>1.754E-2</v>
      </c>
      <c r="O20" s="2">
        <v>1.6799999999999999E-2</v>
      </c>
      <c r="P20" s="2">
        <v>1.61E-2</v>
      </c>
      <c r="Q20" s="2">
        <v>1.7399999999999999E-2</v>
      </c>
      <c r="R20" s="33" t="s">
        <v>86</v>
      </c>
      <c r="S20" s="39"/>
      <c r="T20" s="39"/>
      <c r="U20" s="39"/>
    </row>
    <row r="21" spans="1:22" ht="17">
      <c r="A21" s="3">
        <v>2009</v>
      </c>
      <c r="B21" s="3" t="s">
        <v>3</v>
      </c>
      <c r="C21" s="2">
        <v>0.17899999999999999</v>
      </c>
      <c r="D21" s="2">
        <v>0.153</v>
      </c>
      <c r="E21" s="2">
        <v>0.19899999999999998</v>
      </c>
      <c r="F21" s="39">
        <v>0.185</v>
      </c>
      <c r="G21" s="39">
        <v>0.16300000000000001</v>
      </c>
      <c r="H21" s="39">
        <v>0.20199999999999999</v>
      </c>
      <c r="I21" s="39" t="s">
        <v>11</v>
      </c>
      <c r="J21" s="39" t="s">
        <v>11</v>
      </c>
      <c r="K21" s="39" t="s">
        <v>11</v>
      </c>
      <c r="L21" s="2">
        <v>1.592E-2</v>
      </c>
      <c r="M21" s="2">
        <v>1.511E-2</v>
      </c>
      <c r="N21" s="2">
        <v>1.6739999999999998E-2</v>
      </c>
      <c r="O21" s="2">
        <v>1.61E-2</v>
      </c>
      <c r="P21" s="2">
        <v>1.54E-2</v>
      </c>
      <c r="Q21" s="2">
        <v>1.67E-2</v>
      </c>
      <c r="R21" s="33" t="s">
        <v>86</v>
      </c>
      <c r="S21" s="39"/>
      <c r="T21" s="39"/>
      <c r="U21" s="39"/>
    </row>
    <row r="22" spans="1:22" ht="17">
      <c r="A22" s="3">
        <v>2010</v>
      </c>
      <c r="B22" s="3" t="s">
        <v>3</v>
      </c>
      <c r="C22" s="2">
        <v>0.18100000000000002</v>
      </c>
      <c r="D22" s="2">
        <v>0.155</v>
      </c>
      <c r="E22" s="2">
        <v>0.20199999999999999</v>
      </c>
      <c r="F22" s="39">
        <v>0.18899999999999997</v>
      </c>
      <c r="G22" s="39">
        <v>0.16800000000000001</v>
      </c>
      <c r="H22" s="39">
        <v>0.20699999999999999</v>
      </c>
      <c r="I22" s="39" t="s">
        <v>11</v>
      </c>
      <c r="J22" s="39" t="s">
        <v>11</v>
      </c>
      <c r="K22" s="39" t="s">
        <v>11</v>
      </c>
      <c r="L22" s="2">
        <v>1.461E-2</v>
      </c>
      <c r="M22" s="2">
        <v>1.383E-2</v>
      </c>
      <c r="N22" s="2">
        <v>1.537E-2</v>
      </c>
      <c r="O22" s="2">
        <v>1.54E-2</v>
      </c>
      <c r="P22" s="2">
        <v>1.47E-2</v>
      </c>
      <c r="Q22" s="2">
        <v>1.6E-2</v>
      </c>
      <c r="R22" s="33" t="s">
        <v>86</v>
      </c>
      <c r="S22" s="39"/>
      <c r="T22" s="39"/>
      <c r="U22" s="39"/>
    </row>
    <row r="23" spans="1:22" ht="17">
      <c r="A23" s="3">
        <v>2011</v>
      </c>
      <c r="B23" s="3" t="s">
        <v>3</v>
      </c>
      <c r="C23" s="2">
        <v>0.182</v>
      </c>
      <c r="D23" s="2">
        <v>0.157</v>
      </c>
      <c r="E23" s="2">
        <v>0.20399999999999999</v>
      </c>
      <c r="F23" s="39">
        <v>0.193</v>
      </c>
      <c r="G23" s="39">
        <v>0.17</v>
      </c>
      <c r="H23" s="39">
        <v>0.21199999999999999</v>
      </c>
      <c r="I23" s="39" t="s">
        <v>11</v>
      </c>
      <c r="J23" s="39" t="s">
        <v>11</v>
      </c>
      <c r="K23" s="39" t="s">
        <v>11</v>
      </c>
      <c r="L23" s="2">
        <v>1.3259999999999999E-2</v>
      </c>
      <c r="M23" s="2">
        <v>1.251E-2</v>
      </c>
      <c r="N23" s="2">
        <v>1.3980000000000001E-2</v>
      </c>
      <c r="O23" s="2">
        <v>1.44E-2</v>
      </c>
      <c r="P23" s="2">
        <v>1.37E-2</v>
      </c>
      <c r="Q23" s="2">
        <v>1.4999999999999999E-2</v>
      </c>
      <c r="R23" s="33" t="s">
        <v>86</v>
      </c>
      <c r="S23" s="39"/>
      <c r="T23" s="39"/>
      <c r="U23" s="39"/>
    </row>
    <row r="24" spans="1:22" ht="17">
      <c r="A24" s="3">
        <v>2012</v>
      </c>
      <c r="B24" s="3" t="s">
        <v>3</v>
      </c>
      <c r="C24" s="2">
        <v>0.184</v>
      </c>
      <c r="D24" s="2">
        <v>0.159</v>
      </c>
      <c r="E24" s="2">
        <v>0.20600000000000002</v>
      </c>
      <c r="F24" s="39">
        <v>0.19600000000000001</v>
      </c>
      <c r="G24" s="39">
        <v>0.17300000000000001</v>
      </c>
      <c r="H24" s="39">
        <v>0.21600000000000003</v>
      </c>
      <c r="I24" s="39" t="s">
        <v>11</v>
      </c>
      <c r="J24" s="39" t="s">
        <v>11</v>
      </c>
      <c r="K24" s="39" t="s">
        <v>11</v>
      </c>
      <c r="L24" s="2">
        <v>1.2359999999999999E-2</v>
      </c>
      <c r="M24" s="2">
        <v>1.1630000000000001E-2</v>
      </c>
      <c r="N24" s="2">
        <v>1.307E-2</v>
      </c>
      <c r="O24" s="2">
        <v>1.3300000000000001E-2</v>
      </c>
      <c r="P24" s="2">
        <v>1.26E-2</v>
      </c>
      <c r="Q24" s="2">
        <v>1.3899999999999999E-2</v>
      </c>
      <c r="R24" s="33" t="s">
        <v>86</v>
      </c>
      <c r="S24" s="39"/>
      <c r="T24" s="39"/>
      <c r="U24" s="39"/>
    </row>
    <row r="25" spans="1:22" ht="17">
      <c r="A25" s="3">
        <v>2013</v>
      </c>
      <c r="B25" s="3" t="s">
        <v>3</v>
      </c>
      <c r="C25" s="2">
        <v>0.18600000000000003</v>
      </c>
      <c r="D25" s="2">
        <v>0.16</v>
      </c>
      <c r="E25" s="2">
        <v>0.20800000000000002</v>
      </c>
      <c r="F25" s="39">
        <v>0.19899999999999998</v>
      </c>
      <c r="G25" s="39">
        <v>0.17499999999999999</v>
      </c>
      <c r="H25" s="39">
        <v>0.22</v>
      </c>
      <c r="I25" s="39" t="s">
        <v>11</v>
      </c>
      <c r="J25" s="39" t="s">
        <v>11</v>
      </c>
      <c r="K25" s="39" t="s">
        <v>11</v>
      </c>
      <c r="L25" s="2">
        <v>1.1859999999999999E-2</v>
      </c>
      <c r="M25" s="2">
        <v>1.1089999999999999E-2</v>
      </c>
      <c r="N25" s="2">
        <v>1.259E-2</v>
      </c>
      <c r="O25" s="2">
        <v>1.24E-2</v>
      </c>
      <c r="P25" s="2">
        <v>1.1699999999999999E-2</v>
      </c>
      <c r="Q25" s="2">
        <v>1.3000000000000001E-2</v>
      </c>
      <c r="R25" s="33" t="s">
        <v>86</v>
      </c>
      <c r="S25" s="39"/>
      <c r="T25" s="39"/>
      <c r="U25" s="39"/>
      <c r="V25" s="34"/>
    </row>
    <row r="26" spans="1:22" ht="17">
      <c r="A26" s="3">
        <v>2014</v>
      </c>
      <c r="B26" s="3" t="s">
        <v>3</v>
      </c>
      <c r="C26" s="2">
        <v>0.187</v>
      </c>
      <c r="D26" s="2">
        <v>0.161</v>
      </c>
      <c r="E26" s="2">
        <v>0.20899999999999999</v>
      </c>
      <c r="F26" s="39">
        <v>0.20100000000000001</v>
      </c>
      <c r="G26" s="39">
        <v>0.17499999999999999</v>
      </c>
      <c r="H26" s="39">
        <v>0.221</v>
      </c>
      <c r="I26" s="39" t="s">
        <v>11</v>
      </c>
      <c r="J26" s="39" t="s">
        <v>11</v>
      </c>
      <c r="K26" s="39" t="s">
        <v>11</v>
      </c>
      <c r="L26" s="2">
        <v>1.141E-2</v>
      </c>
      <c r="M26" s="2">
        <v>1.0630000000000001E-2</v>
      </c>
      <c r="N26" s="2">
        <v>1.214E-2</v>
      </c>
      <c r="O26" s="2">
        <v>1.1699999999999999E-2</v>
      </c>
      <c r="P26" s="2">
        <v>1.1000000000000001E-2</v>
      </c>
      <c r="Q26" s="2">
        <v>1.23E-2</v>
      </c>
      <c r="R26" s="33" t="s">
        <v>86</v>
      </c>
      <c r="S26" s="39"/>
      <c r="T26" s="39"/>
      <c r="U26" s="39"/>
      <c r="V26" s="34"/>
    </row>
    <row r="27" spans="1:22" ht="17">
      <c r="A27" s="3">
        <v>2015</v>
      </c>
      <c r="B27" s="3" t="s">
        <v>3</v>
      </c>
      <c r="C27" s="2">
        <v>0.188</v>
      </c>
      <c r="D27" s="2">
        <v>0.16300000000000001</v>
      </c>
      <c r="E27" s="2">
        <v>0.21</v>
      </c>
      <c r="F27" s="39">
        <v>0.20300000000000001</v>
      </c>
      <c r="G27" s="39">
        <v>0.17600000000000002</v>
      </c>
      <c r="H27" s="39">
        <v>0.223</v>
      </c>
      <c r="I27" s="39" t="s">
        <v>11</v>
      </c>
      <c r="J27" s="39" t="s">
        <v>11</v>
      </c>
      <c r="K27" s="39" t="s">
        <v>11</v>
      </c>
      <c r="L27" s="2">
        <v>1.0800000000000001E-2</v>
      </c>
      <c r="M27" s="2">
        <v>1.005E-2</v>
      </c>
      <c r="N27" s="2">
        <v>1.157E-2</v>
      </c>
      <c r="O27" s="2">
        <v>1.1200000000000002E-2</v>
      </c>
      <c r="P27" s="2">
        <v>1.0500000000000001E-2</v>
      </c>
      <c r="Q27" s="2">
        <v>1.1899999999999999E-2</v>
      </c>
      <c r="R27" s="33" t="s">
        <v>86</v>
      </c>
      <c r="S27" s="39"/>
      <c r="T27" s="39"/>
      <c r="U27" s="39"/>
    </row>
    <row r="28" spans="1:22" ht="17">
      <c r="A28" s="3">
        <v>2016</v>
      </c>
      <c r="B28" s="3" t="s">
        <v>3</v>
      </c>
      <c r="C28" s="2">
        <v>0.18899999999999997</v>
      </c>
      <c r="D28" s="2">
        <v>0.16300000000000001</v>
      </c>
      <c r="E28" s="2">
        <v>0.21</v>
      </c>
      <c r="F28" s="39">
        <v>0.20399999999999999</v>
      </c>
      <c r="G28" s="39">
        <v>0.17699999999999999</v>
      </c>
      <c r="H28" s="39">
        <v>0.22500000000000001</v>
      </c>
      <c r="I28" s="39" t="s">
        <v>11</v>
      </c>
      <c r="J28" s="39" t="s">
        <v>11</v>
      </c>
      <c r="K28" s="39" t="s">
        <v>11</v>
      </c>
      <c r="L28" s="2">
        <v>1.0199999999999999E-2</v>
      </c>
      <c r="M28" s="2">
        <v>9.3800000000000012E-3</v>
      </c>
      <c r="N28" s="2">
        <v>1.0999999999999999E-2</v>
      </c>
      <c r="O28" s="2">
        <v>1.06E-2</v>
      </c>
      <c r="P28" s="2">
        <v>9.8999999999999991E-3</v>
      </c>
      <c r="Q28" s="2">
        <v>1.1299999999999999E-2</v>
      </c>
      <c r="R28" s="33" t="s">
        <v>86</v>
      </c>
      <c r="S28" s="39"/>
      <c r="T28" s="39"/>
      <c r="U28" s="39"/>
    </row>
    <row r="29" spans="1:22" ht="17">
      <c r="A29" s="3">
        <v>2017</v>
      </c>
      <c r="B29" s="3" t="s">
        <v>3</v>
      </c>
      <c r="C29" s="2">
        <v>0.188</v>
      </c>
      <c r="D29" s="2">
        <v>0.16200000000000001</v>
      </c>
      <c r="E29" s="2">
        <v>0.20899999999999999</v>
      </c>
      <c r="F29" s="39">
        <v>0.20499999999999999</v>
      </c>
      <c r="G29" s="39">
        <v>0.17600000000000002</v>
      </c>
      <c r="H29" s="39">
        <v>0.22500000000000001</v>
      </c>
      <c r="I29" s="39" t="s">
        <v>11</v>
      </c>
      <c r="J29" s="39" t="s">
        <v>11</v>
      </c>
      <c r="K29" s="39" t="s">
        <v>11</v>
      </c>
      <c r="L29" s="2">
        <v>9.5899999999999996E-3</v>
      </c>
      <c r="M29" s="2">
        <v>8.7600000000000004E-3</v>
      </c>
      <c r="N29" s="2">
        <v>1.0460000000000001E-2</v>
      </c>
      <c r="O29" s="2">
        <v>9.7000000000000003E-3</v>
      </c>
      <c r="P29" s="2">
        <v>9.0000000000000011E-3</v>
      </c>
      <c r="Q29" s="2">
        <v>1.04E-2</v>
      </c>
      <c r="R29" s="33" t="s">
        <v>86</v>
      </c>
      <c r="S29" s="39"/>
      <c r="T29" s="39"/>
      <c r="U29" s="39"/>
    </row>
    <row r="30" spans="1:22" ht="17">
      <c r="A30" s="3">
        <v>2018</v>
      </c>
      <c r="B30" s="3" t="s">
        <v>3</v>
      </c>
      <c r="C30" s="2" t="s">
        <v>11</v>
      </c>
      <c r="D30" s="2" t="s">
        <v>11</v>
      </c>
      <c r="E30" s="2" t="s">
        <v>11</v>
      </c>
      <c r="F30" s="39">
        <v>0.20399999999999999</v>
      </c>
      <c r="G30" s="39">
        <v>0.17399999999999999</v>
      </c>
      <c r="H30" s="39">
        <v>0.22500000000000001</v>
      </c>
      <c r="I30" s="39" t="s">
        <v>11</v>
      </c>
      <c r="J30" s="39" t="s">
        <v>11</v>
      </c>
      <c r="K30" s="39" t="s">
        <v>11</v>
      </c>
      <c r="L30" s="39" t="s">
        <v>11</v>
      </c>
      <c r="M30" s="39" t="s">
        <v>11</v>
      </c>
      <c r="N30" s="39" t="s">
        <v>11</v>
      </c>
      <c r="O30" s="2">
        <v>8.6999999999999994E-3</v>
      </c>
      <c r="P30" s="2">
        <v>8.0000000000000002E-3</v>
      </c>
      <c r="Q30" s="2">
        <v>9.300000000000001E-3</v>
      </c>
      <c r="R30" s="33" t="s">
        <v>86</v>
      </c>
      <c r="S30" s="39"/>
      <c r="T30" s="39"/>
      <c r="U30" s="39"/>
    </row>
    <row r="31" spans="1:22">
      <c r="A31" s="3">
        <v>1990</v>
      </c>
      <c r="B31" s="3" t="s">
        <v>9</v>
      </c>
      <c r="C31" s="2">
        <v>6.0000000000000001E-3</v>
      </c>
      <c r="D31" s="2">
        <v>5.0000000000000001E-3</v>
      </c>
      <c r="E31" s="2">
        <v>6.9999999999999993E-3</v>
      </c>
      <c r="F31" s="2">
        <v>3.0000000000000001E-3</v>
      </c>
      <c r="G31" s="2">
        <v>3.0000000000000001E-3</v>
      </c>
      <c r="H31" s="2">
        <v>4.0000000000000001E-3</v>
      </c>
      <c r="I31" s="2">
        <v>2E-3</v>
      </c>
      <c r="J31" s="2">
        <v>0</v>
      </c>
      <c r="K31" s="2">
        <v>4.0000000000000001E-3</v>
      </c>
      <c r="R31" s="33" t="s">
        <v>86</v>
      </c>
      <c r="S31" s="3"/>
    </row>
    <row r="32" spans="1:22">
      <c r="A32" s="3">
        <v>1991</v>
      </c>
      <c r="B32" s="3" t="s">
        <v>9</v>
      </c>
      <c r="C32" s="2">
        <v>0.01</v>
      </c>
      <c r="D32" s="2">
        <v>9.0000000000000011E-3</v>
      </c>
      <c r="E32" s="2">
        <v>1.2E-2</v>
      </c>
      <c r="F32" s="2">
        <v>6.0000000000000001E-3</v>
      </c>
      <c r="G32" s="2">
        <v>5.0000000000000001E-3</v>
      </c>
      <c r="H32" s="2">
        <v>8.0000000000000002E-3</v>
      </c>
      <c r="I32" s="2">
        <v>4.0000000000000001E-3</v>
      </c>
      <c r="J32" s="2">
        <v>0</v>
      </c>
      <c r="K32" s="2">
        <v>6.9999999999999993E-3</v>
      </c>
      <c r="R32" s="33" t="s">
        <v>86</v>
      </c>
      <c r="S32" s="3"/>
    </row>
    <row r="33" spans="1:19">
      <c r="A33" s="3">
        <v>1992</v>
      </c>
      <c r="B33" s="3" t="s">
        <v>9</v>
      </c>
      <c r="C33" s="2">
        <v>1.7000000000000001E-2</v>
      </c>
      <c r="D33" s="2">
        <v>1.4999999999999999E-2</v>
      </c>
      <c r="E33" s="2">
        <v>1.9E-2</v>
      </c>
      <c r="F33" s="2">
        <v>0.01</v>
      </c>
      <c r="G33" s="2">
        <v>8.0000000000000002E-3</v>
      </c>
      <c r="H33" s="2">
        <v>1.2999999999999999E-2</v>
      </c>
      <c r="I33" s="2">
        <v>6.9999999999999993E-3</v>
      </c>
      <c r="J33" s="2">
        <v>0</v>
      </c>
      <c r="K33" s="2">
        <v>1.1000000000000001E-2</v>
      </c>
      <c r="L33" s="39"/>
      <c r="M33" s="39"/>
      <c r="N33" s="39"/>
      <c r="R33" s="33" t="s">
        <v>86</v>
      </c>
      <c r="S33" s="3"/>
    </row>
    <row r="34" spans="1:19">
      <c r="A34" s="3">
        <v>1993</v>
      </c>
      <c r="B34" s="3" t="s">
        <v>9</v>
      </c>
      <c r="C34" s="2">
        <v>2.6000000000000002E-2</v>
      </c>
      <c r="D34" s="2">
        <v>2.3E-2</v>
      </c>
      <c r="E34" s="2">
        <v>2.8999999999999998E-2</v>
      </c>
      <c r="F34" s="2">
        <v>1.7000000000000001E-2</v>
      </c>
      <c r="G34" s="2">
        <v>1.2E-2</v>
      </c>
      <c r="H34" s="2">
        <v>2.1000000000000001E-2</v>
      </c>
      <c r="I34" s="2">
        <v>1.1000000000000001E-2</v>
      </c>
      <c r="J34" s="2">
        <v>2E-3</v>
      </c>
      <c r="K34" s="2">
        <v>1.8000000000000002E-2</v>
      </c>
      <c r="L34" s="39"/>
      <c r="M34" s="39"/>
      <c r="N34" s="39"/>
      <c r="R34" s="33" t="s">
        <v>86</v>
      </c>
      <c r="S34" s="3"/>
    </row>
    <row r="35" spans="1:19">
      <c r="A35" s="3">
        <v>1994</v>
      </c>
      <c r="B35" s="3" t="s">
        <v>9</v>
      </c>
      <c r="C35" s="2">
        <v>3.7999999999999999E-2</v>
      </c>
      <c r="D35" s="2">
        <v>3.4000000000000002E-2</v>
      </c>
      <c r="E35" s="2">
        <v>4.0999999999999995E-2</v>
      </c>
      <c r="F35" s="2">
        <v>2.5999999999999999E-2</v>
      </c>
      <c r="G35" s="2">
        <v>1.9E-2</v>
      </c>
      <c r="H35" s="2">
        <v>3.3000000000000002E-2</v>
      </c>
      <c r="I35" s="2">
        <v>1.7000000000000001E-2</v>
      </c>
      <c r="J35" s="2">
        <v>2E-3</v>
      </c>
      <c r="K35" s="2">
        <v>2.7000000000000003E-2</v>
      </c>
      <c r="L35" s="39"/>
      <c r="M35" s="39"/>
      <c r="N35" s="39"/>
      <c r="R35" s="33" t="s">
        <v>86</v>
      </c>
      <c r="S35" s="3"/>
    </row>
    <row r="36" spans="1:19">
      <c r="A36" s="3">
        <v>1995</v>
      </c>
      <c r="B36" s="3" t="s">
        <v>9</v>
      </c>
      <c r="C36" s="2">
        <v>5.0999999999999997E-2</v>
      </c>
      <c r="D36" s="2">
        <v>4.7E-2</v>
      </c>
      <c r="E36" s="2">
        <v>5.5E-2</v>
      </c>
      <c r="F36" s="32">
        <v>3.7999999999999999E-2</v>
      </c>
      <c r="G36" s="32">
        <v>2.8000000000000001E-2</v>
      </c>
      <c r="H36" s="32">
        <v>4.7E-2</v>
      </c>
      <c r="I36" s="32">
        <v>2.5000000000000001E-2</v>
      </c>
      <c r="J36" s="32">
        <v>3.0000000000000001E-3</v>
      </c>
      <c r="K36" s="32">
        <v>3.7000000000000005E-2</v>
      </c>
      <c r="L36" s="39"/>
      <c r="M36" s="39"/>
      <c r="N36" s="39"/>
      <c r="R36" s="33" t="s">
        <v>86</v>
      </c>
      <c r="S36" s="3"/>
    </row>
    <row r="37" spans="1:19">
      <c r="A37" s="3">
        <v>1996</v>
      </c>
      <c r="B37" s="3" t="s">
        <v>9</v>
      </c>
      <c r="C37" s="2">
        <v>6.6000000000000003E-2</v>
      </c>
      <c r="D37" s="2">
        <v>0.06</v>
      </c>
      <c r="E37" s="2">
        <v>7.2000000000000008E-2</v>
      </c>
      <c r="F37" s="2">
        <v>5.0999999999999997E-2</v>
      </c>
      <c r="G37" s="2">
        <v>3.7999999999999999E-2</v>
      </c>
      <c r="H37" s="2">
        <v>6.2E-2</v>
      </c>
      <c r="I37" s="2">
        <v>3.2000000000000001E-2</v>
      </c>
      <c r="J37" s="2">
        <v>4.0000000000000001E-3</v>
      </c>
      <c r="K37" s="2">
        <v>4.9000000000000002E-2</v>
      </c>
      <c r="L37" s="39"/>
      <c r="M37" s="39"/>
      <c r="N37" s="39"/>
      <c r="R37" s="33" t="s">
        <v>86</v>
      </c>
      <c r="S37" s="3"/>
    </row>
    <row r="38" spans="1:19">
      <c r="A38" s="3">
        <v>1997</v>
      </c>
      <c r="B38" s="3" t="s">
        <v>9</v>
      </c>
      <c r="C38" s="2">
        <v>0.08</v>
      </c>
      <c r="D38" s="2">
        <v>7.2999999999999995E-2</v>
      </c>
      <c r="E38" s="2">
        <v>8.6999999999999994E-2</v>
      </c>
      <c r="F38" s="2">
        <v>6.6000000000000003E-2</v>
      </c>
      <c r="G38" s="2">
        <v>5.0999999999999997E-2</v>
      </c>
      <c r="H38" s="2">
        <v>7.8E-2</v>
      </c>
      <c r="I38" s="2">
        <v>3.9E-2</v>
      </c>
      <c r="J38" s="2">
        <v>5.0000000000000001E-3</v>
      </c>
      <c r="K38" s="2">
        <v>0.06</v>
      </c>
      <c r="L38" s="39"/>
      <c r="M38" s="39"/>
      <c r="N38" s="39"/>
      <c r="R38" s="33" t="s">
        <v>86</v>
      </c>
      <c r="S38" s="3"/>
    </row>
    <row r="39" spans="1:19">
      <c r="A39" s="3">
        <v>1998</v>
      </c>
      <c r="B39" s="3" t="s">
        <v>9</v>
      </c>
      <c r="C39" s="2">
        <v>9.4E-2</v>
      </c>
      <c r="D39" s="2">
        <v>8.5000000000000006E-2</v>
      </c>
      <c r="E39" s="2">
        <v>0.10099999999999999</v>
      </c>
      <c r="F39" s="2">
        <v>0.08</v>
      </c>
      <c r="G39" s="2">
        <v>6.4000000000000001E-2</v>
      </c>
      <c r="H39" s="2">
        <v>9.1999999999999998E-2</v>
      </c>
      <c r="I39" s="2">
        <v>4.4000000000000004E-2</v>
      </c>
      <c r="J39" s="2">
        <v>6.0000000000000001E-3</v>
      </c>
      <c r="K39" s="2">
        <v>6.9000000000000006E-2</v>
      </c>
      <c r="L39" s="39"/>
      <c r="M39" s="39"/>
      <c r="N39" s="39"/>
      <c r="R39" s="33" t="s">
        <v>86</v>
      </c>
      <c r="S39" s="3"/>
    </row>
    <row r="40" spans="1:19">
      <c r="A40" s="3">
        <v>1999</v>
      </c>
      <c r="B40" s="3" t="s">
        <v>9</v>
      </c>
      <c r="C40" s="2">
        <v>0.105</v>
      </c>
      <c r="D40" s="2">
        <v>9.5000000000000001E-2</v>
      </c>
      <c r="E40" s="2">
        <v>0.113</v>
      </c>
      <c r="F40" s="2">
        <v>9.2999999999999999E-2</v>
      </c>
      <c r="G40" s="2">
        <v>7.5999999999999998E-2</v>
      </c>
      <c r="H40" s="2">
        <v>0.104</v>
      </c>
      <c r="I40" s="2">
        <v>4.8000000000000001E-2</v>
      </c>
      <c r="J40" s="2">
        <v>6.0000000000000001E-3</v>
      </c>
      <c r="K40" s="2">
        <v>7.6999999999999999E-2</v>
      </c>
      <c r="L40" s="39"/>
      <c r="M40" s="39"/>
      <c r="N40" s="39"/>
      <c r="R40" s="33" t="s">
        <v>86</v>
      </c>
      <c r="S40" s="3"/>
    </row>
    <row r="41" spans="1:19">
      <c r="A41" s="3">
        <v>2000</v>
      </c>
      <c r="B41" s="3" t="s">
        <v>9</v>
      </c>
      <c r="C41" s="2">
        <v>0.114</v>
      </c>
      <c r="D41" s="2">
        <v>0.10199999999999999</v>
      </c>
      <c r="E41" s="2">
        <v>0.12300000000000001</v>
      </c>
      <c r="F41" s="2">
        <v>0.104</v>
      </c>
      <c r="G41" s="2">
        <v>8.5999999999999993E-2</v>
      </c>
      <c r="H41" s="2">
        <v>0.115</v>
      </c>
      <c r="I41" s="2">
        <v>4.9000000000000002E-2</v>
      </c>
      <c r="J41" s="2">
        <v>6.0000000000000001E-3</v>
      </c>
      <c r="K41" s="2">
        <v>8.1000000000000003E-2</v>
      </c>
      <c r="L41" s="39"/>
      <c r="M41" s="39"/>
      <c r="N41" s="39"/>
      <c r="R41" s="33" t="s">
        <v>86</v>
      </c>
      <c r="S41" s="3"/>
    </row>
    <row r="42" spans="1:19">
      <c r="A42" s="3">
        <v>2001</v>
      </c>
      <c r="B42" s="3" t="s">
        <v>9</v>
      </c>
      <c r="C42" s="2">
        <v>0.121</v>
      </c>
      <c r="D42" s="2">
        <v>0.10800000000000001</v>
      </c>
      <c r="E42" s="2">
        <v>0.13100000000000001</v>
      </c>
      <c r="F42" s="2">
        <v>0.112</v>
      </c>
      <c r="G42" s="2">
        <v>9.5000000000000001E-2</v>
      </c>
      <c r="H42" s="2">
        <v>0.124</v>
      </c>
      <c r="I42" s="2">
        <v>0.05</v>
      </c>
      <c r="J42" s="2">
        <v>6.0000000000000001E-3</v>
      </c>
      <c r="K42" s="2">
        <v>8.3000000000000004E-2</v>
      </c>
      <c r="L42" s="39"/>
      <c r="M42" s="39"/>
      <c r="N42" s="39"/>
      <c r="R42" s="33" t="s">
        <v>86</v>
      </c>
      <c r="S42" s="3"/>
    </row>
    <row r="43" spans="1:19">
      <c r="A43" s="3">
        <v>2002</v>
      </c>
      <c r="B43" s="3" t="s">
        <v>9</v>
      </c>
      <c r="C43" s="2">
        <v>0.127</v>
      </c>
      <c r="D43" s="2">
        <v>0.11</v>
      </c>
      <c r="E43" s="2">
        <v>0.13800000000000001</v>
      </c>
      <c r="F43" s="2">
        <v>0.11899999999999999</v>
      </c>
      <c r="G43" s="2">
        <v>0.10100000000000001</v>
      </c>
      <c r="H43" s="2">
        <v>0.13100000000000001</v>
      </c>
      <c r="I43" s="2">
        <v>4.9000000000000002E-2</v>
      </c>
      <c r="J43" s="2">
        <v>6.0000000000000001E-3</v>
      </c>
      <c r="K43" s="2">
        <v>8.3000000000000004E-2</v>
      </c>
      <c r="L43" s="39"/>
      <c r="M43" s="39"/>
      <c r="N43" s="39"/>
      <c r="R43" s="33" t="s">
        <v>86</v>
      </c>
      <c r="S43" s="3"/>
    </row>
    <row r="44" spans="1:19">
      <c r="A44" s="3">
        <v>2003</v>
      </c>
      <c r="B44" s="3" t="s">
        <v>9</v>
      </c>
      <c r="C44" s="2">
        <v>0.13100000000000001</v>
      </c>
      <c r="D44" s="2">
        <v>0.111</v>
      </c>
      <c r="E44" s="2">
        <v>0.14400000000000002</v>
      </c>
      <c r="F44" s="2">
        <v>0.125</v>
      </c>
      <c r="G44" s="2">
        <v>0.106</v>
      </c>
      <c r="H44" s="2">
        <v>0.13700000000000001</v>
      </c>
      <c r="I44" s="2">
        <v>4.9000000000000002E-2</v>
      </c>
      <c r="J44" s="2">
        <v>6.0000000000000001E-3</v>
      </c>
      <c r="K44" s="2">
        <v>8.199999999999999E-2</v>
      </c>
      <c r="L44" s="39"/>
      <c r="M44" s="39"/>
      <c r="N44" s="39"/>
      <c r="R44" s="33" t="s">
        <v>86</v>
      </c>
    </row>
    <row r="45" spans="1:19">
      <c r="A45" s="3">
        <v>2004</v>
      </c>
      <c r="B45" s="3" t="s">
        <v>9</v>
      </c>
      <c r="C45" s="2">
        <v>0.13400000000000001</v>
      </c>
      <c r="D45" s="2">
        <v>0.113</v>
      </c>
      <c r="E45" s="2">
        <v>0.14699999999999999</v>
      </c>
      <c r="F45" s="2">
        <v>0.13</v>
      </c>
      <c r="G45" s="2">
        <v>0.11</v>
      </c>
      <c r="H45" s="2">
        <v>0.14299999999999999</v>
      </c>
      <c r="I45" s="2">
        <v>4.8000000000000001E-2</v>
      </c>
      <c r="J45" s="2">
        <v>6.0000000000000001E-3</v>
      </c>
      <c r="K45" s="2">
        <v>8.1000000000000003E-2</v>
      </c>
      <c r="L45" s="39"/>
      <c r="M45" s="39"/>
      <c r="N45" s="39"/>
      <c r="R45" s="33" t="s">
        <v>86</v>
      </c>
    </row>
    <row r="46" spans="1:19">
      <c r="A46" s="3">
        <v>2005</v>
      </c>
      <c r="B46" s="3" t="s">
        <v>9</v>
      </c>
      <c r="C46" s="2">
        <v>0.13699999999999998</v>
      </c>
      <c r="D46" s="2">
        <v>0.113</v>
      </c>
      <c r="E46" s="2">
        <v>0.151</v>
      </c>
      <c r="F46" s="32">
        <v>0.13400000000000001</v>
      </c>
      <c r="G46" s="32">
        <v>0.111</v>
      </c>
      <c r="H46" s="32">
        <v>0.14799999999999999</v>
      </c>
      <c r="I46" s="32">
        <v>4.7E-2</v>
      </c>
      <c r="J46" s="32">
        <v>6.0000000000000001E-3</v>
      </c>
      <c r="K46" s="32">
        <v>0.08</v>
      </c>
      <c r="L46" s="39"/>
      <c r="M46" s="39"/>
      <c r="N46" s="39"/>
      <c r="R46" s="33" t="s">
        <v>86</v>
      </c>
    </row>
    <row r="47" spans="1:19">
      <c r="A47" s="3">
        <v>2006</v>
      </c>
      <c r="B47" s="3" t="s">
        <v>9</v>
      </c>
      <c r="C47" s="2">
        <v>0.13800000000000001</v>
      </c>
      <c r="D47" s="2">
        <v>0.113</v>
      </c>
      <c r="E47" s="2">
        <v>0.154</v>
      </c>
      <c r="F47" s="2">
        <v>0.13700000000000001</v>
      </c>
      <c r="G47" s="2">
        <v>0.113</v>
      </c>
      <c r="H47" s="2">
        <v>0.151</v>
      </c>
      <c r="I47" s="2">
        <v>4.5999999999999999E-2</v>
      </c>
      <c r="J47" s="2">
        <v>6.0000000000000001E-3</v>
      </c>
      <c r="K47" s="2">
        <v>7.8E-2</v>
      </c>
      <c r="L47" s="39"/>
      <c r="M47" s="39"/>
      <c r="N47" s="39"/>
      <c r="R47" s="33" t="s">
        <v>86</v>
      </c>
    </row>
    <row r="48" spans="1:19">
      <c r="A48" s="3">
        <v>2007</v>
      </c>
      <c r="B48" s="3" t="s">
        <v>9</v>
      </c>
      <c r="C48" s="2">
        <v>0.13900000000000001</v>
      </c>
      <c r="D48" s="2">
        <v>0.113</v>
      </c>
      <c r="E48" s="2">
        <v>0.156</v>
      </c>
      <c r="F48" s="2">
        <v>0.13900000000000001</v>
      </c>
      <c r="G48" s="2">
        <v>0.114</v>
      </c>
      <c r="H48" s="2">
        <v>0.153</v>
      </c>
      <c r="I48" s="2">
        <v>4.4000000000000004E-2</v>
      </c>
      <c r="J48" s="2">
        <v>6.0000000000000001E-3</v>
      </c>
      <c r="K48" s="2">
        <v>7.400000000000001E-2</v>
      </c>
      <c r="L48" s="39"/>
      <c r="M48" s="39"/>
      <c r="N48" s="39"/>
      <c r="R48" s="33" t="s">
        <v>86</v>
      </c>
    </row>
    <row r="49" spans="1:18">
      <c r="A49" s="3">
        <v>2008</v>
      </c>
      <c r="B49" s="3" t="s">
        <v>9</v>
      </c>
      <c r="C49" s="2">
        <v>0.14000000000000001</v>
      </c>
      <c r="D49" s="2">
        <v>0.113</v>
      </c>
      <c r="E49" s="2">
        <v>0.157</v>
      </c>
      <c r="F49" s="2">
        <v>0.14099999999999999</v>
      </c>
      <c r="G49" s="2">
        <v>0.114</v>
      </c>
      <c r="H49" s="2">
        <v>0.156</v>
      </c>
      <c r="I49" s="2">
        <v>4.2999999999999997E-2</v>
      </c>
      <c r="J49" s="2">
        <v>6.0000000000000001E-3</v>
      </c>
      <c r="K49" s="2">
        <v>7.2000000000000008E-2</v>
      </c>
      <c r="L49" s="39"/>
      <c r="M49" s="39"/>
      <c r="N49" s="39"/>
      <c r="R49" s="33" t="s">
        <v>86</v>
      </c>
    </row>
    <row r="50" spans="1:18">
      <c r="A50" s="3">
        <v>2009</v>
      </c>
      <c r="B50" s="3" t="s">
        <v>9</v>
      </c>
      <c r="C50" s="2">
        <v>0.14000000000000001</v>
      </c>
      <c r="D50" s="2">
        <v>0.11199999999999999</v>
      </c>
      <c r="E50" s="2">
        <v>0.158</v>
      </c>
      <c r="F50" s="2">
        <v>0.14299999999999999</v>
      </c>
      <c r="G50" s="2">
        <v>0.114</v>
      </c>
      <c r="H50" s="2">
        <v>0.158</v>
      </c>
      <c r="I50" s="2">
        <v>4.2000000000000003E-2</v>
      </c>
      <c r="J50" s="2">
        <v>6.0000000000000001E-3</v>
      </c>
      <c r="K50" s="2">
        <v>7.0000000000000007E-2</v>
      </c>
      <c r="L50" s="39"/>
      <c r="M50" s="39"/>
      <c r="N50" s="39"/>
      <c r="R50" s="33" t="s">
        <v>86</v>
      </c>
    </row>
    <row r="51" spans="1:18">
      <c r="A51" s="3">
        <v>2010</v>
      </c>
      <c r="B51" s="3" t="s">
        <v>9</v>
      </c>
      <c r="C51" s="2">
        <v>0.14099999999999999</v>
      </c>
      <c r="D51" s="2">
        <v>0.11199999999999999</v>
      </c>
      <c r="E51" s="2">
        <v>0.159</v>
      </c>
      <c r="F51" s="2">
        <v>0.14499999999999999</v>
      </c>
      <c r="G51" s="2">
        <v>0.114</v>
      </c>
      <c r="H51" s="2">
        <v>0.16</v>
      </c>
      <c r="I51" s="2">
        <v>4.0999999999999995E-2</v>
      </c>
      <c r="J51" s="2">
        <v>6.0000000000000001E-3</v>
      </c>
      <c r="K51" s="2">
        <v>6.8000000000000005E-2</v>
      </c>
      <c r="L51" s="39"/>
      <c r="M51" s="39"/>
      <c r="N51" s="39"/>
      <c r="R51" s="33" t="s">
        <v>86</v>
      </c>
    </row>
    <row r="52" spans="1:18">
      <c r="A52" s="3">
        <v>2011</v>
      </c>
      <c r="B52" s="3" t="s">
        <v>9</v>
      </c>
      <c r="C52" s="2">
        <v>0.14099999999999999</v>
      </c>
      <c r="D52" s="2">
        <v>0.11199999999999999</v>
      </c>
      <c r="E52" s="2">
        <v>0.159</v>
      </c>
      <c r="F52" s="2">
        <v>0.14699999999999999</v>
      </c>
      <c r="G52" s="2">
        <v>0.114</v>
      </c>
      <c r="H52" s="2">
        <v>0.16300000000000001</v>
      </c>
      <c r="I52" s="2">
        <v>0.04</v>
      </c>
      <c r="J52" s="2">
        <v>6.0000000000000001E-3</v>
      </c>
      <c r="K52" s="2">
        <v>6.6000000000000003E-2</v>
      </c>
      <c r="L52" s="39"/>
      <c r="M52" s="39"/>
      <c r="N52" s="39"/>
      <c r="R52" s="33" t="s">
        <v>86</v>
      </c>
    </row>
    <row r="53" spans="1:18">
      <c r="A53" s="3">
        <v>2012</v>
      </c>
      <c r="B53" s="3" t="s">
        <v>9</v>
      </c>
      <c r="C53" s="2">
        <v>0.14099999999999999</v>
      </c>
      <c r="D53" s="2">
        <v>0.113</v>
      </c>
      <c r="E53" s="2">
        <v>0.159</v>
      </c>
      <c r="F53" s="32">
        <v>0.14899999999999999</v>
      </c>
      <c r="G53" s="32">
        <v>0.114</v>
      </c>
      <c r="H53" s="32">
        <v>0.16500000000000001</v>
      </c>
      <c r="I53" s="32">
        <v>3.9E-2</v>
      </c>
      <c r="J53" s="32">
        <v>6.0000000000000001E-3</v>
      </c>
      <c r="K53" s="32">
        <v>6.4000000000000001E-2</v>
      </c>
      <c r="L53" s="39"/>
      <c r="M53" s="39"/>
      <c r="N53" s="39"/>
      <c r="R53" s="33" t="s">
        <v>86</v>
      </c>
    </row>
    <row r="54" spans="1:18">
      <c r="A54" s="3">
        <v>2013</v>
      </c>
      <c r="B54" s="3" t="s">
        <v>9</v>
      </c>
      <c r="C54" s="2">
        <v>0.14199999999999999</v>
      </c>
      <c r="D54" s="2">
        <v>0.113</v>
      </c>
      <c r="E54" s="2">
        <v>0.159</v>
      </c>
      <c r="F54" s="2">
        <v>0.15</v>
      </c>
      <c r="G54" s="2">
        <v>0.113</v>
      </c>
      <c r="H54" s="2">
        <v>0.16600000000000001</v>
      </c>
      <c r="I54" s="2">
        <v>3.7999999999999999E-2</v>
      </c>
      <c r="J54" s="2">
        <v>6.0000000000000001E-3</v>
      </c>
      <c r="K54" s="2">
        <v>6.3E-2</v>
      </c>
      <c r="L54" s="39"/>
      <c r="M54" s="39"/>
      <c r="N54" s="39"/>
      <c r="R54" s="33" t="s">
        <v>86</v>
      </c>
    </row>
    <row r="55" spans="1:18">
      <c r="A55" s="3">
        <v>2014</v>
      </c>
      <c r="B55" s="3" t="s">
        <v>9</v>
      </c>
      <c r="C55" s="2">
        <v>0.14199999999999999</v>
      </c>
      <c r="D55" s="2">
        <v>0.11199999999999999</v>
      </c>
      <c r="E55" s="2">
        <v>0.16</v>
      </c>
      <c r="F55" s="2">
        <v>0.151</v>
      </c>
      <c r="G55" s="2">
        <v>0.113</v>
      </c>
      <c r="H55" s="2">
        <v>0.16700000000000001</v>
      </c>
      <c r="I55" s="2">
        <v>3.7999999999999999E-2</v>
      </c>
      <c r="J55" s="2">
        <v>6.0000000000000001E-3</v>
      </c>
      <c r="K55" s="2">
        <v>0.06</v>
      </c>
      <c r="L55" s="39"/>
      <c r="M55" s="39"/>
      <c r="N55" s="39"/>
      <c r="R55" s="33" t="s">
        <v>86</v>
      </c>
    </row>
    <row r="56" spans="1:18">
      <c r="A56" s="3">
        <v>2015</v>
      </c>
      <c r="B56" s="3" t="s">
        <v>9</v>
      </c>
      <c r="C56" s="2">
        <v>0.14199999999999999</v>
      </c>
      <c r="D56" s="2">
        <v>0.111</v>
      </c>
      <c r="E56" s="2">
        <v>0.159</v>
      </c>
      <c r="F56" s="2">
        <v>0.51200000000000001</v>
      </c>
      <c r="G56" s="2">
        <v>0.113</v>
      </c>
      <c r="H56" s="2">
        <v>0.16800000000000001</v>
      </c>
      <c r="I56" s="2">
        <v>3.7999999999999999E-2</v>
      </c>
      <c r="J56" s="2">
        <v>6.0000000000000001E-3</v>
      </c>
      <c r="K56" s="2">
        <v>5.9000000000000004E-2</v>
      </c>
      <c r="L56" s="39"/>
      <c r="M56" s="39"/>
      <c r="N56" s="39"/>
      <c r="R56" s="33" t="s">
        <v>86</v>
      </c>
    </row>
    <row r="57" spans="1:18">
      <c r="A57" s="3">
        <v>2016</v>
      </c>
      <c r="B57" s="3" t="s">
        <v>9</v>
      </c>
      <c r="C57" s="2">
        <v>0.14199999999999999</v>
      </c>
      <c r="D57" s="2">
        <v>0.111</v>
      </c>
      <c r="E57" s="2">
        <v>0.159</v>
      </c>
      <c r="F57" s="2">
        <v>0.152</v>
      </c>
      <c r="G57" s="2">
        <v>0.113</v>
      </c>
      <c r="H57" s="2">
        <v>0.16800000000000001</v>
      </c>
      <c r="I57" s="2">
        <v>3.7999999999999999E-2</v>
      </c>
      <c r="J57" s="2">
        <v>6.0000000000000001E-3</v>
      </c>
      <c r="K57" s="2">
        <v>5.7000000000000002E-2</v>
      </c>
      <c r="L57" s="39"/>
      <c r="M57" s="39"/>
      <c r="N57" s="39"/>
      <c r="R57" s="33" t="s">
        <v>86</v>
      </c>
    </row>
    <row r="58" spans="1:18">
      <c r="A58" s="3">
        <v>2017</v>
      </c>
      <c r="B58" s="3" t="s">
        <v>9</v>
      </c>
      <c r="C58" s="2">
        <v>0.14000000000000001</v>
      </c>
      <c r="D58" s="2">
        <v>0.109</v>
      </c>
      <c r="E58" s="2">
        <v>0.158</v>
      </c>
      <c r="F58" s="2">
        <v>0.151</v>
      </c>
      <c r="G58" s="2">
        <v>0.111</v>
      </c>
      <c r="H58" s="2">
        <v>0.16700000000000001</v>
      </c>
      <c r="I58" s="2">
        <v>3.7000000000000005E-2</v>
      </c>
      <c r="J58" s="2">
        <v>6.0000000000000001E-3</v>
      </c>
      <c r="K58" s="2">
        <v>5.5999999999999994E-2</v>
      </c>
      <c r="L58" s="39"/>
      <c r="M58" s="39"/>
      <c r="N58" s="39"/>
      <c r="R58" s="33"/>
    </row>
    <row r="59" spans="1:18">
      <c r="A59" s="3">
        <v>2018</v>
      </c>
      <c r="B59" s="3" t="s">
        <v>9</v>
      </c>
      <c r="C59" s="2" t="s">
        <v>11</v>
      </c>
      <c r="D59" s="2" t="s">
        <v>11</v>
      </c>
      <c r="E59" s="2" t="s">
        <v>11</v>
      </c>
      <c r="F59" s="32">
        <v>0.15</v>
      </c>
      <c r="G59" s="32">
        <v>0.109</v>
      </c>
      <c r="H59" s="32">
        <v>0.16500000000000001</v>
      </c>
      <c r="I59" s="32">
        <v>3.7000000000000005E-2</v>
      </c>
      <c r="J59" s="32">
        <v>6.0000000000000001E-3</v>
      </c>
      <c r="K59" s="32">
        <v>5.4000000000000006E-2</v>
      </c>
      <c r="L59" s="39"/>
      <c r="M59" s="39"/>
      <c r="N59" s="39"/>
      <c r="R59" s="33" t="s">
        <v>86</v>
      </c>
    </row>
    <row r="60" spans="1:18">
      <c r="A60" s="3">
        <v>1990</v>
      </c>
      <c r="B60" s="3" t="s">
        <v>10</v>
      </c>
      <c r="C60" s="2">
        <v>6.9999999999999993E-3</v>
      </c>
      <c r="D60" s="2">
        <v>6.0000000000000001E-3</v>
      </c>
      <c r="E60" s="2">
        <v>8.0000000000000002E-3</v>
      </c>
      <c r="F60" s="2">
        <v>5.0000000000000001E-3</v>
      </c>
      <c r="G60" s="2">
        <v>4.0000000000000001E-3</v>
      </c>
      <c r="H60" s="2">
        <v>6.0000000000000001E-3</v>
      </c>
      <c r="I60" s="2">
        <v>6.0000000000000001E-3</v>
      </c>
      <c r="J60" s="2">
        <v>3.0000000000000001E-3</v>
      </c>
      <c r="K60" s="2">
        <v>9.0000000000000011E-3</v>
      </c>
      <c r="L60" s="39"/>
      <c r="M60" s="39"/>
      <c r="N60" s="39"/>
      <c r="R60" s="33" t="s">
        <v>86</v>
      </c>
    </row>
    <row r="61" spans="1:18">
      <c r="A61" s="3">
        <v>1991</v>
      </c>
      <c r="B61" s="3" t="s">
        <v>10</v>
      </c>
      <c r="C61" s="2">
        <v>1.2E-2</v>
      </c>
      <c r="D61" s="2">
        <v>1.1000000000000001E-2</v>
      </c>
      <c r="E61" s="2">
        <v>1.3999999999999999E-2</v>
      </c>
      <c r="F61" s="2">
        <v>8.0000000000000002E-3</v>
      </c>
      <c r="G61" s="2">
        <v>6.0000000000000001E-3</v>
      </c>
      <c r="H61" s="2">
        <v>0.01</v>
      </c>
      <c r="I61" s="2">
        <v>0.01</v>
      </c>
      <c r="J61" s="2">
        <v>5.0000000000000001E-3</v>
      </c>
      <c r="K61" s="2">
        <v>1.6E-2</v>
      </c>
      <c r="L61" s="39"/>
      <c r="M61" s="39"/>
      <c r="N61" s="39"/>
      <c r="R61" s="33" t="s">
        <v>86</v>
      </c>
    </row>
    <row r="62" spans="1:18">
      <c r="A62" s="3">
        <v>1992</v>
      </c>
      <c r="B62" s="3" t="s">
        <v>10</v>
      </c>
      <c r="C62" s="2">
        <v>0.02</v>
      </c>
      <c r="D62" s="2">
        <v>1.8000000000000002E-2</v>
      </c>
      <c r="E62" s="2">
        <v>2.2000000000000002E-2</v>
      </c>
      <c r="F62" s="2">
        <v>1.4E-2</v>
      </c>
      <c r="G62" s="2">
        <v>0.01</v>
      </c>
      <c r="H62" s="2">
        <v>1.7999999999999999E-2</v>
      </c>
      <c r="I62" s="2">
        <v>1.7000000000000001E-2</v>
      </c>
      <c r="J62" s="2">
        <v>8.0000000000000002E-3</v>
      </c>
      <c r="K62" s="2">
        <v>2.7000000000000003E-2</v>
      </c>
      <c r="R62" s="33" t="s">
        <v>86</v>
      </c>
    </row>
    <row r="63" spans="1:18">
      <c r="A63" s="3">
        <v>1993</v>
      </c>
      <c r="B63" s="3" t="s">
        <v>10</v>
      </c>
      <c r="C63" s="2">
        <v>3.2000000000000001E-2</v>
      </c>
      <c r="D63" s="2">
        <v>2.8999999999999998E-2</v>
      </c>
      <c r="E63" s="2">
        <v>3.5000000000000003E-2</v>
      </c>
      <c r="F63" s="2">
        <v>2.3E-2</v>
      </c>
      <c r="G63" s="2">
        <v>1.6E-2</v>
      </c>
      <c r="H63" s="2">
        <v>2.9000000000000001E-2</v>
      </c>
      <c r="I63" s="2">
        <v>2.8999999999999998E-2</v>
      </c>
      <c r="J63" s="2">
        <v>1.3999999999999999E-2</v>
      </c>
      <c r="K63" s="2">
        <v>4.2999999999999997E-2</v>
      </c>
      <c r="R63" s="33" t="s">
        <v>86</v>
      </c>
    </row>
    <row r="64" spans="1:18">
      <c r="A64" s="3">
        <v>1994</v>
      </c>
      <c r="B64" s="3" t="s">
        <v>10</v>
      </c>
      <c r="C64" s="2">
        <v>4.7E-2</v>
      </c>
      <c r="D64" s="2">
        <v>4.2999999999999997E-2</v>
      </c>
      <c r="E64" s="2">
        <v>5.2000000000000005E-2</v>
      </c>
      <c r="F64" s="2">
        <v>3.5999999999999997E-2</v>
      </c>
      <c r="G64" s="2">
        <v>2.5999999999999999E-2</v>
      </c>
      <c r="H64" s="2">
        <v>4.4999999999999998E-2</v>
      </c>
      <c r="I64" s="2">
        <v>4.4999999999999998E-2</v>
      </c>
      <c r="J64" s="2">
        <v>2.2000000000000002E-2</v>
      </c>
      <c r="K64" s="2">
        <v>6.7000000000000004E-2</v>
      </c>
      <c r="R64" s="33" t="s">
        <v>86</v>
      </c>
    </row>
    <row r="65" spans="1:18">
      <c r="A65" s="3">
        <v>1995</v>
      </c>
      <c r="B65" s="3" t="s">
        <v>10</v>
      </c>
      <c r="C65" s="2">
        <v>6.6000000000000003E-2</v>
      </c>
      <c r="D65" s="2">
        <v>0.06</v>
      </c>
      <c r="E65" s="2">
        <v>7.0999999999999994E-2</v>
      </c>
      <c r="F65" s="32">
        <v>5.2999999999999999E-2</v>
      </c>
      <c r="G65" s="32">
        <v>3.9E-2</v>
      </c>
      <c r="H65" s="32">
        <v>6.4000000000000001E-2</v>
      </c>
      <c r="I65" s="32">
        <v>6.4000000000000001E-2</v>
      </c>
      <c r="J65" s="32">
        <v>3.2000000000000001E-2</v>
      </c>
      <c r="K65" s="32">
        <v>9.8000000000000004E-2</v>
      </c>
      <c r="R65" s="33" t="s">
        <v>86</v>
      </c>
    </row>
    <row r="66" spans="1:18">
      <c r="A66" s="3">
        <v>1996</v>
      </c>
      <c r="B66" s="3" t="s">
        <v>10</v>
      </c>
      <c r="C66" s="2">
        <v>8.5000000000000006E-2</v>
      </c>
      <c r="D66" s="2">
        <v>7.9000000000000001E-2</v>
      </c>
      <c r="E66" s="2">
        <v>9.1999999999999998E-2</v>
      </c>
      <c r="F66" s="2">
        <v>7.1999999999999995E-2</v>
      </c>
      <c r="G66" s="2">
        <v>5.5E-2</v>
      </c>
      <c r="H66" s="2">
        <v>8.5999999999999993E-2</v>
      </c>
      <c r="I66" s="2">
        <v>8.5999999999999993E-2</v>
      </c>
      <c r="J66" s="2">
        <v>4.2000000000000003E-2</v>
      </c>
      <c r="K66" s="2">
        <v>0.129</v>
      </c>
      <c r="R66" s="33" t="s">
        <v>86</v>
      </c>
    </row>
    <row r="67" spans="1:18">
      <c r="A67" s="3">
        <v>1997</v>
      </c>
      <c r="B67" s="3" t="s">
        <v>10</v>
      </c>
      <c r="C67" s="2">
        <v>0.105</v>
      </c>
      <c r="D67" s="2">
        <v>9.8000000000000004E-2</v>
      </c>
      <c r="E67" s="2">
        <v>0.11199999999999999</v>
      </c>
      <c r="F67" s="2">
        <v>9.2999999999999999E-2</v>
      </c>
      <c r="G67" s="2">
        <v>7.1999999999999995E-2</v>
      </c>
      <c r="H67" s="2">
        <v>0.108</v>
      </c>
      <c r="I67" s="2">
        <v>0.109</v>
      </c>
      <c r="J67" s="2">
        <v>0.05</v>
      </c>
      <c r="K67" s="2">
        <v>0.16500000000000001</v>
      </c>
      <c r="R67" s="33" t="s">
        <v>86</v>
      </c>
    </row>
    <row r="68" spans="1:18">
      <c r="A68" s="3">
        <v>1998</v>
      </c>
      <c r="B68" s="3" t="s">
        <v>10</v>
      </c>
      <c r="C68" s="2">
        <v>0.12300000000000001</v>
      </c>
      <c r="D68" s="2">
        <v>0.115</v>
      </c>
      <c r="E68" s="2">
        <v>0.13200000000000001</v>
      </c>
      <c r="F68" s="2">
        <v>0.113</v>
      </c>
      <c r="G68" s="2">
        <v>9.1999999999999998E-2</v>
      </c>
      <c r="H68" s="2">
        <v>0.129</v>
      </c>
      <c r="I68" s="2">
        <v>0.127</v>
      </c>
      <c r="J68" s="2">
        <v>5.5999999999999994E-2</v>
      </c>
      <c r="K68" s="2">
        <v>0.19600000000000001</v>
      </c>
      <c r="R68" s="33" t="s">
        <v>86</v>
      </c>
    </row>
    <row r="69" spans="1:18">
      <c r="A69" s="3">
        <v>1999</v>
      </c>
      <c r="B69" s="3" t="s">
        <v>10</v>
      </c>
      <c r="C69" s="2">
        <v>0.14000000000000001</v>
      </c>
      <c r="D69" s="2">
        <v>0.13</v>
      </c>
      <c r="E69" s="2">
        <v>0.14800000000000002</v>
      </c>
      <c r="F69" s="2">
        <v>0.13100000000000001</v>
      </c>
      <c r="G69" s="2">
        <v>0.109</v>
      </c>
      <c r="H69" s="2">
        <v>0.14699999999999999</v>
      </c>
      <c r="I69" s="2">
        <v>0.14199999999999999</v>
      </c>
      <c r="J69" s="2">
        <v>0.06</v>
      </c>
      <c r="K69" s="2">
        <v>0.21899999999999997</v>
      </c>
      <c r="R69" s="33" t="s">
        <v>86</v>
      </c>
    </row>
    <row r="70" spans="1:18">
      <c r="A70" s="3">
        <v>2000</v>
      </c>
      <c r="B70" s="3" t="s">
        <v>10</v>
      </c>
      <c r="C70" s="2">
        <v>0.153</v>
      </c>
      <c r="D70" s="2">
        <v>0.14300000000000002</v>
      </c>
      <c r="E70" s="2">
        <v>0.16300000000000001</v>
      </c>
      <c r="F70" s="2">
        <v>0.14799999999999999</v>
      </c>
      <c r="G70" s="2">
        <v>0.14799999999999999</v>
      </c>
      <c r="H70" s="2">
        <v>0.16300000000000001</v>
      </c>
      <c r="I70" s="2">
        <v>0.153</v>
      </c>
      <c r="J70" s="2">
        <v>6.0999999999999999E-2</v>
      </c>
      <c r="K70" s="2">
        <v>0.23800000000000002</v>
      </c>
      <c r="R70" s="33" t="s">
        <v>86</v>
      </c>
    </row>
    <row r="71" spans="1:18">
      <c r="A71" s="3">
        <v>2001</v>
      </c>
      <c r="B71" s="3" t="s">
        <v>10</v>
      </c>
      <c r="C71" s="2">
        <v>0.16500000000000001</v>
      </c>
      <c r="D71" s="2">
        <v>0.153</v>
      </c>
      <c r="E71" s="2">
        <v>0.17699999999999999</v>
      </c>
      <c r="F71" s="2">
        <v>0.16200000000000001</v>
      </c>
      <c r="G71" s="2">
        <v>0.13900000000000001</v>
      </c>
      <c r="H71" s="2">
        <v>0.17699999999999999</v>
      </c>
      <c r="I71" s="2">
        <v>0.159</v>
      </c>
      <c r="J71" s="2">
        <v>6.0999999999999999E-2</v>
      </c>
      <c r="K71" s="2">
        <v>0.249</v>
      </c>
      <c r="R71" s="33" t="s">
        <v>86</v>
      </c>
    </row>
    <row r="72" spans="1:18">
      <c r="A72" s="3">
        <v>2002</v>
      </c>
      <c r="B72" s="3" t="s">
        <v>10</v>
      </c>
      <c r="C72" s="2">
        <v>0.17499999999999999</v>
      </c>
      <c r="D72" s="2">
        <v>0.161</v>
      </c>
      <c r="E72" s="2">
        <v>0.188</v>
      </c>
      <c r="F72" s="2">
        <v>0.17399999999999999</v>
      </c>
      <c r="G72" s="2">
        <v>0.152</v>
      </c>
      <c r="H72" s="2">
        <v>0.19</v>
      </c>
      <c r="I72" s="2">
        <v>0.16300000000000001</v>
      </c>
      <c r="J72" s="2">
        <v>0.06</v>
      </c>
      <c r="K72" s="2">
        <v>0.254</v>
      </c>
      <c r="R72" s="33" t="s">
        <v>86</v>
      </c>
    </row>
    <row r="73" spans="1:18">
      <c r="A73" s="3">
        <v>2003</v>
      </c>
      <c r="B73" s="3" t="s">
        <v>10</v>
      </c>
      <c r="C73" s="2">
        <v>0.183</v>
      </c>
      <c r="D73" s="2">
        <v>0.16699999999999998</v>
      </c>
      <c r="E73" s="2">
        <v>0.19899999999999998</v>
      </c>
      <c r="F73" s="2">
        <v>0.184</v>
      </c>
      <c r="G73" s="2">
        <v>0.16200000000000001</v>
      </c>
      <c r="H73" s="2">
        <v>0.2</v>
      </c>
      <c r="I73" s="2">
        <v>0.16399999999999998</v>
      </c>
      <c r="J73" s="2">
        <v>5.9000000000000004E-2</v>
      </c>
      <c r="K73" s="2">
        <v>0.254</v>
      </c>
      <c r="R73" s="33" t="s">
        <v>86</v>
      </c>
    </row>
    <row r="74" spans="1:18">
      <c r="A74" s="3">
        <v>2004</v>
      </c>
      <c r="B74" s="3" t="s">
        <v>10</v>
      </c>
      <c r="C74" s="2">
        <v>0.19</v>
      </c>
      <c r="D74" s="2">
        <v>0.17199999999999999</v>
      </c>
      <c r="E74" s="2">
        <v>0.20800000000000002</v>
      </c>
      <c r="F74" s="2">
        <v>0.193</v>
      </c>
      <c r="G74" s="2">
        <v>0.17100000000000001</v>
      </c>
      <c r="H74" s="2">
        <v>0.21</v>
      </c>
      <c r="I74" s="2">
        <v>0.16300000000000001</v>
      </c>
      <c r="J74" s="2">
        <v>5.7999999999999996E-2</v>
      </c>
      <c r="K74" s="2">
        <v>0.254</v>
      </c>
      <c r="R74" s="33" t="s">
        <v>86</v>
      </c>
    </row>
    <row r="75" spans="1:18">
      <c r="A75" s="3">
        <v>2005</v>
      </c>
      <c r="B75" s="3" t="s">
        <v>10</v>
      </c>
      <c r="C75" s="2">
        <v>0.19699999999999998</v>
      </c>
      <c r="D75" s="2">
        <v>0.17699999999999999</v>
      </c>
      <c r="E75" s="2">
        <v>0.21600000000000003</v>
      </c>
      <c r="F75" s="32">
        <v>0.20100000000000001</v>
      </c>
      <c r="G75" s="32">
        <v>0.18</v>
      </c>
      <c r="H75" s="32">
        <v>0.219</v>
      </c>
      <c r="I75" s="32">
        <v>0.16200000000000001</v>
      </c>
      <c r="J75" s="32">
        <v>5.7999999999999996E-2</v>
      </c>
      <c r="K75" s="32">
        <v>0.251</v>
      </c>
      <c r="R75" s="33" t="s">
        <v>86</v>
      </c>
    </row>
    <row r="76" spans="1:18">
      <c r="A76" s="3">
        <v>2006</v>
      </c>
      <c r="B76" s="3" t="s">
        <v>10</v>
      </c>
      <c r="C76" s="2">
        <v>0.20199999999999999</v>
      </c>
      <c r="D76" s="2">
        <v>0.18100000000000002</v>
      </c>
      <c r="E76" s="2">
        <v>0.22399999999999998</v>
      </c>
      <c r="F76" s="2">
        <v>0.20799999999999999</v>
      </c>
      <c r="G76" s="2">
        <v>0.186</v>
      </c>
      <c r="H76" s="2">
        <v>0.22700000000000001</v>
      </c>
      <c r="I76" s="2">
        <v>0.16</v>
      </c>
      <c r="J76" s="2">
        <v>5.7000000000000002E-2</v>
      </c>
      <c r="K76" s="2">
        <v>0.247</v>
      </c>
      <c r="R76" s="33" t="s">
        <v>86</v>
      </c>
    </row>
    <row r="77" spans="1:18">
      <c r="A77" s="3">
        <v>2007</v>
      </c>
      <c r="B77" s="3" t="s">
        <v>10</v>
      </c>
      <c r="C77" s="2">
        <v>0.20699999999999999</v>
      </c>
      <c r="D77" s="2">
        <v>0.184</v>
      </c>
      <c r="E77" s="2">
        <v>0.23</v>
      </c>
      <c r="F77" s="2">
        <v>0.214</v>
      </c>
      <c r="G77" s="2">
        <v>0.19</v>
      </c>
      <c r="H77" s="2">
        <v>0.23400000000000001</v>
      </c>
      <c r="I77" s="2">
        <v>0.156</v>
      </c>
      <c r="J77" s="2">
        <v>5.5999999999999994E-2</v>
      </c>
      <c r="K77" s="2">
        <v>0.24</v>
      </c>
      <c r="R77" s="33" t="s">
        <v>86</v>
      </c>
    </row>
    <row r="78" spans="1:18">
      <c r="A78" s="3">
        <v>2008</v>
      </c>
      <c r="B78" s="3" t="s">
        <v>10</v>
      </c>
      <c r="C78" s="2">
        <v>0.21199999999999999</v>
      </c>
      <c r="D78" s="2">
        <v>0.18600000000000003</v>
      </c>
      <c r="E78" s="2">
        <v>0.23699999999999999</v>
      </c>
      <c r="F78" s="2">
        <v>0.22</v>
      </c>
      <c r="G78" s="2">
        <v>0.19400000000000001</v>
      </c>
      <c r="H78" s="2">
        <v>0.24199999999999999</v>
      </c>
      <c r="I78" s="2">
        <v>0.153</v>
      </c>
      <c r="J78" s="2">
        <v>5.5E-2</v>
      </c>
      <c r="K78" s="2">
        <v>0.23499999999999999</v>
      </c>
      <c r="R78" s="33" t="s">
        <v>86</v>
      </c>
    </row>
    <row r="79" spans="1:18">
      <c r="A79" s="3">
        <v>2009</v>
      </c>
      <c r="B79" s="3" t="s">
        <v>10</v>
      </c>
      <c r="C79" s="2">
        <v>0.217</v>
      </c>
      <c r="D79" s="2">
        <v>0.18899999999999997</v>
      </c>
      <c r="E79" s="2">
        <v>0.24299999999999999</v>
      </c>
      <c r="F79" s="2">
        <v>0.22600000000000001</v>
      </c>
      <c r="G79" s="2">
        <v>0.2</v>
      </c>
      <c r="H79" s="2">
        <v>0.249</v>
      </c>
      <c r="I79" s="2">
        <v>0.14899999999999999</v>
      </c>
      <c r="J79" s="2">
        <v>5.5E-2</v>
      </c>
      <c r="K79" s="2">
        <v>0.23100000000000001</v>
      </c>
      <c r="R79" s="33" t="s">
        <v>86</v>
      </c>
    </row>
    <row r="80" spans="1:18">
      <c r="A80" s="3">
        <v>2010</v>
      </c>
      <c r="B80" s="3" t="s">
        <v>10</v>
      </c>
      <c r="C80" s="2">
        <v>0.221</v>
      </c>
      <c r="D80" s="2">
        <v>0.193</v>
      </c>
      <c r="E80" s="2">
        <v>0.248</v>
      </c>
      <c r="F80" s="2">
        <v>0.23100000000000001</v>
      </c>
      <c r="G80" s="2">
        <v>0.20499999999999999</v>
      </c>
      <c r="H80" s="2">
        <v>0.25600000000000001</v>
      </c>
      <c r="I80" s="2">
        <v>0.14599999999999999</v>
      </c>
      <c r="J80" s="2">
        <v>5.2999999999999999E-2</v>
      </c>
      <c r="K80" s="2">
        <v>0.22500000000000001</v>
      </c>
      <c r="R80" s="33" t="s">
        <v>86</v>
      </c>
    </row>
    <row r="81" spans="1:22">
      <c r="A81" s="3">
        <v>2011</v>
      </c>
      <c r="B81" s="3" t="s">
        <v>10</v>
      </c>
      <c r="C81" s="2">
        <v>0.22399999999999998</v>
      </c>
      <c r="D81" s="2">
        <v>0.19699999999999998</v>
      </c>
      <c r="E81" s="2">
        <v>0.253</v>
      </c>
      <c r="F81" s="2">
        <v>0.23699999999999999</v>
      </c>
      <c r="G81" s="2">
        <v>0.21</v>
      </c>
      <c r="H81" s="2">
        <v>0.26300000000000001</v>
      </c>
      <c r="I81" s="2">
        <v>0.14199999999999999</v>
      </c>
      <c r="J81" s="2">
        <v>5.2000000000000005E-2</v>
      </c>
      <c r="K81" s="2">
        <v>0.21899999999999997</v>
      </c>
      <c r="R81" s="33" t="s">
        <v>86</v>
      </c>
    </row>
    <row r="82" spans="1:22">
      <c r="A82" s="3">
        <v>2012</v>
      </c>
      <c r="B82" s="3" t="s">
        <v>10</v>
      </c>
      <c r="C82" s="2">
        <v>0.22800000000000001</v>
      </c>
      <c r="D82" s="2">
        <v>0.2</v>
      </c>
      <c r="E82" s="2">
        <v>0.25600000000000001</v>
      </c>
      <c r="F82" s="32">
        <v>0.24199999999999999</v>
      </c>
      <c r="G82" s="32">
        <v>0.214</v>
      </c>
      <c r="H82" s="32">
        <v>0.26800000000000002</v>
      </c>
      <c r="I82" s="32">
        <v>0.13800000000000001</v>
      </c>
      <c r="J82" s="32">
        <v>5.0999999999999997E-2</v>
      </c>
      <c r="K82" s="32">
        <v>0.215</v>
      </c>
      <c r="R82" s="33" t="s">
        <v>86</v>
      </c>
    </row>
    <row r="83" spans="1:22">
      <c r="A83" s="3">
        <v>2013</v>
      </c>
      <c r="B83" s="3" t="s">
        <v>10</v>
      </c>
      <c r="C83" s="2">
        <v>0.23100000000000001</v>
      </c>
      <c r="D83" s="2">
        <v>0.20399999999999999</v>
      </c>
      <c r="E83" s="2">
        <v>0.25900000000000001</v>
      </c>
      <c r="F83" s="2">
        <v>0.246</v>
      </c>
      <c r="G83" s="2">
        <v>0.217</v>
      </c>
      <c r="H83" s="2">
        <v>0.27400000000000002</v>
      </c>
      <c r="I83" s="2">
        <v>0.13400000000000001</v>
      </c>
      <c r="J83" s="2">
        <v>0.05</v>
      </c>
      <c r="K83" s="2">
        <v>0.20899999999999999</v>
      </c>
      <c r="R83" s="33" t="s">
        <v>86</v>
      </c>
    </row>
    <row r="84" spans="1:22">
      <c r="A84" s="3">
        <v>2014</v>
      </c>
      <c r="B84" s="3" t="s">
        <v>10</v>
      </c>
      <c r="C84" s="2">
        <v>0.23399999999999999</v>
      </c>
      <c r="D84" s="2">
        <v>0.20600000000000002</v>
      </c>
      <c r="E84" s="2">
        <v>0.26300000000000001</v>
      </c>
      <c r="F84" s="2">
        <v>0.25</v>
      </c>
      <c r="G84" s="2">
        <v>0.219</v>
      </c>
      <c r="H84" s="2">
        <v>0.27800000000000002</v>
      </c>
      <c r="I84" s="2">
        <v>0.13</v>
      </c>
      <c r="J84" s="2">
        <v>4.9000000000000002E-2</v>
      </c>
      <c r="K84" s="2">
        <v>0.20399999999999999</v>
      </c>
      <c r="R84" s="33" t="s">
        <v>86</v>
      </c>
    </row>
    <row r="85" spans="1:22">
      <c r="A85" s="3">
        <v>2015</v>
      </c>
      <c r="B85" s="3" t="s">
        <v>10</v>
      </c>
      <c r="C85" s="2">
        <v>0.23600000000000002</v>
      </c>
      <c r="D85" s="2">
        <v>0.20800000000000002</v>
      </c>
      <c r="E85" s="2">
        <v>0.26600000000000001</v>
      </c>
      <c r="F85" s="2">
        <v>0.253</v>
      </c>
      <c r="G85" s="2">
        <v>0.221</v>
      </c>
      <c r="H85" s="2">
        <v>0.28100000000000003</v>
      </c>
      <c r="I85" s="2">
        <v>0.126</v>
      </c>
      <c r="J85" s="2">
        <v>4.9000000000000002E-2</v>
      </c>
      <c r="K85" s="2">
        <v>0.19699999999999998</v>
      </c>
      <c r="R85" s="33" t="s">
        <v>86</v>
      </c>
    </row>
    <row r="86" spans="1:22">
      <c r="A86" s="3">
        <v>2016</v>
      </c>
      <c r="B86" s="3" t="s">
        <v>10</v>
      </c>
      <c r="C86" s="2">
        <v>0.23699999999999999</v>
      </c>
      <c r="D86" s="2">
        <v>0.20899999999999999</v>
      </c>
      <c r="E86" s="2">
        <v>0.26700000000000002</v>
      </c>
      <c r="F86" s="35">
        <v>0.25600000000000001</v>
      </c>
      <c r="G86" s="35">
        <v>0.223</v>
      </c>
      <c r="H86" s="35">
        <v>0.28399999999999997</v>
      </c>
      <c r="I86" s="35">
        <v>0.122</v>
      </c>
      <c r="J86" s="35">
        <v>4.9000000000000002E-2</v>
      </c>
      <c r="K86" s="35">
        <v>0.19</v>
      </c>
      <c r="R86" s="33" t="s">
        <v>86</v>
      </c>
    </row>
    <row r="87" spans="1:22">
      <c r="A87" s="3">
        <v>2017</v>
      </c>
      <c r="B87" s="3" t="s">
        <v>10</v>
      </c>
      <c r="C87" s="36">
        <v>0.23699999999999999</v>
      </c>
      <c r="D87" s="35">
        <v>0.20899999999999999</v>
      </c>
      <c r="E87" s="35">
        <v>0.26700000000000002</v>
      </c>
      <c r="F87" s="2">
        <v>0.25700000000000001</v>
      </c>
      <c r="G87" s="2">
        <v>0.224</v>
      </c>
      <c r="H87" s="2">
        <v>0.28499999999999998</v>
      </c>
      <c r="I87" s="2">
        <v>0.11800000000000001</v>
      </c>
      <c r="J87" s="2">
        <v>4.8000000000000001E-2</v>
      </c>
      <c r="K87" s="2">
        <v>0.184</v>
      </c>
      <c r="R87" s="33" t="s">
        <v>86</v>
      </c>
    </row>
    <row r="88" spans="1:22">
      <c r="A88" s="3">
        <v>2018</v>
      </c>
      <c r="B88" s="4" t="s">
        <v>10</v>
      </c>
      <c r="C88" s="2" t="s">
        <v>11</v>
      </c>
      <c r="D88" s="2" t="s">
        <v>11</v>
      </c>
      <c r="E88" s="2" t="s">
        <v>11</v>
      </c>
      <c r="F88" s="32">
        <v>0.25800000000000001</v>
      </c>
      <c r="G88" s="32">
        <v>0.223</v>
      </c>
      <c r="H88" s="32">
        <v>0.28599999999999998</v>
      </c>
      <c r="I88" s="32">
        <v>0.113</v>
      </c>
      <c r="J88" s="32">
        <v>4.8000000000000001E-2</v>
      </c>
      <c r="K88" s="32">
        <v>0.17800000000000002</v>
      </c>
      <c r="R88" s="33" t="s">
        <v>86</v>
      </c>
    </row>
    <row r="89" spans="1:22">
      <c r="A89" s="4">
        <v>2002</v>
      </c>
      <c r="B89" s="4" t="s">
        <v>10</v>
      </c>
      <c r="R89" s="2" t="s">
        <v>160</v>
      </c>
      <c r="S89" s="2" t="s">
        <v>95</v>
      </c>
      <c r="T89" s="2">
        <v>0.12</v>
      </c>
      <c r="U89" s="2">
        <v>9.1999999999999998E-2</v>
      </c>
      <c r="V89" s="2">
        <v>0.14699999999999999</v>
      </c>
    </row>
    <row r="90" spans="1:22">
      <c r="A90" s="4">
        <v>2002</v>
      </c>
      <c r="B90" s="4" t="s">
        <v>10</v>
      </c>
      <c r="R90" s="2" t="s">
        <v>167</v>
      </c>
      <c r="S90" s="37" t="s">
        <v>168</v>
      </c>
      <c r="T90" s="2">
        <v>5.8000000000000003E-2</v>
      </c>
      <c r="U90" s="2">
        <v>3.2000000000000001E-2</v>
      </c>
      <c r="V90" s="2">
        <v>0.104</v>
      </c>
    </row>
    <row r="91" spans="1:22">
      <c r="A91" s="4">
        <v>2002</v>
      </c>
      <c r="B91" s="4" t="s">
        <v>9</v>
      </c>
      <c r="R91" s="2" t="s">
        <v>167</v>
      </c>
      <c r="S91" s="37" t="s">
        <v>166</v>
      </c>
      <c r="T91" s="2">
        <v>5.8999999999999997E-2</v>
      </c>
      <c r="U91" s="2">
        <v>2.3E-2</v>
      </c>
      <c r="V91" s="2">
        <v>0.14199999999999999</v>
      </c>
    </row>
    <row r="92" spans="1:22">
      <c r="A92" s="4">
        <v>2002</v>
      </c>
      <c r="B92" s="4" t="s">
        <v>10</v>
      </c>
      <c r="R92" s="2" t="s">
        <v>167</v>
      </c>
      <c r="S92" s="37" t="s">
        <v>166</v>
      </c>
      <c r="T92" s="2">
        <v>3.5000000000000003E-2</v>
      </c>
      <c r="U92" s="2">
        <v>1.9E-2</v>
      </c>
      <c r="V92" s="2">
        <v>6.4000000000000001E-2</v>
      </c>
    </row>
    <row r="93" spans="1:22">
      <c r="A93" s="4">
        <v>2002</v>
      </c>
      <c r="B93" s="4" t="s">
        <v>10</v>
      </c>
      <c r="R93" s="2" t="s">
        <v>160</v>
      </c>
      <c r="S93" s="37" t="s">
        <v>161</v>
      </c>
      <c r="T93" s="2">
        <v>0.32</v>
      </c>
      <c r="U93" s="2">
        <v>0.248</v>
      </c>
      <c r="V93" s="2">
        <v>0.40100000000000002</v>
      </c>
    </row>
    <row r="94" spans="1:22">
      <c r="A94" s="4">
        <v>2002</v>
      </c>
      <c r="B94" s="4" t="s">
        <v>10</v>
      </c>
      <c r="R94" s="2" t="s">
        <v>160</v>
      </c>
      <c r="S94" s="37" t="s">
        <v>162</v>
      </c>
      <c r="T94" s="2">
        <v>0.24099999999999999</v>
      </c>
      <c r="U94" s="2">
        <v>0.17299999999999999</v>
      </c>
      <c r="V94" s="2">
        <v>0.32500000000000001</v>
      </c>
    </row>
    <row r="95" spans="1:22">
      <c r="A95" s="4">
        <v>2002</v>
      </c>
      <c r="B95" s="4" t="s">
        <v>10</v>
      </c>
      <c r="R95" s="2" t="s">
        <v>160</v>
      </c>
      <c r="S95" s="37" t="s">
        <v>163</v>
      </c>
      <c r="T95" s="2">
        <v>0.13800000000000001</v>
      </c>
      <c r="U95" s="2">
        <v>8.6999999999999994E-2</v>
      </c>
      <c r="V95" s="2">
        <v>0.21099999999999999</v>
      </c>
    </row>
    <row r="96" spans="1:22">
      <c r="A96" s="4">
        <v>2002</v>
      </c>
      <c r="B96" s="4" t="s">
        <v>10</v>
      </c>
      <c r="R96" s="2" t="s">
        <v>160</v>
      </c>
      <c r="S96" s="37" t="s">
        <v>164</v>
      </c>
      <c r="T96" s="2">
        <v>0.19</v>
      </c>
      <c r="U96" s="2">
        <v>0.128</v>
      </c>
      <c r="V96" s="2">
        <v>0.27200000000000002</v>
      </c>
    </row>
    <row r="97" spans="1:26">
      <c r="A97" s="4">
        <v>2002</v>
      </c>
      <c r="B97" s="4" t="s">
        <v>10</v>
      </c>
      <c r="R97" s="2" t="s">
        <v>160</v>
      </c>
      <c r="S97" s="37" t="s">
        <v>165</v>
      </c>
      <c r="T97" s="2">
        <v>0.112</v>
      </c>
      <c r="U97" s="2">
        <v>6.5000000000000002E-2</v>
      </c>
      <c r="V97" s="2">
        <v>0.187</v>
      </c>
    </row>
    <row r="98" spans="1:26">
      <c r="A98" s="4">
        <v>2002</v>
      </c>
      <c r="B98" s="4" t="s">
        <v>9</v>
      </c>
      <c r="R98" s="2" t="s">
        <v>167</v>
      </c>
      <c r="S98" s="37" t="s">
        <v>168</v>
      </c>
      <c r="T98" s="2">
        <v>5.0999999999999997E-2</v>
      </c>
      <c r="U98" s="2">
        <v>3.9E-2</v>
      </c>
      <c r="V98" s="2">
        <v>0.106</v>
      </c>
    </row>
    <row r="99" spans="1:26">
      <c r="A99" s="4">
        <v>2002</v>
      </c>
      <c r="B99" s="4" t="s">
        <v>9</v>
      </c>
      <c r="R99" s="2" t="s">
        <v>160</v>
      </c>
      <c r="S99" s="2" t="s">
        <v>95</v>
      </c>
      <c r="T99" s="2">
        <v>6.0999999999999999E-2</v>
      </c>
      <c r="U99" s="2">
        <v>3.9E-2</v>
      </c>
      <c r="V99" s="2">
        <v>8.3000000000000004E-2</v>
      </c>
    </row>
    <row r="100" spans="1:26">
      <c r="A100" s="4">
        <v>2005</v>
      </c>
      <c r="B100" s="4" t="s">
        <v>10</v>
      </c>
      <c r="R100" s="2" t="s">
        <v>160</v>
      </c>
      <c r="S100" s="2" t="s">
        <v>94</v>
      </c>
      <c r="W100" s="2">
        <v>5.0000000000000001E-3</v>
      </c>
      <c r="X100" s="2">
        <v>0</v>
      </c>
      <c r="Y100" s="2">
        <v>1.2E-2</v>
      </c>
      <c r="Z100" s="40">
        <v>69000</v>
      </c>
    </row>
    <row r="101" spans="1:26">
      <c r="A101" s="4">
        <v>2005</v>
      </c>
      <c r="B101" s="4" t="s">
        <v>10</v>
      </c>
      <c r="R101" s="2" t="s">
        <v>160</v>
      </c>
      <c r="S101" s="2" t="s">
        <v>95</v>
      </c>
      <c r="W101" s="23">
        <v>2.1999999999999999E-2</v>
      </c>
      <c r="X101" s="23">
        <v>1.2999999999999999E-2</v>
      </c>
      <c r="Y101" s="2">
        <v>3.1E-2</v>
      </c>
      <c r="Z101" s="41">
        <v>192000</v>
      </c>
    </row>
    <row r="102" spans="1:26">
      <c r="A102" s="4">
        <v>2012</v>
      </c>
      <c r="B102" s="4" t="s">
        <v>10</v>
      </c>
      <c r="R102" s="2" t="s">
        <v>160</v>
      </c>
      <c r="S102" s="38" t="s">
        <v>134</v>
      </c>
      <c r="T102" s="2">
        <v>3.27E-2</v>
      </c>
      <c r="U102" s="2">
        <v>0.02</v>
      </c>
      <c r="V102" s="2">
        <v>4.5400000000000003E-2</v>
      </c>
    </row>
    <row r="103" spans="1:26">
      <c r="A103" s="4">
        <v>2012</v>
      </c>
      <c r="B103" s="4" t="s">
        <v>10</v>
      </c>
      <c r="R103" s="2" t="s">
        <v>160</v>
      </c>
      <c r="S103" s="37" t="s">
        <v>95</v>
      </c>
      <c r="T103" s="2">
        <v>0.114</v>
      </c>
      <c r="U103" s="2">
        <v>9.64E-2</v>
      </c>
      <c r="V103" s="2">
        <v>0.13100000000000001</v>
      </c>
    </row>
    <row r="104" spans="1:26">
      <c r="A104" s="4">
        <v>2012</v>
      </c>
      <c r="B104" s="4" t="s">
        <v>10</v>
      </c>
      <c r="R104" s="2" t="s">
        <v>160</v>
      </c>
      <c r="S104" s="37" t="s">
        <v>135</v>
      </c>
      <c r="T104" s="2">
        <v>0.32</v>
      </c>
      <c r="U104" s="2">
        <v>0.28199999999999997</v>
      </c>
      <c r="V104" s="2">
        <v>0.35799999999999998</v>
      </c>
    </row>
    <row r="105" spans="1:26">
      <c r="A105" s="4">
        <v>2012</v>
      </c>
      <c r="B105" s="4" t="s">
        <v>10</v>
      </c>
      <c r="R105" s="2" t="s">
        <v>160</v>
      </c>
      <c r="S105" s="2" t="s">
        <v>136</v>
      </c>
      <c r="T105" s="2">
        <v>0.27200000000000002</v>
      </c>
      <c r="U105" s="2">
        <v>0.24</v>
      </c>
      <c r="V105" s="2">
        <v>0.30299999999999999</v>
      </c>
    </row>
    <row r="106" spans="1:26">
      <c r="A106" s="4">
        <v>2012</v>
      </c>
      <c r="B106" s="4" t="s">
        <v>10</v>
      </c>
      <c r="R106" s="2" t="s">
        <v>160</v>
      </c>
      <c r="S106" s="2" t="s">
        <v>137</v>
      </c>
      <c r="T106" s="2">
        <v>7.9699999999999993E-2</v>
      </c>
      <c r="U106" s="2">
        <v>6.4899999999999999E-2</v>
      </c>
      <c r="V106" s="2">
        <v>9.4399999999999998E-2</v>
      </c>
    </row>
    <row r="107" spans="1:26">
      <c r="A107" s="4">
        <v>2012</v>
      </c>
      <c r="B107" s="4" t="s">
        <v>10</v>
      </c>
      <c r="R107" s="2" t="s">
        <v>160</v>
      </c>
      <c r="S107" s="2" t="s">
        <v>138</v>
      </c>
      <c r="T107" s="2">
        <v>0.23</v>
      </c>
      <c r="U107" s="2">
        <v>0.21100000000000002</v>
      </c>
      <c r="V107" s="2">
        <v>0.25</v>
      </c>
    </row>
    <row r="108" spans="1:26">
      <c r="A108" s="4">
        <v>2012</v>
      </c>
      <c r="B108" s="4" t="s">
        <v>10</v>
      </c>
      <c r="R108" s="2" t="s">
        <v>160</v>
      </c>
      <c r="S108" s="2" t="s">
        <v>139</v>
      </c>
      <c r="T108" s="2">
        <v>0.19800000000000001</v>
      </c>
      <c r="U108" s="2">
        <v>0.18100000000000002</v>
      </c>
      <c r="V108" s="2">
        <v>0.215</v>
      </c>
    </row>
    <row r="109" spans="1:26">
      <c r="A109" s="4">
        <v>2012</v>
      </c>
      <c r="B109" s="4" t="s">
        <v>10</v>
      </c>
      <c r="R109" s="2" t="s">
        <v>160</v>
      </c>
      <c r="S109" s="2" t="s">
        <v>140</v>
      </c>
      <c r="T109" s="2">
        <v>0.22899999999999998</v>
      </c>
      <c r="U109" s="2">
        <v>0.20800000000000002</v>
      </c>
      <c r="V109" s="2">
        <v>0.251</v>
      </c>
    </row>
    <row r="110" spans="1:26">
      <c r="A110" s="4">
        <v>2012</v>
      </c>
      <c r="B110" s="4" t="s">
        <v>9</v>
      </c>
      <c r="R110" s="2" t="s">
        <v>160</v>
      </c>
      <c r="S110" s="38" t="s">
        <v>134</v>
      </c>
      <c r="T110" s="2">
        <v>2.7699999999999999E-2</v>
      </c>
      <c r="U110" s="2">
        <v>1.4999999999999999E-2</v>
      </c>
      <c r="V110" s="2">
        <v>4.0399999999999998E-2</v>
      </c>
    </row>
    <row r="111" spans="1:26">
      <c r="A111" s="4">
        <v>2012</v>
      </c>
      <c r="B111" s="4" t="s">
        <v>9</v>
      </c>
      <c r="R111" s="2" t="s">
        <v>160</v>
      </c>
      <c r="S111" s="37" t="s">
        <v>95</v>
      </c>
      <c r="T111" s="2">
        <v>2.87E-2</v>
      </c>
      <c r="U111" s="2">
        <v>0.02</v>
      </c>
      <c r="V111" s="2">
        <v>3.73E-2</v>
      </c>
    </row>
    <row r="112" spans="1:26">
      <c r="A112" s="4">
        <v>2012</v>
      </c>
      <c r="B112" s="4" t="s">
        <v>9</v>
      </c>
      <c r="L112" s="34"/>
      <c r="M112" s="34"/>
      <c r="R112" s="2" t="s">
        <v>160</v>
      </c>
      <c r="S112" s="37" t="s">
        <v>135</v>
      </c>
      <c r="T112" s="2">
        <v>0.21299999999999999</v>
      </c>
      <c r="U112" s="2">
        <v>0.17300000000000001</v>
      </c>
      <c r="V112" s="2">
        <v>0.253</v>
      </c>
    </row>
    <row r="113" spans="1:25">
      <c r="A113" s="4">
        <v>2012</v>
      </c>
      <c r="B113" s="4" t="s">
        <v>9</v>
      </c>
      <c r="L113" s="34"/>
      <c r="M113" s="34"/>
      <c r="R113" s="2" t="s">
        <v>160</v>
      </c>
      <c r="S113" s="2" t="s">
        <v>136</v>
      </c>
      <c r="T113" s="2">
        <v>0.20499999999999999</v>
      </c>
      <c r="U113" s="2">
        <v>0.16800000000000001</v>
      </c>
      <c r="V113" s="2">
        <v>0.24199999999999999</v>
      </c>
    </row>
    <row r="114" spans="1:25">
      <c r="A114" s="4">
        <v>2012</v>
      </c>
      <c r="B114" s="4" t="s">
        <v>9</v>
      </c>
      <c r="R114" s="2" t="s">
        <v>160</v>
      </c>
      <c r="S114" s="2" t="s">
        <v>137</v>
      </c>
      <c r="T114" s="2">
        <v>8.8300000000000003E-2</v>
      </c>
      <c r="U114" s="2">
        <v>6.5599999999999992E-2</v>
      </c>
      <c r="V114" s="2">
        <v>0.111</v>
      </c>
    </row>
    <row r="115" spans="1:25">
      <c r="A115" s="4">
        <v>2012</v>
      </c>
      <c r="B115" s="4" t="s">
        <v>9</v>
      </c>
      <c r="R115" s="2" t="s">
        <v>160</v>
      </c>
      <c r="S115" s="2" t="s">
        <v>138</v>
      </c>
      <c r="T115" s="2">
        <v>0.14400000000000002</v>
      </c>
      <c r="U115" s="2">
        <v>0.127</v>
      </c>
      <c r="V115" s="2">
        <v>0.161</v>
      </c>
    </row>
    <row r="116" spans="1:25">
      <c r="A116" s="4">
        <v>2012</v>
      </c>
      <c r="B116" s="4" t="s">
        <v>9</v>
      </c>
      <c r="R116" s="2" t="s">
        <v>160</v>
      </c>
      <c r="S116" s="2" t="s">
        <v>139</v>
      </c>
      <c r="T116" s="2">
        <v>0.13400000000000001</v>
      </c>
      <c r="U116" s="2">
        <v>0.11900000000000001</v>
      </c>
      <c r="V116" s="2">
        <v>0.14899999999999999</v>
      </c>
    </row>
    <row r="117" spans="1:25">
      <c r="A117" s="4">
        <v>2012</v>
      </c>
      <c r="B117" s="4" t="s">
        <v>9</v>
      </c>
      <c r="R117" s="2" t="s">
        <v>160</v>
      </c>
      <c r="S117" s="2" t="s">
        <v>140</v>
      </c>
      <c r="T117" s="2">
        <v>0.17800000000000002</v>
      </c>
      <c r="U117" s="2">
        <v>0.157</v>
      </c>
      <c r="V117" s="2">
        <v>0.19899999999999998</v>
      </c>
    </row>
    <row r="118" spans="1:25">
      <c r="A118" s="4">
        <v>2017</v>
      </c>
      <c r="B118" s="4" t="s">
        <v>9</v>
      </c>
      <c r="R118" s="2" t="s">
        <v>160</v>
      </c>
      <c r="S118" s="2" t="s">
        <v>95</v>
      </c>
      <c r="W118" s="2">
        <v>4.8999999999999998E-3</v>
      </c>
      <c r="X118" s="2">
        <v>2.7000000000000001E-3</v>
      </c>
      <c r="Y118" s="2">
        <v>7.1000000000000004E-3</v>
      </c>
    </row>
    <row r="119" spans="1:25">
      <c r="A119" s="4">
        <v>2017</v>
      </c>
      <c r="B119" s="4" t="s">
        <v>9</v>
      </c>
      <c r="R119" s="2" t="s">
        <v>160</v>
      </c>
      <c r="S119" s="37" t="s">
        <v>172</v>
      </c>
      <c r="T119" s="2">
        <v>0.14799999999999999</v>
      </c>
      <c r="U119" s="2">
        <v>0.13300000000000001</v>
      </c>
      <c r="V119" s="2">
        <v>0.16500000000000001</v>
      </c>
      <c r="W119" s="2">
        <v>6.8999999999999999E-3</v>
      </c>
      <c r="X119" s="2">
        <v>6.0000000000000001E-3</v>
      </c>
      <c r="Y119" s="2">
        <v>7.6E-3</v>
      </c>
    </row>
    <row r="120" spans="1:25">
      <c r="A120" s="4">
        <v>2017</v>
      </c>
      <c r="B120" s="4" t="s">
        <v>10</v>
      </c>
      <c r="R120" s="2" t="s">
        <v>160</v>
      </c>
      <c r="S120" s="2" t="s">
        <v>95</v>
      </c>
      <c r="W120" s="2">
        <v>1.5100000000000001E-2</v>
      </c>
      <c r="X120" s="2">
        <v>1.3100000000000001E-2</v>
      </c>
      <c r="Y120" s="2">
        <v>1.7100000000000001E-2</v>
      </c>
    </row>
    <row r="121" spans="1:25">
      <c r="A121" s="4">
        <v>2017</v>
      </c>
      <c r="B121" s="4" t="s">
        <v>10</v>
      </c>
      <c r="R121" s="2" t="s">
        <v>160</v>
      </c>
      <c r="S121" s="37" t="s">
        <v>172</v>
      </c>
      <c r="T121" s="2">
        <v>0.26300000000000001</v>
      </c>
      <c r="U121" s="2">
        <v>0.245</v>
      </c>
      <c r="V121" s="2">
        <v>0.28199999999999997</v>
      </c>
      <c r="W121" s="2">
        <v>9.2999999999999992E-3</v>
      </c>
      <c r="X121" s="2">
        <v>7.1000000000000004E-3</v>
      </c>
      <c r="Y121" s="2">
        <v>1.11E-2</v>
      </c>
    </row>
    <row r="122" spans="1:25">
      <c r="A122" s="4">
        <v>2005</v>
      </c>
      <c r="B122" s="4" t="s">
        <v>10</v>
      </c>
      <c r="R122" s="2" t="s">
        <v>160</v>
      </c>
      <c r="S122" s="37" t="s">
        <v>95</v>
      </c>
      <c r="T122" s="2">
        <v>0.16900000000000001</v>
      </c>
      <c r="U122" s="2">
        <v>0.14399999999999999</v>
      </c>
      <c r="V122" s="2">
        <v>0.19500000000000001</v>
      </c>
    </row>
    <row r="123" spans="1:25">
      <c r="A123" s="4">
        <v>2005</v>
      </c>
      <c r="B123" s="4" t="s">
        <v>10</v>
      </c>
      <c r="R123" s="2" t="s">
        <v>160</v>
      </c>
      <c r="S123" s="37" t="s">
        <v>135</v>
      </c>
      <c r="T123" s="2">
        <v>0.29499999999999998</v>
      </c>
      <c r="U123" s="2">
        <v>0.255</v>
      </c>
      <c r="V123" s="2">
        <v>0.33500000000000002</v>
      </c>
    </row>
    <row r="124" spans="1:25">
      <c r="A124" s="4">
        <v>2005</v>
      </c>
      <c r="B124" s="4" t="s">
        <v>10</v>
      </c>
      <c r="R124" s="2" t="s">
        <v>160</v>
      </c>
      <c r="S124" s="2" t="s">
        <v>136</v>
      </c>
      <c r="T124" s="2">
        <v>0.15</v>
      </c>
      <c r="U124" s="2">
        <v>0.121</v>
      </c>
      <c r="V124" s="2">
        <v>0.17899999999999999</v>
      </c>
    </row>
    <row r="125" spans="1:25">
      <c r="A125" s="4">
        <v>2005</v>
      </c>
      <c r="B125" s="4" t="s">
        <v>10</v>
      </c>
      <c r="R125" s="2" t="s">
        <v>160</v>
      </c>
      <c r="S125" s="2" t="s">
        <v>137</v>
      </c>
      <c r="T125" s="2">
        <v>4.3299999999999998E-2</v>
      </c>
      <c r="U125" s="2">
        <v>0.03</v>
      </c>
      <c r="V125" s="2">
        <v>5.6599999999999998E-2</v>
      </c>
    </row>
    <row r="126" spans="1:25">
      <c r="A126" s="4">
        <v>2005</v>
      </c>
      <c r="B126" s="4" t="s">
        <v>9</v>
      </c>
      <c r="R126" s="2" t="s">
        <v>160</v>
      </c>
      <c r="S126" s="37" t="s">
        <v>95</v>
      </c>
      <c r="T126" s="2">
        <v>4.3999999999999997E-2</v>
      </c>
      <c r="U126" s="2">
        <v>2.6100000000000002E-2</v>
      </c>
      <c r="V126" s="2">
        <v>6.2700000000000006E-2</v>
      </c>
    </row>
    <row r="127" spans="1:25">
      <c r="A127" s="4">
        <v>2005</v>
      </c>
      <c r="B127" s="4" t="s">
        <v>9</v>
      </c>
      <c r="L127" s="34"/>
      <c r="M127" s="34"/>
      <c r="R127" s="2" t="s">
        <v>160</v>
      </c>
      <c r="S127" s="37" t="s">
        <v>135</v>
      </c>
      <c r="T127" s="2">
        <v>0.16900000000000001</v>
      </c>
      <c r="U127" s="2">
        <v>0.125</v>
      </c>
      <c r="V127" s="2">
        <v>0.21199999999999999</v>
      </c>
    </row>
    <row r="128" spans="1:25">
      <c r="A128" s="4">
        <v>2005</v>
      </c>
      <c r="B128" s="4" t="s">
        <v>9</v>
      </c>
      <c r="R128" s="2" t="s">
        <v>160</v>
      </c>
      <c r="S128" s="2" t="s">
        <v>136</v>
      </c>
      <c r="T128" s="2">
        <v>0.18099999999999999</v>
      </c>
      <c r="U128" s="2">
        <v>0.14599999999999999</v>
      </c>
      <c r="V128" s="2">
        <v>0.216</v>
      </c>
    </row>
    <row r="129" spans="1:22">
      <c r="A129" s="4">
        <v>2005</v>
      </c>
      <c r="B129" s="4" t="s">
        <v>9</v>
      </c>
      <c r="R129" s="2" t="s">
        <v>160</v>
      </c>
      <c r="S129" s="2" t="s">
        <v>137</v>
      </c>
      <c r="T129" s="2">
        <v>7.5600000000000001E-2</v>
      </c>
      <c r="U129" s="2">
        <v>4.5100000000000001E-2</v>
      </c>
      <c r="V129" s="2">
        <v>0.106</v>
      </c>
    </row>
  </sheetData>
  <phoneticPr fontId="17" type="noConversion"/>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Demo</vt:lpstr>
      <vt:lpstr>Behav_params</vt:lpstr>
      <vt:lpstr>HIV_params</vt:lpstr>
      <vt:lpstr>HPV_params</vt:lpstr>
      <vt:lpstr>Calib_Demogr</vt:lpstr>
      <vt:lpstr>Calib_AllDeaths</vt:lpstr>
      <vt:lpstr>UnderReport</vt:lpstr>
      <vt:lpstr>Calib_HIV_deaths</vt:lpstr>
      <vt:lpstr>Calib_HIV_PrevInc</vt:lpstr>
      <vt:lpstr>HIV_FSW</vt:lpstr>
      <vt:lpstr>Calib_ARTcoverage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Rönn, Minttu</dc:creator>
  <cp:lastModifiedBy>Ronn, Minttu</cp:lastModifiedBy>
  <dcterms:created xsi:type="dcterms:W3CDTF">2019-01-08T14:37:04Z</dcterms:created>
  <dcterms:modified xsi:type="dcterms:W3CDTF">2024-02-23T13:05:52Z</dcterms:modified>
</cp:coreProperties>
</file>